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4930" windowHeight="11385" tabRatio="881" firstSheet="1" activeTab="1"/>
  </bookViews>
  <sheets>
    <sheet name="Display" sheetId="48" state="hidden" r:id="rId1"/>
    <sheet name="Guide" sheetId="39" r:id="rId2"/>
    <sheet name="Sources" sheetId="40" r:id="rId3"/>
    <sheet name="Population" sheetId="32" r:id="rId4"/>
    <sheet name="Labour Force" sheetId="41" r:id="rId5"/>
    <sheet name="Exogenous" sheetId="3" r:id="rId6"/>
    <sheet name="NZS Fund Adjuster" sheetId="25" r:id="rId7"/>
    <sheet name="Fiscal Forecast Adjuster" sheetId="26" r:id="rId8"/>
    <sheet name="Allocate" sheetId="23" r:id="rId9"/>
    <sheet name="Fiscal Outturns" sheetId="17" r:id="rId10"/>
    <sheet name="Economic Forecasts" sheetId="42" r:id="rId11"/>
    <sheet name="Fiscal Forecasts" sheetId="7" r:id="rId12"/>
    <sheet name="Assumptions" sheetId="49" r:id="rId13"/>
    <sheet name="Pre-Election EFU 2017 FSM" sheetId="58" r:id="rId14"/>
    <sheet name="Option" sheetId="59" r:id="rId15"/>
  </sheets>
  <calcPr calcId="152511" calcMode="autoNoTable"/>
</workbook>
</file>

<file path=xl/calcChain.xml><?xml version="1.0" encoding="utf-8"?>
<calcChain xmlns="http://schemas.openxmlformats.org/spreadsheetml/2006/main">
  <c r="S25" i="25" l="1"/>
  <c r="T25" i="25"/>
  <c r="U25" i="25"/>
  <c r="V25" i="25"/>
  <c r="W25" i="25"/>
  <c r="X25" i="25"/>
  <c r="Y25" i="25"/>
  <c r="Z25" i="25"/>
  <c r="AA25" i="25"/>
  <c r="S26" i="25"/>
  <c r="T26" i="25"/>
  <c r="U26" i="25"/>
  <c r="V26" i="25"/>
  <c r="W26" i="25"/>
  <c r="X26" i="25"/>
  <c r="Y26" i="25"/>
  <c r="Z26" i="25"/>
  <c r="AA26" i="25"/>
  <c r="R26" i="25"/>
  <c r="R25" i="25"/>
  <c r="S22" i="25"/>
  <c r="T22" i="25"/>
  <c r="U22" i="25"/>
  <c r="V22" i="25"/>
  <c r="W22" i="25"/>
  <c r="X22" i="25"/>
  <c r="Y22" i="25"/>
  <c r="Z22" i="25"/>
  <c r="AA22" i="25"/>
  <c r="R22" i="25"/>
  <c r="S20" i="25"/>
  <c r="T20" i="25"/>
  <c r="U20" i="25"/>
  <c r="V20" i="25"/>
  <c r="W20" i="25"/>
  <c r="X20" i="25"/>
  <c r="Y20" i="25"/>
  <c r="Z20" i="25"/>
  <c r="AA20" i="25"/>
  <c r="R20" i="25"/>
  <c r="N26" i="25"/>
  <c r="O26" i="25"/>
  <c r="P26" i="25"/>
  <c r="Q26" i="25"/>
  <c r="M26" i="25"/>
  <c r="N25" i="25"/>
  <c r="O25" i="25"/>
  <c r="P25" i="25"/>
  <c r="Q25" i="25"/>
  <c r="M25" i="25"/>
  <c r="N24" i="25"/>
  <c r="O24" i="25"/>
  <c r="P24" i="25"/>
  <c r="Q24" i="25"/>
  <c r="R24" i="25" s="1"/>
  <c r="S24" i="25" s="1"/>
  <c r="T24" i="25" s="1"/>
  <c r="U24" i="25" s="1"/>
  <c r="V24" i="25" s="1"/>
  <c r="W24" i="25" s="1"/>
  <c r="X24" i="25" s="1"/>
  <c r="Y24" i="25" s="1"/>
  <c r="Z24" i="25" s="1"/>
  <c r="AA24" i="25" s="1"/>
  <c r="M24" i="25"/>
  <c r="N23" i="25"/>
  <c r="O23" i="25"/>
  <c r="P23" i="25"/>
  <c r="Q23" i="25"/>
  <c r="R23" i="25" s="1"/>
  <c r="S23" i="25" s="1"/>
  <c r="T23" i="25" s="1"/>
  <c r="U23" i="25" s="1"/>
  <c r="V23" i="25" s="1"/>
  <c r="W23" i="25" s="1"/>
  <c r="X23" i="25" s="1"/>
  <c r="Y23" i="25" s="1"/>
  <c r="Z23" i="25" s="1"/>
  <c r="AA23" i="25" s="1"/>
  <c r="M23" i="25"/>
  <c r="N22" i="25"/>
  <c r="O22" i="25"/>
  <c r="P22" i="25"/>
  <c r="Q22" i="25"/>
  <c r="M22" i="25"/>
  <c r="N21" i="25"/>
  <c r="O21" i="25"/>
  <c r="P21" i="25"/>
  <c r="Q21" i="25"/>
  <c r="R21" i="25" s="1"/>
  <c r="S21" i="25" s="1"/>
  <c r="T21" i="25" s="1"/>
  <c r="U21" i="25" s="1"/>
  <c r="V21" i="25" s="1"/>
  <c r="W21" i="25" s="1"/>
  <c r="X21" i="25" s="1"/>
  <c r="Y21" i="25" s="1"/>
  <c r="Z21" i="25" s="1"/>
  <c r="AA21" i="25" s="1"/>
  <c r="M21" i="25"/>
  <c r="N20" i="25"/>
  <c r="O20" i="25"/>
  <c r="P20" i="25"/>
  <c r="Q20" i="25"/>
  <c r="M20" i="25"/>
  <c r="L352" i="58" l="1"/>
  <c r="M352" i="58"/>
  <c r="N352" i="58"/>
  <c r="O352" i="58"/>
  <c r="O467" i="58" s="1"/>
  <c r="P352" i="58"/>
  <c r="Q352" i="58"/>
  <c r="Q467" i="58" s="1"/>
  <c r="R352" i="58"/>
  <c r="S352" i="58"/>
  <c r="S467" i="58" s="1"/>
  <c r="T352" i="58"/>
  <c r="K352" i="58"/>
  <c r="L348" i="58"/>
  <c r="M348" i="58"/>
  <c r="N348" i="58"/>
  <c r="O348" i="58"/>
  <c r="P348" i="58"/>
  <c r="Q348" i="58"/>
  <c r="R348" i="58"/>
  <c r="S348" i="58"/>
  <c r="T348" i="58"/>
  <c r="K348" i="58"/>
  <c r="G356" i="58"/>
  <c r="H356" i="58"/>
  <c r="I356" i="58"/>
  <c r="J356" i="58"/>
  <c r="G357" i="58"/>
  <c r="H357" i="58"/>
  <c r="I357" i="58"/>
  <c r="J357" i="58"/>
  <c r="G358" i="58"/>
  <c r="H358" i="58"/>
  <c r="I358" i="58"/>
  <c r="J358" i="58"/>
  <c r="F356" i="58"/>
  <c r="F357" i="58"/>
  <c r="F358" i="58"/>
  <c r="G352" i="58"/>
  <c r="G467" i="58" s="1"/>
  <c r="H352" i="58"/>
  <c r="I352" i="58"/>
  <c r="I467" i="58" s="1"/>
  <c r="J352" i="58"/>
  <c r="J467" i="58" s="1"/>
  <c r="G353" i="58"/>
  <c r="H353" i="58"/>
  <c r="I353" i="58"/>
  <c r="J353" i="58"/>
  <c r="F352" i="58"/>
  <c r="F353" i="58"/>
  <c r="G347" i="58"/>
  <c r="H347" i="58"/>
  <c r="I347" i="58"/>
  <c r="I145" i="58" s="1"/>
  <c r="J347" i="58"/>
  <c r="J145" i="58" s="1"/>
  <c r="G348" i="58"/>
  <c r="H348" i="58"/>
  <c r="I348" i="58"/>
  <c r="J348" i="58"/>
  <c r="G349" i="58"/>
  <c r="H349" i="58"/>
  <c r="I349" i="58"/>
  <c r="I245" i="58" s="1"/>
  <c r="J349" i="58"/>
  <c r="G350" i="58"/>
  <c r="H350" i="58"/>
  <c r="I350" i="58"/>
  <c r="I303" i="58" s="1"/>
  <c r="I304" i="58" s="1"/>
  <c r="I305" i="58" s="1"/>
  <c r="J350" i="58"/>
  <c r="J303" i="58" s="1"/>
  <c r="J304" i="58" s="1"/>
  <c r="J305" i="58" s="1"/>
  <c r="G351" i="58"/>
  <c r="H351" i="58"/>
  <c r="I351" i="58"/>
  <c r="F347" i="58"/>
  <c r="F145" i="58" s="1"/>
  <c r="F348" i="58"/>
  <c r="F349" i="58"/>
  <c r="F350" i="58"/>
  <c r="G513" i="58"/>
  <c r="H513" i="58"/>
  <c r="I513" i="58"/>
  <c r="J513" i="58"/>
  <c r="J515" i="58" s="1"/>
  <c r="J68" i="58" s="1"/>
  <c r="G514" i="58"/>
  <c r="G88" i="58" s="1"/>
  <c r="H514" i="58"/>
  <c r="I514" i="58"/>
  <c r="J514" i="58"/>
  <c r="J88" i="58" s="1"/>
  <c r="F514" i="58"/>
  <c r="F513" i="58"/>
  <c r="G507" i="58"/>
  <c r="G461" i="58" s="1"/>
  <c r="H507" i="58"/>
  <c r="H461" i="58" s="1"/>
  <c r="I507" i="58"/>
  <c r="J507" i="58"/>
  <c r="F507" i="58"/>
  <c r="G506" i="58"/>
  <c r="G508" i="58" s="1"/>
  <c r="G69" i="58" s="1"/>
  <c r="H506" i="58"/>
  <c r="H508" i="58" s="1"/>
  <c r="H69" i="58" s="1"/>
  <c r="I506" i="58"/>
  <c r="J506" i="58"/>
  <c r="F506" i="58"/>
  <c r="F508" i="58" s="1"/>
  <c r="F69" i="58" s="1"/>
  <c r="G473" i="58"/>
  <c r="H473" i="58"/>
  <c r="I473" i="58"/>
  <c r="J473" i="58"/>
  <c r="F473" i="58"/>
  <c r="G464" i="58"/>
  <c r="H464" i="58"/>
  <c r="I464" i="58"/>
  <c r="J464" i="58"/>
  <c r="G465" i="58"/>
  <c r="H465" i="58"/>
  <c r="I465" i="58"/>
  <c r="J465" i="58"/>
  <c r="G466" i="58"/>
  <c r="H466" i="58"/>
  <c r="I466" i="58"/>
  <c r="J466" i="58"/>
  <c r="H467" i="58"/>
  <c r="F464" i="58"/>
  <c r="G455" i="58"/>
  <c r="H455" i="58"/>
  <c r="I455" i="58"/>
  <c r="J455" i="58"/>
  <c r="G456" i="58"/>
  <c r="H456" i="58"/>
  <c r="I456" i="58"/>
  <c r="J456" i="58"/>
  <c r="G457" i="58"/>
  <c r="H457" i="58"/>
  <c r="I457" i="58"/>
  <c r="J457" i="58"/>
  <c r="G458" i="58"/>
  <c r="H458" i="58"/>
  <c r="I458" i="58"/>
  <c r="J458" i="58"/>
  <c r="G459" i="58"/>
  <c r="H459" i="58"/>
  <c r="I459" i="58"/>
  <c r="J459" i="58"/>
  <c r="G460" i="58"/>
  <c r="H460" i="58"/>
  <c r="I460" i="58"/>
  <c r="J460" i="58"/>
  <c r="I461" i="58"/>
  <c r="J461" i="58"/>
  <c r="F460" i="58"/>
  <c r="F459" i="58"/>
  <c r="F455" i="58"/>
  <c r="G413" i="58"/>
  <c r="H413" i="58"/>
  <c r="I413" i="58"/>
  <c r="J413" i="58"/>
  <c r="G414" i="58"/>
  <c r="H414" i="58"/>
  <c r="I414" i="58"/>
  <c r="J414" i="58"/>
  <c r="G415" i="58"/>
  <c r="H415" i="58"/>
  <c r="I415" i="58"/>
  <c r="J415" i="58"/>
  <c r="G416" i="58"/>
  <c r="H416" i="58"/>
  <c r="I416" i="58"/>
  <c r="J416" i="58"/>
  <c r="G417" i="58"/>
  <c r="H417" i="58"/>
  <c r="I417" i="58"/>
  <c r="J417" i="58"/>
  <c r="G418" i="58"/>
  <c r="H418" i="58"/>
  <c r="I418" i="58"/>
  <c r="J418" i="58"/>
  <c r="G421" i="58"/>
  <c r="H421" i="58"/>
  <c r="I421" i="58"/>
  <c r="J421" i="58"/>
  <c r="G422" i="58"/>
  <c r="H422" i="58"/>
  <c r="I422" i="58"/>
  <c r="J422" i="58"/>
  <c r="G423" i="58"/>
  <c r="H423" i="58"/>
  <c r="I423" i="58"/>
  <c r="J423" i="58"/>
  <c r="F422" i="58"/>
  <c r="F421" i="58"/>
  <c r="F418" i="58"/>
  <c r="F417" i="58"/>
  <c r="F416" i="58"/>
  <c r="F415" i="58"/>
  <c r="F414" i="58"/>
  <c r="G312" i="58"/>
  <c r="H312" i="58"/>
  <c r="I312" i="58"/>
  <c r="J312" i="58"/>
  <c r="G313" i="58"/>
  <c r="H313" i="58"/>
  <c r="H42" i="58" s="1"/>
  <c r="I313" i="58"/>
  <c r="J313" i="58"/>
  <c r="J42" i="58" s="1"/>
  <c r="G319" i="58"/>
  <c r="H319" i="58"/>
  <c r="I319" i="58"/>
  <c r="J319" i="58"/>
  <c r="G323" i="58"/>
  <c r="H323" i="58"/>
  <c r="I323" i="58"/>
  <c r="J323" i="58"/>
  <c r="G326" i="58"/>
  <c r="H326" i="58"/>
  <c r="I326" i="58"/>
  <c r="J326" i="58"/>
  <c r="G332" i="58"/>
  <c r="H332" i="58"/>
  <c r="I332" i="58"/>
  <c r="J332" i="58"/>
  <c r="K332" i="58" s="1"/>
  <c r="L332" i="58" s="1"/>
  <c r="M332" i="58" s="1"/>
  <c r="N332" i="58" s="1"/>
  <c r="O332" i="58" s="1"/>
  <c r="P332" i="58" s="1"/>
  <c r="Q332" i="58" s="1"/>
  <c r="R332" i="58" s="1"/>
  <c r="S332" i="58" s="1"/>
  <c r="T332" i="58" s="1"/>
  <c r="G333" i="58"/>
  <c r="H333" i="58"/>
  <c r="I333" i="58"/>
  <c r="J333" i="58"/>
  <c r="F312" i="58"/>
  <c r="F313" i="58"/>
  <c r="F319" i="58"/>
  <c r="F323" i="58"/>
  <c r="F326" i="58"/>
  <c r="F332" i="58"/>
  <c r="F333" i="58"/>
  <c r="G287" i="58"/>
  <c r="H287" i="58"/>
  <c r="I287" i="58"/>
  <c r="J287" i="58"/>
  <c r="G288" i="58"/>
  <c r="H288" i="58"/>
  <c r="I288" i="58"/>
  <c r="J288" i="58"/>
  <c r="G291" i="58"/>
  <c r="H291" i="58"/>
  <c r="I291" i="58"/>
  <c r="J291" i="58"/>
  <c r="G292" i="58"/>
  <c r="H292" i="58"/>
  <c r="I292" i="58"/>
  <c r="J292" i="58"/>
  <c r="G298" i="58"/>
  <c r="H298" i="58"/>
  <c r="I298" i="58"/>
  <c r="J298" i="58"/>
  <c r="G299" i="58"/>
  <c r="H299" i="58"/>
  <c r="I299" i="58"/>
  <c r="J299" i="58"/>
  <c r="G300" i="58"/>
  <c r="H300" i="58"/>
  <c r="I300" i="58"/>
  <c r="J300" i="58"/>
  <c r="G303" i="58"/>
  <c r="G304" i="58" s="1"/>
  <c r="H303" i="58"/>
  <c r="H304" i="58" s="1"/>
  <c r="H305" i="58" s="1"/>
  <c r="G306" i="58"/>
  <c r="H306" i="58"/>
  <c r="I306" i="58"/>
  <c r="J306" i="58"/>
  <c r="K306" i="58" s="1"/>
  <c r="L306" i="58" s="1"/>
  <c r="M306" i="58" s="1"/>
  <c r="N306" i="58" s="1"/>
  <c r="O306" i="58" s="1"/>
  <c r="P306" i="58" s="1"/>
  <c r="Q306" i="58" s="1"/>
  <c r="R306" i="58" s="1"/>
  <c r="S306" i="58" s="1"/>
  <c r="T306" i="58" s="1"/>
  <c r="G307" i="58"/>
  <c r="H307" i="58"/>
  <c r="I307" i="58"/>
  <c r="J307" i="58"/>
  <c r="F287" i="58"/>
  <c r="F288" i="58"/>
  <c r="F291" i="58"/>
  <c r="F292" i="58"/>
  <c r="F298" i="58"/>
  <c r="F299" i="58"/>
  <c r="F300" i="58"/>
  <c r="F306" i="58"/>
  <c r="F307" i="58"/>
  <c r="G261" i="58"/>
  <c r="H261" i="58"/>
  <c r="I261" i="58"/>
  <c r="J261" i="58"/>
  <c r="G262" i="58"/>
  <c r="H262" i="58"/>
  <c r="I262" i="58"/>
  <c r="J262" i="58"/>
  <c r="G263" i="58"/>
  <c r="H263" i="58"/>
  <c r="I263" i="58"/>
  <c r="J263" i="58"/>
  <c r="G264" i="58"/>
  <c r="G265" i="58" s="1"/>
  <c r="H264" i="58"/>
  <c r="I264" i="58"/>
  <c r="I265" i="58" s="1"/>
  <c r="J264" i="58"/>
  <c r="J265" i="58" s="1"/>
  <c r="G272" i="58"/>
  <c r="H272" i="58"/>
  <c r="I272" i="58"/>
  <c r="J272" i="58"/>
  <c r="G275" i="58"/>
  <c r="H275" i="58"/>
  <c r="I275" i="58"/>
  <c r="J275" i="58"/>
  <c r="G276" i="58"/>
  <c r="H276" i="58"/>
  <c r="I276" i="58"/>
  <c r="J276" i="58"/>
  <c r="G279" i="58"/>
  <c r="H279" i="58"/>
  <c r="I279" i="58"/>
  <c r="J279" i="58"/>
  <c r="G280" i="58"/>
  <c r="H280" i="58"/>
  <c r="I280" i="58"/>
  <c r="J280" i="58"/>
  <c r="G283" i="58"/>
  <c r="H283" i="58"/>
  <c r="I283" i="58"/>
  <c r="J283" i="58"/>
  <c r="G284" i="58"/>
  <c r="H284" i="58"/>
  <c r="I284" i="58"/>
  <c r="J284" i="58"/>
  <c r="F261" i="58"/>
  <c r="F262" i="58"/>
  <c r="F263" i="58"/>
  <c r="F272" i="58"/>
  <c r="F275" i="58"/>
  <c r="F276" i="58"/>
  <c r="F279" i="58"/>
  <c r="F280" i="58"/>
  <c r="F283" i="58"/>
  <c r="F284" i="58"/>
  <c r="G240" i="58"/>
  <c r="H240" i="58"/>
  <c r="I240" i="58"/>
  <c r="J240" i="58"/>
  <c r="G245" i="58"/>
  <c r="H245" i="58"/>
  <c r="G247" i="58"/>
  <c r="H247" i="58"/>
  <c r="I247" i="58"/>
  <c r="J247" i="58"/>
  <c r="G250" i="58"/>
  <c r="H250" i="58"/>
  <c r="I250" i="58"/>
  <c r="J250" i="58"/>
  <c r="G253" i="58"/>
  <c r="H253" i="58"/>
  <c r="I253" i="58"/>
  <c r="J253" i="58"/>
  <c r="G254" i="58"/>
  <c r="H254" i="58"/>
  <c r="I254" i="58"/>
  <c r="J254" i="58"/>
  <c r="G257" i="58"/>
  <c r="H257" i="58"/>
  <c r="I257" i="58"/>
  <c r="J257" i="58"/>
  <c r="G258" i="58"/>
  <c r="H258" i="58"/>
  <c r="I258" i="58"/>
  <c r="J258" i="58"/>
  <c r="F240" i="58"/>
  <c r="F245" i="58"/>
  <c r="F247" i="58"/>
  <c r="F250" i="58"/>
  <c r="F253" i="58"/>
  <c r="F254" i="58"/>
  <c r="F257" i="58"/>
  <c r="F258" i="58"/>
  <c r="G220" i="58"/>
  <c r="H220" i="58"/>
  <c r="I220" i="58"/>
  <c r="J220" i="58"/>
  <c r="G223" i="58"/>
  <c r="H223" i="58"/>
  <c r="I223" i="58"/>
  <c r="J223" i="58"/>
  <c r="G226" i="58"/>
  <c r="H226" i="58"/>
  <c r="I226" i="58"/>
  <c r="J226" i="58"/>
  <c r="K226" i="58" s="1"/>
  <c r="L226" i="58" s="1"/>
  <c r="M226" i="58" s="1"/>
  <c r="N226" i="58" s="1"/>
  <c r="O226" i="58" s="1"/>
  <c r="P226" i="58" s="1"/>
  <c r="Q226" i="58" s="1"/>
  <c r="R226" i="58" s="1"/>
  <c r="S226" i="58" s="1"/>
  <c r="T226" i="58" s="1"/>
  <c r="G227" i="58"/>
  <c r="H227" i="58"/>
  <c r="I227" i="58"/>
  <c r="J227" i="58"/>
  <c r="K227" i="58" s="1"/>
  <c r="G230" i="58"/>
  <c r="H230" i="58"/>
  <c r="I230" i="58"/>
  <c r="J230" i="58"/>
  <c r="J233" i="58" s="1"/>
  <c r="G231" i="58"/>
  <c r="H231" i="58"/>
  <c r="I231" i="58"/>
  <c r="J231" i="58"/>
  <c r="G232" i="58"/>
  <c r="G233" i="58" s="1"/>
  <c r="H232" i="58"/>
  <c r="I232" i="58"/>
  <c r="J232" i="58"/>
  <c r="F220" i="58"/>
  <c r="F223" i="58"/>
  <c r="F226" i="58"/>
  <c r="F227" i="58"/>
  <c r="F230" i="58"/>
  <c r="F231" i="58"/>
  <c r="G196" i="58"/>
  <c r="H196" i="58"/>
  <c r="I196" i="58"/>
  <c r="J196" i="58"/>
  <c r="J200" i="58" s="1"/>
  <c r="G197" i="58"/>
  <c r="H197" i="58"/>
  <c r="I197" i="58"/>
  <c r="J197" i="58"/>
  <c r="G198" i="58"/>
  <c r="H198" i="58"/>
  <c r="I198" i="58"/>
  <c r="J198" i="58"/>
  <c r="G199" i="58"/>
  <c r="G200" i="58" s="1"/>
  <c r="H199" i="58"/>
  <c r="I199" i="58"/>
  <c r="J199" i="58"/>
  <c r="H200" i="58"/>
  <c r="I200" i="58"/>
  <c r="G203" i="58"/>
  <c r="H203" i="58"/>
  <c r="I203" i="58"/>
  <c r="J203" i="58"/>
  <c r="G204" i="58"/>
  <c r="H204" i="58"/>
  <c r="I204" i="58"/>
  <c r="J204" i="58"/>
  <c r="G205" i="58"/>
  <c r="H205" i="58"/>
  <c r="I205" i="58"/>
  <c r="J205" i="58"/>
  <c r="G206" i="58"/>
  <c r="H206" i="58"/>
  <c r="I206" i="58"/>
  <c r="J206" i="58"/>
  <c r="J207" i="58" s="1"/>
  <c r="G207" i="58"/>
  <c r="H207" i="58"/>
  <c r="I207" i="58"/>
  <c r="G211" i="58"/>
  <c r="G268" i="58" s="1"/>
  <c r="H211" i="58"/>
  <c r="H268" i="58" s="1"/>
  <c r="I211" i="58"/>
  <c r="I268" i="58" s="1"/>
  <c r="J211" i="58"/>
  <c r="J268" i="58" s="1"/>
  <c r="G212" i="58"/>
  <c r="H212" i="58"/>
  <c r="I212" i="58"/>
  <c r="J212" i="58"/>
  <c r="G213" i="58"/>
  <c r="H213" i="58"/>
  <c r="I213" i="58"/>
  <c r="J213" i="58"/>
  <c r="G214" i="58"/>
  <c r="H214" i="58"/>
  <c r="I214" i="58"/>
  <c r="J214" i="58"/>
  <c r="G215" i="58"/>
  <c r="H215" i="58"/>
  <c r="I215" i="58"/>
  <c r="J215" i="58"/>
  <c r="G216" i="58"/>
  <c r="H216" i="58"/>
  <c r="I216" i="58"/>
  <c r="J216" i="58"/>
  <c r="F196" i="58"/>
  <c r="F197" i="58"/>
  <c r="F198" i="58"/>
  <c r="F199" i="58"/>
  <c r="F203" i="58"/>
  <c r="F204" i="58"/>
  <c r="F205" i="58"/>
  <c r="F206" i="58"/>
  <c r="F211" i="58"/>
  <c r="F212" i="58"/>
  <c r="F213" i="58"/>
  <c r="F215" i="58"/>
  <c r="F216" i="58"/>
  <c r="G183" i="58"/>
  <c r="H183" i="58"/>
  <c r="I183" i="58"/>
  <c r="J183" i="58"/>
  <c r="G184" i="58"/>
  <c r="H184" i="58"/>
  <c r="I184" i="58"/>
  <c r="J184" i="58"/>
  <c r="G185" i="58"/>
  <c r="H185" i="58"/>
  <c r="I185" i="58"/>
  <c r="J185" i="58"/>
  <c r="G186" i="58"/>
  <c r="H186" i="58"/>
  <c r="I186" i="58"/>
  <c r="J186" i="58"/>
  <c r="G187" i="58"/>
  <c r="H187" i="58"/>
  <c r="I187" i="58"/>
  <c r="G190" i="58"/>
  <c r="H190" i="58"/>
  <c r="I190" i="58"/>
  <c r="J190" i="58"/>
  <c r="G191" i="58"/>
  <c r="H191" i="58"/>
  <c r="I191" i="58"/>
  <c r="J191" i="58"/>
  <c r="G192" i="58"/>
  <c r="H192" i="58"/>
  <c r="H193" i="58" s="1"/>
  <c r="H106" i="58" s="1"/>
  <c r="I192" i="58"/>
  <c r="I193" i="58" s="1"/>
  <c r="I106" i="58" s="1"/>
  <c r="J192" i="58"/>
  <c r="J193" i="58" s="1"/>
  <c r="J106" i="58" s="1"/>
  <c r="G193" i="58"/>
  <c r="F183" i="58"/>
  <c r="F184" i="58"/>
  <c r="F185" i="58"/>
  <c r="F186" i="58"/>
  <c r="F190" i="58"/>
  <c r="F191" i="58"/>
  <c r="F192" i="58"/>
  <c r="G177" i="58"/>
  <c r="H177" i="58"/>
  <c r="I177" i="58"/>
  <c r="J177" i="58"/>
  <c r="G178" i="58"/>
  <c r="H178" i="58"/>
  <c r="I178" i="58"/>
  <c r="J178" i="58"/>
  <c r="G179" i="58"/>
  <c r="H179" i="58"/>
  <c r="I179" i="58"/>
  <c r="J179" i="58"/>
  <c r="G180" i="58"/>
  <c r="H180" i="58"/>
  <c r="I180" i="58"/>
  <c r="J180" i="58"/>
  <c r="F177" i="58"/>
  <c r="F178" i="58"/>
  <c r="F179" i="58"/>
  <c r="F180" i="58"/>
  <c r="G165" i="58"/>
  <c r="G236" i="58" s="1"/>
  <c r="H165" i="58"/>
  <c r="H236" i="58" s="1"/>
  <c r="I165" i="58"/>
  <c r="J165" i="58"/>
  <c r="J236" i="58" s="1"/>
  <c r="G167" i="58"/>
  <c r="G269" i="58" s="1"/>
  <c r="H167" i="58"/>
  <c r="H269" i="58" s="1"/>
  <c r="I167" i="58"/>
  <c r="I269" i="58" s="1"/>
  <c r="J167" i="58"/>
  <c r="J269" i="58" s="1"/>
  <c r="G168" i="58"/>
  <c r="G246" i="58" s="1"/>
  <c r="H168" i="58"/>
  <c r="H246" i="58" s="1"/>
  <c r="H248" i="58" s="1"/>
  <c r="H249" i="58" s="1"/>
  <c r="I168" i="58"/>
  <c r="I246" i="58" s="1"/>
  <c r="J168" i="58"/>
  <c r="J246" i="58" s="1"/>
  <c r="G170" i="58"/>
  <c r="H170" i="58"/>
  <c r="I170" i="58"/>
  <c r="J170" i="58"/>
  <c r="G173" i="58"/>
  <c r="H173" i="58"/>
  <c r="I173" i="58"/>
  <c r="J173" i="58"/>
  <c r="K173" i="58" s="1"/>
  <c r="L173" i="58" s="1"/>
  <c r="M173" i="58" s="1"/>
  <c r="N173" i="58" s="1"/>
  <c r="O173" i="58" s="1"/>
  <c r="P173" i="58" s="1"/>
  <c r="Q173" i="58" s="1"/>
  <c r="R173" i="58" s="1"/>
  <c r="S173" i="58" s="1"/>
  <c r="T173" i="58" s="1"/>
  <c r="F165" i="58"/>
  <c r="F167" i="58"/>
  <c r="F269" i="58" s="1"/>
  <c r="F168" i="58"/>
  <c r="F246" i="58" s="1"/>
  <c r="F170" i="58"/>
  <c r="F173" i="58"/>
  <c r="G145" i="58"/>
  <c r="H145" i="58"/>
  <c r="G148" i="58"/>
  <c r="H148" i="58"/>
  <c r="I148" i="58"/>
  <c r="J148" i="58"/>
  <c r="K148" i="58" s="1"/>
  <c r="L148" i="58" s="1"/>
  <c r="M148" i="58" s="1"/>
  <c r="N148" i="58" s="1"/>
  <c r="O148" i="58" s="1"/>
  <c r="P148" i="58" s="1"/>
  <c r="Q148" i="58" s="1"/>
  <c r="R148" i="58" s="1"/>
  <c r="S148" i="58" s="1"/>
  <c r="T148" i="58" s="1"/>
  <c r="G149" i="58"/>
  <c r="H149" i="58"/>
  <c r="I149" i="58"/>
  <c r="J149" i="58"/>
  <c r="G150" i="58"/>
  <c r="H150" i="58"/>
  <c r="I150" i="58"/>
  <c r="J150" i="58"/>
  <c r="G154" i="58"/>
  <c r="H154" i="58"/>
  <c r="I154" i="58"/>
  <c r="J154" i="58"/>
  <c r="G155" i="58"/>
  <c r="H155" i="58"/>
  <c r="I155" i="58"/>
  <c r="J155" i="58"/>
  <c r="G158" i="58"/>
  <c r="H158" i="58"/>
  <c r="I158" i="58"/>
  <c r="J158" i="58"/>
  <c r="G159" i="58"/>
  <c r="H159" i="58"/>
  <c r="I159" i="58"/>
  <c r="J159" i="58"/>
  <c r="G160" i="58"/>
  <c r="H160" i="58"/>
  <c r="I160" i="58"/>
  <c r="J160" i="58"/>
  <c r="G161" i="58"/>
  <c r="H161" i="58"/>
  <c r="I161" i="58"/>
  <c r="J161" i="58"/>
  <c r="G162" i="58"/>
  <c r="H162" i="58"/>
  <c r="I162" i="58"/>
  <c r="J162" i="58"/>
  <c r="G163" i="58"/>
  <c r="H163" i="58"/>
  <c r="I163" i="58"/>
  <c r="J163" i="58"/>
  <c r="G164" i="58"/>
  <c r="G166" i="58" s="1"/>
  <c r="G169" i="58" s="1"/>
  <c r="H164" i="58"/>
  <c r="I164" i="58"/>
  <c r="I171" i="58" s="1"/>
  <c r="J164" i="58"/>
  <c r="J171" i="58" s="1"/>
  <c r="F148" i="58"/>
  <c r="F149" i="58"/>
  <c r="F150" i="58"/>
  <c r="F154" i="58"/>
  <c r="F155" i="58"/>
  <c r="F158" i="58"/>
  <c r="F159" i="58"/>
  <c r="F160" i="58"/>
  <c r="F161" i="58"/>
  <c r="F162" i="58"/>
  <c r="F163" i="58"/>
  <c r="G124" i="58"/>
  <c r="H124" i="58"/>
  <c r="I124" i="58"/>
  <c r="J124" i="58"/>
  <c r="G125" i="58"/>
  <c r="H125" i="58"/>
  <c r="I125" i="58"/>
  <c r="J125" i="58"/>
  <c r="G126" i="58"/>
  <c r="H126" i="58"/>
  <c r="I126" i="58"/>
  <c r="J126" i="58"/>
  <c r="G127" i="58"/>
  <c r="H127" i="58"/>
  <c r="I127" i="58"/>
  <c r="J127" i="58"/>
  <c r="G128" i="58"/>
  <c r="H128" i="58"/>
  <c r="I128" i="58"/>
  <c r="J128" i="58"/>
  <c r="G129" i="58"/>
  <c r="G130" i="58" s="1"/>
  <c r="G131" i="58" s="1"/>
  <c r="H129" i="58"/>
  <c r="I129" i="58"/>
  <c r="I130" i="58" s="1"/>
  <c r="I131" i="58" s="1"/>
  <c r="J129" i="58"/>
  <c r="J130" i="58" s="1"/>
  <c r="J131" i="58" s="1"/>
  <c r="H130" i="58"/>
  <c r="H131" i="58" s="1"/>
  <c r="G134" i="58"/>
  <c r="H134" i="58"/>
  <c r="I134" i="58"/>
  <c r="J134" i="58"/>
  <c r="G135" i="58"/>
  <c r="H135" i="58"/>
  <c r="I135" i="58"/>
  <c r="J135" i="58"/>
  <c r="G136" i="58"/>
  <c r="H136" i="58"/>
  <c r="I136" i="58"/>
  <c r="J136" i="58"/>
  <c r="J137" i="58" s="1"/>
  <c r="G137" i="58"/>
  <c r="H137" i="58"/>
  <c r="I137" i="58"/>
  <c r="G140" i="58"/>
  <c r="H140" i="58"/>
  <c r="I140" i="58"/>
  <c r="J140" i="58"/>
  <c r="G141" i="58"/>
  <c r="H141" i="58"/>
  <c r="I141" i="58"/>
  <c r="J141" i="58"/>
  <c r="F124" i="58"/>
  <c r="F125" i="58"/>
  <c r="F126" i="58"/>
  <c r="F127" i="58"/>
  <c r="F128" i="58"/>
  <c r="F134" i="58"/>
  <c r="F136" i="58" s="1"/>
  <c r="F135" i="58"/>
  <c r="F140" i="58"/>
  <c r="F141" i="58"/>
  <c r="G106" i="58"/>
  <c r="G107" i="58"/>
  <c r="H107" i="58"/>
  <c r="I107" i="58"/>
  <c r="J107" i="58"/>
  <c r="G108" i="58"/>
  <c r="H108" i="58"/>
  <c r="I108" i="58"/>
  <c r="J108" i="58"/>
  <c r="G109" i="58"/>
  <c r="H109" i="58"/>
  <c r="I109" i="58"/>
  <c r="J109" i="58"/>
  <c r="G110" i="58"/>
  <c r="H110" i="58"/>
  <c r="I110" i="58"/>
  <c r="J110" i="58"/>
  <c r="G112" i="58"/>
  <c r="H112" i="58"/>
  <c r="I112" i="58"/>
  <c r="J112" i="58"/>
  <c r="G113" i="58"/>
  <c r="H113" i="58"/>
  <c r="I113" i="58"/>
  <c r="J113" i="58"/>
  <c r="G114" i="58"/>
  <c r="H114" i="58"/>
  <c r="I114" i="58"/>
  <c r="J114" i="58"/>
  <c r="G115" i="58"/>
  <c r="H115" i="58"/>
  <c r="I115" i="58"/>
  <c r="J115" i="58"/>
  <c r="G116" i="58"/>
  <c r="H116" i="58"/>
  <c r="I116" i="58"/>
  <c r="J116" i="58"/>
  <c r="G117" i="58"/>
  <c r="H117" i="58"/>
  <c r="I117" i="58"/>
  <c r="J117" i="58"/>
  <c r="G118" i="58"/>
  <c r="H118" i="58"/>
  <c r="I118" i="58"/>
  <c r="J118" i="58"/>
  <c r="F107" i="58"/>
  <c r="F108" i="58"/>
  <c r="F109" i="58"/>
  <c r="F110" i="58"/>
  <c r="F112" i="58"/>
  <c r="F113" i="58"/>
  <c r="F114" i="58"/>
  <c r="F115" i="58"/>
  <c r="F116" i="58"/>
  <c r="F117" i="58"/>
  <c r="G92" i="58"/>
  <c r="H92" i="58"/>
  <c r="I92" i="58"/>
  <c r="J92" i="58"/>
  <c r="G93" i="58"/>
  <c r="H93" i="58"/>
  <c r="I93" i="58"/>
  <c r="J93" i="58"/>
  <c r="G94" i="58"/>
  <c r="H94" i="58"/>
  <c r="I94" i="58"/>
  <c r="J94" i="58"/>
  <c r="G95" i="58"/>
  <c r="H95" i="58"/>
  <c r="I95" i="58"/>
  <c r="J95" i="58"/>
  <c r="G96" i="58"/>
  <c r="H96" i="58"/>
  <c r="I96" i="58"/>
  <c r="J96" i="58"/>
  <c r="G99" i="58"/>
  <c r="H99" i="58"/>
  <c r="I99" i="58"/>
  <c r="I475" i="58" s="1"/>
  <c r="J99" i="58"/>
  <c r="J475" i="58" s="1"/>
  <c r="G100" i="58"/>
  <c r="H100" i="58"/>
  <c r="I100" i="58"/>
  <c r="J100" i="58"/>
  <c r="G101" i="58"/>
  <c r="H101" i="58"/>
  <c r="I101" i="58"/>
  <c r="J101" i="58"/>
  <c r="J102" i="58" s="1"/>
  <c r="G102" i="58"/>
  <c r="H102" i="58"/>
  <c r="I102" i="58"/>
  <c r="F92" i="58"/>
  <c r="F93" i="58"/>
  <c r="F94" i="58"/>
  <c r="F95" i="58"/>
  <c r="F96" i="58"/>
  <c r="F99" i="58"/>
  <c r="F475" i="58" s="1"/>
  <c r="F100" i="58"/>
  <c r="F101" i="58"/>
  <c r="G87" i="58"/>
  <c r="H87" i="58"/>
  <c r="I87" i="58"/>
  <c r="J87" i="58"/>
  <c r="F87" i="58"/>
  <c r="G86" i="58"/>
  <c r="H86" i="58"/>
  <c r="I86" i="58"/>
  <c r="J86" i="58"/>
  <c r="F86" i="58"/>
  <c r="G80" i="58"/>
  <c r="H80" i="58"/>
  <c r="I80" i="58"/>
  <c r="J80" i="58"/>
  <c r="F80" i="58"/>
  <c r="G61" i="58"/>
  <c r="H61" i="58"/>
  <c r="I61" i="58"/>
  <c r="J61" i="58"/>
  <c r="F61" i="58"/>
  <c r="E514" i="59"/>
  <c r="D514" i="59"/>
  <c r="B514" i="59"/>
  <c r="E513" i="59"/>
  <c r="E515" i="59" s="1"/>
  <c r="D513" i="59"/>
  <c r="D515" i="59" s="1"/>
  <c r="B513" i="59"/>
  <c r="E509" i="59"/>
  <c r="E507" i="59"/>
  <c r="D507" i="59"/>
  <c r="B507" i="59"/>
  <c r="E506" i="59"/>
  <c r="E508" i="59" s="1"/>
  <c r="D506" i="59"/>
  <c r="D508" i="59" s="1"/>
  <c r="B506" i="59"/>
  <c r="B503" i="59"/>
  <c r="B480" i="59"/>
  <c r="J476" i="59"/>
  <c r="I476" i="59"/>
  <c r="H476" i="59"/>
  <c r="G476" i="59"/>
  <c r="F476" i="59"/>
  <c r="E476" i="59"/>
  <c r="D476" i="59"/>
  <c r="B476" i="59"/>
  <c r="J474" i="59"/>
  <c r="I474" i="59"/>
  <c r="H474" i="59"/>
  <c r="G474" i="59"/>
  <c r="F474" i="59"/>
  <c r="E474" i="59"/>
  <c r="D474" i="59"/>
  <c r="B474" i="59"/>
  <c r="E473" i="59"/>
  <c r="D473" i="59"/>
  <c r="B473" i="59"/>
  <c r="B471" i="59"/>
  <c r="J466" i="59"/>
  <c r="I466" i="59"/>
  <c r="H466" i="59"/>
  <c r="G466" i="59"/>
  <c r="F466" i="59"/>
  <c r="E466" i="59"/>
  <c r="D466" i="59"/>
  <c r="B466" i="59"/>
  <c r="J465" i="59"/>
  <c r="I465" i="59"/>
  <c r="H465" i="59"/>
  <c r="G465" i="59"/>
  <c r="F465" i="59"/>
  <c r="E465" i="59"/>
  <c r="D465" i="59"/>
  <c r="B465" i="59"/>
  <c r="E464" i="59"/>
  <c r="D464" i="59"/>
  <c r="B464" i="59"/>
  <c r="E461" i="59"/>
  <c r="D461" i="59"/>
  <c r="E460" i="59"/>
  <c r="D460" i="59"/>
  <c r="B460" i="59"/>
  <c r="J459" i="59"/>
  <c r="I459" i="59"/>
  <c r="H459" i="59"/>
  <c r="G459" i="59"/>
  <c r="F459" i="59"/>
  <c r="E459" i="59"/>
  <c r="D459" i="59"/>
  <c r="B459" i="59"/>
  <c r="J458" i="59"/>
  <c r="I458" i="59"/>
  <c r="H458" i="59"/>
  <c r="G458" i="59"/>
  <c r="F458" i="59"/>
  <c r="E458" i="59"/>
  <c r="D458" i="59"/>
  <c r="B458" i="59"/>
  <c r="J457" i="59"/>
  <c r="I457" i="59"/>
  <c r="H457" i="59"/>
  <c r="G457" i="59"/>
  <c r="F457" i="59"/>
  <c r="E457" i="59"/>
  <c r="D457" i="59"/>
  <c r="B457" i="59"/>
  <c r="J456" i="59"/>
  <c r="I456" i="59"/>
  <c r="H456" i="59"/>
  <c r="G456" i="59"/>
  <c r="F456" i="59"/>
  <c r="E456" i="59"/>
  <c r="D456" i="59"/>
  <c r="B456" i="59"/>
  <c r="J455" i="59"/>
  <c r="I455" i="59"/>
  <c r="H455" i="59"/>
  <c r="G455" i="59"/>
  <c r="F455" i="59"/>
  <c r="E455" i="59"/>
  <c r="D455" i="59"/>
  <c r="B455" i="59"/>
  <c r="J452" i="59"/>
  <c r="I452" i="59"/>
  <c r="H452" i="59"/>
  <c r="G452" i="59"/>
  <c r="F452" i="59"/>
  <c r="E452" i="59"/>
  <c r="D452" i="59"/>
  <c r="B452" i="59"/>
  <c r="J451" i="59"/>
  <c r="I451" i="59"/>
  <c r="H451" i="59"/>
  <c r="G451" i="59"/>
  <c r="F451" i="59"/>
  <c r="E451" i="59"/>
  <c r="D451" i="59"/>
  <c r="B451" i="59"/>
  <c r="B447" i="59"/>
  <c r="J446" i="59"/>
  <c r="I446" i="59"/>
  <c r="I447" i="59" s="1"/>
  <c r="H446" i="59"/>
  <c r="H447" i="59" s="1"/>
  <c r="G446" i="59"/>
  <c r="G447" i="59" s="1"/>
  <c r="G448" i="59" s="1"/>
  <c r="F446" i="59"/>
  <c r="F447" i="59" s="1"/>
  <c r="E446" i="59"/>
  <c r="D446" i="59"/>
  <c r="D447" i="59" s="1"/>
  <c r="B446" i="59"/>
  <c r="B442" i="59"/>
  <c r="J441" i="59"/>
  <c r="K441" i="59" s="1"/>
  <c r="L441" i="59" s="1"/>
  <c r="M441" i="59" s="1"/>
  <c r="N441" i="59" s="1"/>
  <c r="O441" i="59" s="1"/>
  <c r="P441" i="59" s="1"/>
  <c r="Q441" i="59" s="1"/>
  <c r="R441" i="59" s="1"/>
  <c r="S441" i="59" s="1"/>
  <c r="T441" i="59" s="1"/>
  <c r="I441" i="59"/>
  <c r="H441" i="59"/>
  <c r="G441" i="59"/>
  <c r="F441" i="59"/>
  <c r="E441" i="59"/>
  <c r="D441" i="59"/>
  <c r="B441" i="59"/>
  <c r="J440" i="59"/>
  <c r="I440" i="59"/>
  <c r="I442" i="59" s="1"/>
  <c r="H440" i="59"/>
  <c r="H442" i="59" s="1"/>
  <c r="G440" i="59"/>
  <c r="G442" i="59" s="1"/>
  <c r="F440" i="59"/>
  <c r="F442" i="59" s="1"/>
  <c r="E440" i="59"/>
  <c r="E442" i="59" s="1"/>
  <c r="D440" i="59"/>
  <c r="D442" i="59" s="1"/>
  <c r="B440" i="59"/>
  <c r="J437" i="59"/>
  <c r="I437" i="59"/>
  <c r="H437" i="59"/>
  <c r="G437" i="59"/>
  <c r="F437" i="59"/>
  <c r="E437" i="59"/>
  <c r="D437" i="59"/>
  <c r="B437" i="59"/>
  <c r="J436" i="59"/>
  <c r="I436" i="59"/>
  <c r="H436" i="59"/>
  <c r="G436" i="59"/>
  <c r="F436" i="59"/>
  <c r="E436" i="59"/>
  <c r="D436" i="59"/>
  <c r="B436" i="59"/>
  <c r="J433" i="59"/>
  <c r="I433" i="59"/>
  <c r="H433" i="59"/>
  <c r="G433" i="59"/>
  <c r="F433" i="59"/>
  <c r="E433" i="59"/>
  <c r="D433" i="59"/>
  <c r="B433" i="59"/>
  <c r="B431" i="59"/>
  <c r="J430" i="59"/>
  <c r="I430" i="59"/>
  <c r="H430" i="59"/>
  <c r="G430" i="59"/>
  <c r="F430" i="59"/>
  <c r="E430" i="59"/>
  <c r="D430" i="59"/>
  <c r="B430" i="59"/>
  <c r="J426" i="59"/>
  <c r="I426" i="59"/>
  <c r="H426" i="59"/>
  <c r="G426" i="59"/>
  <c r="F426" i="59"/>
  <c r="E426" i="59"/>
  <c r="D426" i="59"/>
  <c r="B426" i="59"/>
  <c r="J423" i="59"/>
  <c r="I423" i="59"/>
  <c r="H423" i="59"/>
  <c r="G423" i="59"/>
  <c r="F423" i="59"/>
  <c r="E423" i="59"/>
  <c r="D423" i="59"/>
  <c r="B423" i="59"/>
  <c r="J422" i="59"/>
  <c r="I422" i="59"/>
  <c r="H422" i="59"/>
  <c r="G422" i="59"/>
  <c r="F422" i="59"/>
  <c r="E422" i="59"/>
  <c r="D422" i="59"/>
  <c r="D468" i="59" s="1"/>
  <c r="B422" i="59"/>
  <c r="J421" i="59"/>
  <c r="I421" i="59"/>
  <c r="H421" i="59"/>
  <c r="G421" i="59"/>
  <c r="F421" i="59"/>
  <c r="E421" i="59"/>
  <c r="D421" i="59"/>
  <c r="B421" i="59"/>
  <c r="J418" i="59"/>
  <c r="I418" i="59"/>
  <c r="H418" i="59"/>
  <c r="G418" i="59"/>
  <c r="F418" i="59"/>
  <c r="E418" i="59"/>
  <c r="D418" i="59"/>
  <c r="B418" i="59"/>
  <c r="J417" i="59"/>
  <c r="I417" i="59"/>
  <c r="H417" i="59"/>
  <c r="G417" i="59"/>
  <c r="F417" i="59"/>
  <c r="E417" i="59"/>
  <c r="D417" i="59"/>
  <c r="B417" i="59"/>
  <c r="J416" i="59"/>
  <c r="I416" i="59"/>
  <c r="H416" i="59"/>
  <c r="G416" i="59"/>
  <c r="F416" i="59"/>
  <c r="E416" i="59"/>
  <c r="D416" i="59"/>
  <c r="B416" i="59"/>
  <c r="J415" i="59"/>
  <c r="I415" i="59"/>
  <c r="H415" i="59"/>
  <c r="G415" i="59"/>
  <c r="F415" i="59"/>
  <c r="E415" i="59"/>
  <c r="D415" i="59"/>
  <c r="B415" i="59"/>
  <c r="J414" i="59"/>
  <c r="I414" i="59"/>
  <c r="H414" i="59"/>
  <c r="G414" i="59"/>
  <c r="F414" i="59"/>
  <c r="E414" i="59"/>
  <c r="D414" i="59"/>
  <c r="B414" i="59"/>
  <c r="J413" i="59"/>
  <c r="I413" i="59"/>
  <c r="H413" i="59"/>
  <c r="G413" i="59"/>
  <c r="F413" i="59"/>
  <c r="E413" i="59"/>
  <c r="D413" i="59"/>
  <c r="B413" i="59"/>
  <c r="J409" i="59"/>
  <c r="I409" i="59"/>
  <c r="H409" i="59"/>
  <c r="G409" i="59"/>
  <c r="F409" i="59"/>
  <c r="E409" i="59"/>
  <c r="D409" i="59"/>
  <c r="B409" i="59"/>
  <c r="J408" i="59"/>
  <c r="I408" i="59"/>
  <c r="H408" i="59"/>
  <c r="G408" i="59"/>
  <c r="F408" i="59"/>
  <c r="E408" i="59"/>
  <c r="D408" i="59"/>
  <c r="B408" i="59"/>
  <c r="J407" i="59"/>
  <c r="I407" i="59"/>
  <c r="I410" i="59" s="1"/>
  <c r="H407" i="59"/>
  <c r="H410" i="59" s="1"/>
  <c r="G407" i="59"/>
  <c r="G410" i="59" s="1"/>
  <c r="F407" i="59"/>
  <c r="F410" i="59" s="1"/>
  <c r="E407" i="59"/>
  <c r="E410" i="59" s="1"/>
  <c r="D407" i="59"/>
  <c r="D410" i="59" s="1"/>
  <c r="B407" i="59"/>
  <c r="J404" i="59"/>
  <c r="I404" i="59"/>
  <c r="H404" i="59"/>
  <c r="G404" i="59"/>
  <c r="F404" i="59"/>
  <c r="E404" i="59"/>
  <c r="D404" i="59"/>
  <c r="B404" i="59"/>
  <c r="B402" i="59"/>
  <c r="J398" i="59"/>
  <c r="I398" i="59"/>
  <c r="H398" i="59"/>
  <c r="G398" i="59"/>
  <c r="F398" i="59"/>
  <c r="E398" i="59"/>
  <c r="D398" i="59"/>
  <c r="B398" i="59"/>
  <c r="J397" i="59"/>
  <c r="I397" i="59"/>
  <c r="H397" i="59"/>
  <c r="G397" i="59"/>
  <c r="F397" i="59"/>
  <c r="E397" i="59"/>
  <c r="D397" i="59"/>
  <c r="B397" i="59"/>
  <c r="E396" i="59"/>
  <c r="D396" i="59"/>
  <c r="B396" i="59"/>
  <c r="J391" i="59"/>
  <c r="I391" i="59"/>
  <c r="H391" i="59"/>
  <c r="G391" i="59"/>
  <c r="F391" i="59"/>
  <c r="E391" i="59"/>
  <c r="D391" i="59"/>
  <c r="B391" i="59"/>
  <c r="J390" i="59"/>
  <c r="I390" i="59"/>
  <c r="H390" i="59"/>
  <c r="G390" i="59"/>
  <c r="F390" i="59"/>
  <c r="E390" i="59"/>
  <c r="D390" i="59"/>
  <c r="B390" i="59"/>
  <c r="C389" i="59"/>
  <c r="B388" i="59"/>
  <c r="J384" i="59"/>
  <c r="J379" i="59" s="1"/>
  <c r="I384" i="59"/>
  <c r="H384" i="59"/>
  <c r="G384" i="59"/>
  <c r="F384" i="59"/>
  <c r="F379" i="59" s="1"/>
  <c r="F383" i="59" s="1"/>
  <c r="E384" i="59"/>
  <c r="D384" i="59"/>
  <c r="B384" i="59"/>
  <c r="B383" i="59"/>
  <c r="J380" i="59"/>
  <c r="I380" i="59"/>
  <c r="I379" i="59" s="1"/>
  <c r="I383" i="59" s="1"/>
  <c r="H380" i="59"/>
  <c r="G380" i="59"/>
  <c r="F380" i="59"/>
  <c r="E380" i="59"/>
  <c r="E379" i="59" s="1"/>
  <c r="E383" i="59" s="1"/>
  <c r="D380" i="59"/>
  <c r="D379" i="59" s="1"/>
  <c r="D383" i="59" s="1"/>
  <c r="B380" i="59"/>
  <c r="B379" i="59"/>
  <c r="C376" i="59"/>
  <c r="T375" i="59"/>
  <c r="S375" i="59"/>
  <c r="R375" i="59"/>
  <c r="Q375" i="59"/>
  <c r="P375" i="59"/>
  <c r="O375" i="59"/>
  <c r="N375" i="59"/>
  <c r="M375" i="59"/>
  <c r="L375" i="59"/>
  <c r="K375" i="59"/>
  <c r="J375" i="59"/>
  <c r="I375" i="59"/>
  <c r="H375" i="59"/>
  <c r="G375" i="59"/>
  <c r="F375" i="59"/>
  <c r="F237" i="59" s="1"/>
  <c r="E375" i="59"/>
  <c r="D375" i="59"/>
  <c r="B375" i="59"/>
  <c r="T374" i="59"/>
  <c r="S374" i="59"/>
  <c r="S144" i="59" s="1"/>
  <c r="R374" i="59"/>
  <c r="Q374" i="59"/>
  <c r="P374" i="59"/>
  <c r="O374" i="59"/>
  <c r="O144" i="59" s="1"/>
  <c r="N374" i="59"/>
  <c r="M374" i="59"/>
  <c r="L374" i="59"/>
  <c r="K374" i="59"/>
  <c r="K144" i="59" s="1"/>
  <c r="J374" i="59"/>
  <c r="I374" i="59"/>
  <c r="H374" i="59"/>
  <c r="H144" i="59" s="1"/>
  <c r="G374" i="59"/>
  <c r="G144" i="59" s="1"/>
  <c r="F374" i="59"/>
  <c r="E374" i="59"/>
  <c r="D374" i="59"/>
  <c r="B374" i="59"/>
  <c r="T373" i="59"/>
  <c r="S373" i="59"/>
  <c r="R373" i="59"/>
  <c r="Q373" i="59"/>
  <c r="P373" i="59"/>
  <c r="O373" i="59"/>
  <c r="N373" i="59"/>
  <c r="M373" i="59"/>
  <c r="L373" i="59"/>
  <c r="K373" i="59"/>
  <c r="J373" i="59"/>
  <c r="I373" i="59"/>
  <c r="H373" i="59"/>
  <c r="G373" i="59"/>
  <c r="F373" i="59"/>
  <c r="E373" i="59"/>
  <c r="D373" i="59"/>
  <c r="B373" i="59"/>
  <c r="T372" i="59"/>
  <c r="S372" i="59"/>
  <c r="S237" i="59" s="1"/>
  <c r="R372" i="59"/>
  <c r="Q372" i="59"/>
  <c r="P372" i="59"/>
  <c r="O372" i="59"/>
  <c r="O237" i="59" s="1"/>
  <c r="N372" i="59"/>
  <c r="M372" i="59"/>
  <c r="L372" i="59"/>
  <c r="K372" i="59"/>
  <c r="K237" i="59" s="1"/>
  <c r="J372" i="59"/>
  <c r="I372" i="59"/>
  <c r="H372" i="59"/>
  <c r="G372" i="59"/>
  <c r="G237" i="59" s="1"/>
  <c r="F372" i="59"/>
  <c r="E372" i="59"/>
  <c r="D372" i="59"/>
  <c r="B372" i="59"/>
  <c r="T371" i="59"/>
  <c r="S371" i="59"/>
  <c r="P371" i="59"/>
  <c r="O371" i="59"/>
  <c r="N371" i="59"/>
  <c r="M371" i="59"/>
  <c r="J371" i="59"/>
  <c r="I371" i="59"/>
  <c r="H371" i="59"/>
  <c r="G371" i="59"/>
  <c r="F371" i="59"/>
  <c r="E371" i="59"/>
  <c r="D371" i="59"/>
  <c r="B371" i="59"/>
  <c r="T370" i="59"/>
  <c r="S370" i="59"/>
  <c r="R370" i="59"/>
  <c r="Q370" i="59"/>
  <c r="P370" i="59"/>
  <c r="O370" i="59"/>
  <c r="N370" i="59"/>
  <c r="M370" i="59"/>
  <c r="L370" i="59"/>
  <c r="K370" i="59"/>
  <c r="J370" i="59"/>
  <c r="I370" i="59"/>
  <c r="H370" i="59"/>
  <c r="G370" i="59"/>
  <c r="F370" i="59"/>
  <c r="E370" i="59"/>
  <c r="D370" i="59"/>
  <c r="B370" i="59"/>
  <c r="B366" i="59"/>
  <c r="J365" i="59"/>
  <c r="I365" i="59"/>
  <c r="H365" i="59"/>
  <c r="G365" i="59"/>
  <c r="F365" i="59"/>
  <c r="E365" i="59"/>
  <c r="D365" i="59"/>
  <c r="B365" i="59"/>
  <c r="B361" i="59"/>
  <c r="E358" i="59"/>
  <c r="D358" i="59"/>
  <c r="B358" i="59"/>
  <c r="E357" i="59"/>
  <c r="D357" i="59"/>
  <c r="B357" i="59"/>
  <c r="E356" i="59"/>
  <c r="D356" i="59"/>
  <c r="B356" i="59"/>
  <c r="C354" i="59"/>
  <c r="E353" i="59"/>
  <c r="D353" i="59"/>
  <c r="B353" i="59"/>
  <c r="E352" i="59"/>
  <c r="E467" i="59" s="1"/>
  <c r="D352" i="59"/>
  <c r="D467" i="59" s="1"/>
  <c r="B352" i="59"/>
  <c r="E350" i="59"/>
  <c r="D350" i="59"/>
  <c r="D303" i="59" s="1"/>
  <c r="B350" i="59"/>
  <c r="E349" i="59"/>
  <c r="D349" i="59"/>
  <c r="D245" i="59" s="1"/>
  <c r="B349" i="59"/>
  <c r="E348" i="59"/>
  <c r="D348" i="59"/>
  <c r="B348" i="59"/>
  <c r="E347" i="59"/>
  <c r="D347" i="59"/>
  <c r="B347" i="59"/>
  <c r="B343" i="59"/>
  <c r="J342" i="59"/>
  <c r="I342" i="59"/>
  <c r="H342" i="59"/>
  <c r="G342" i="59"/>
  <c r="F342" i="59"/>
  <c r="E342" i="59"/>
  <c r="D342" i="59"/>
  <c r="B342" i="59"/>
  <c r="J341" i="59"/>
  <c r="K341" i="59" s="1"/>
  <c r="L341" i="59" s="1"/>
  <c r="M341" i="59" s="1"/>
  <c r="N341" i="59" s="1"/>
  <c r="O341" i="59" s="1"/>
  <c r="P341" i="59" s="1"/>
  <c r="Q341" i="59" s="1"/>
  <c r="R341" i="59" s="1"/>
  <c r="S341" i="59" s="1"/>
  <c r="T341" i="59" s="1"/>
  <c r="I341" i="59"/>
  <c r="H341" i="59"/>
  <c r="G341" i="59"/>
  <c r="F341" i="59"/>
  <c r="E341" i="59"/>
  <c r="D341" i="59"/>
  <c r="B341" i="59"/>
  <c r="B339" i="59"/>
  <c r="B334" i="59"/>
  <c r="J333" i="59"/>
  <c r="I333" i="59"/>
  <c r="H333" i="59"/>
  <c r="G333" i="59"/>
  <c r="F333" i="59"/>
  <c r="E333" i="59"/>
  <c r="D333" i="59"/>
  <c r="B333" i="59"/>
  <c r="K332" i="59"/>
  <c r="L332" i="59" s="1"/>
  <c r="M332" i="59" s="1"/>
  <c r="N332" i="59" s="1"/>
  <c r="O332" i="59" s="1"/>
  <c r="P332" i="59" s="1"/>
  <c r="Q332" i="59" s="1"/>
  <c r="R332" i="59" s="1"/>
  <c r="S332" i="59" s="1"/>
  <c r="T332" i="59" s="1"/>
  <c r="J332" i="59"/>
  <c r="I332" i="59"/>
  <c r="H332" i="59"/>
  <c r="G332" i="59"/>
  <c r="F332" i="59"/>
  <c r="E332" i="59"/>
  <c r="D332" i="59"/>
  <c r="B332" i="59"/>
  <c r="B330" i="59"/>
  <c r="J326" i="59"/>
  <c r="I326" i="59"/>
  <c r="H326" i="59"/>
  <c r="G326" i="59"/>
  <c r="F326" i="59"/>
  <c r="E326" i="59"/>
  <c r="D326" i="59"/>
  <c r="B326" i="59"/>
  <c r="B324" i="59"/>
  <c r="J323" i="59"/>
  <c r="I323" i="59"/>
  <c r="H323" i="59"/>
  <c r="G323" i="59"/>
  <c r="F323" i="59"/>
  <c r="E323" i="59"/>
  <c r="D323" i="59"/>
  <c r="B323" i="59"/>
  <c r="J319" i="59"/>
  <c r="I319" i="59"/>
  <c r="H319" i="59"/>
  <c r="G319" i="59"/>
  <c r="F319" i="59"/>
  <c r="E319" i="59"/>
  <c r="D319" i="59"/>
  <c r="B319" i="59"/>
  <c r="B317" i="59"/>
  <c r="J313" i="59"/>
  <c r="J42" i="59" s="1"/>
  <c r="I313" i="59"/>
  <c r="H313" i="59"/>
  <c r="G313" i="59"/>
  <c r="G42" i="59" s="1"/>
  <c r="F313" i="59"/>
  <c r="F42" i="59" s="1"/>
  <c r="E313" i="59"/>
  <c r="D313" i="59"/>
  <c r="B313" i="59"/>
  <c r="J312" i="59"/>
  <c r="I312" i="59"/>
  <c r="H312" i="59"/>
  <c r="G312" i="59"/>
  <c r="F312" i="59"/>
  <c r="E312" i="59"/>
  <c r="D312" i="59"/>
  <c r="B312" i="59"/>
  <c r="B308" i="59"/>
  <c r="J307" i="59"/>
  <c r="I307" i="59"/>
  <c r="H307" i="59"/>
  <c r="G307" i="59"/>
  <c r="F307" i="59"/>
  <c r="E307" i="59"/>
  <c r="D307" i="59"/>
  <c r="B307" i="59"/>
  <c r="J306" i="59"/>
  <c r="K306" i="59" s="1"/>
  <c r="L306" i="59" s="1"/>
  <c r="M306" i="59" s="1"/>
  <c r="N306" i="59" s="1"/>
  <c r="O306" i="59" s="1"/>
  <c r="P306" i="59" s="1"/>
  <c r="Q306" i="59" s="1"/>
  <c r="R306" i="59" s="1"/>
  <c r="S306" i="59" s="1"/>
  <c r="T306" i="59" s="1"/>
  <c r="I306" i="59"/>
  <c r="H306" i="59"/>
  <c r="G306" i="59"/>
  <c r="F306" i="59"/>
  <c r="E306" i="59"/>
  <c r="D306" i="59"/>
  <c r="B306" i="59"/>
  <c r="E304" i="59"/>
  <c r="B304" i="59"/>
  <c r="E303" i="59"/>
  <c r="J300" i="59"/>
  <c r="I300" i="59"/>
  <c r="H300" i="59"/>
  <c r="G300" i="59"/>
  <c r="F300" i="59"/>
  <c r="E300" i="59"/>
  <c r="D300" i="59"/>
  <c r="B300" i="59"/>
  <c r="J299" i="59"/>
  <c r="I299" i="59"/>
  <c r="H299" i="59"/>
  <c r="G299" i="59"/>
  <c r="F299" i="59"/>
  <c r="E299" i="59"/>
  <c r="D299" i="59"/>
  <c r="B299" i="59"/>
  <c r="J298" i="59"/>
  <c r="I298" i="59"/>
  <c r="H298" i="59"/>
  <c r="G298" i="59"/>
  <c r="F298" i="59"/>
  <c r="E298" i="59"/>
  <c r="D298" i="59"/>
  <c r="B298" i="59"/>
  <c r="J292" i="59"/>
  <c r="I292" i="59"/>
  <c r="H292" i="59"/>
  <c r="G292" i="59"/>
  <c r="F292" i="59"/>
  <c r="E292" i="59"/>
  <c r="D292" i="59"/>
  <c r="B292" i="59"/>
  <c r="J291" i="59"/>
  <c r="I291" i="59"/>
  <c r="H291" i="59"/>
  <c r="G291" i="59"/>
  <c r="F291" i="59"/>
  <c r="E291" i="59"/>
  <c r="D291" i="59"/>
  <c r="B291" i="59"/>
  <c r="E288" i="59"/>
  <c r="D288" i="59"/>
  <c r="B288" i="59"/>
  <c r="E287" i="59"/>
  <c r="D287" i="59"/>
  <c r="B287" i="59"/>
  <c r="E284" i="59"/>
  <c r="D284" i="59"/>
  <c r="B284" i="59"/>
  <c r="E283" i="59"/>
  <c r="D283" i="59"/>
  <c r="B283" i="59"/>
  <c r="E280" i="59"/>
  <c r="D280" i="59"/>
  <c r="B280" i="59"/>
  <c r="E279" i="59"/>
  <c r="D279" i="59"/>
  <c r="B279" i="59"/>
  <c r="E276" i="59"/>
  <c r="D276" i="59"/>
  <c r="B276" i="59"/>
  <c r="E275" i="59"/>
  <c r="D275" i="59"/>
  <c r="B275" i="59"/>
  <c r="E272" i="59"/>
  <c r="D272" i="59"/>
  <c r="B272" i="59"/>
  <c r="B270" i="59"/>
  <c r="B264" i="59"/>
  <c r="J263" i="59"/>
  <c r="I263" i="59"/>
  <c r="H263" i="59"/>
  <c r="G263" i="59"/>
  <c r="F263" i="59"/>
  <c r="E263" i="59"/>
  <c r="D263" i="59"/>
  <c r="B263" i="59"/>
  <c r="J262" i="59"/>
  <c r="I262" i="59"/>
  <c r="H262" i="59"/>
  <c r="G262" i="59"/>
  <c r="F262" i="59"/>
  <c r="E262" i="59"/>
  <c r="D262" i="59"/>
  <c r="B262" i="59"/>
  <c r="J261" i="59"/>
  <c r="J264" i="59" s="1"/>
  <c r="I261" i="59"/>
  <c r="H261" i="59"/>
  <c r="H264" i="59" s="1"/>
  <c r="G261" i="59"/>
  <c r="F261" i="59"/>
  <c r="F264" i="59" s="1"/>
  <c r="E261" i="59"/>
  <c r="D261" i="59"/>
  <c r="B261" i="59"/>
  <c r="E258" i="59"/>
  <c r="D258" i="59"/>
  <c r="B258" i="59"/>
  <c r="E257" i="59"/>
  <c r="D257" i="59"/>
  <c r="B257" i="59"/>
  <c r="E254" i="59"/>
  <c r="D254" i="59"/>
  <c r="B254" i="59"/>
  <c r="E253" i="59"/>
  <c r="D253" i="59"/>
  <c r="B253" i="59"/>
  <c r="E250" i="59"/>
  <c r="D250" i="59"/>
  <c r="B250" i="59"/>
  <c r="B248" i="59"/>
  <c r="J247" i="59"/>
  <c r="I247" i="59"/>
  <c r="H247" i="59"/>
  <c r="G247" i="59"/>
  <c r="F247" i="59"/>
  <c r="E247" i="59"/>
  <c r="D247" i="59"/>
  <c r="E245" i="59"/>
  <c r="B241" i="59"/>
  <c r="J240" i="59"/>
  <c r="I240" i="59"/>
  <c r="H240" i="59"/>
  <c r="G240" i="59"/>
  <c r="F240" i="59"/>
  <c r="E240" i="59"/>
  <c r="D240" i="59"/>
  <c r="B240" i="59"/>
  <c r="B238" i="59"/>
  <c r="T237" i="59"/>
  <c r="T490" i="59" s="1"/>
  <c r="R237" i="59"/>
  <c r="R490" i="59" s="1"/>
  <c r="P237" i="59"/>
  <c r="P490" i="59" s="1"/>
  <c r="N237" i="59"/>
  <c r="N490" i="59" s="1"/>
  <c r="L237" i="59"/>
  <c r="L490" i="59" s="1"/>
  <c r="J237" i="59"/>
  <c r="H237" i="59"/>
  <c r="D237" i="59"/>
  <c r="B232" i="59"/>
  <c r="J231" i="59"/>
  <c r="I231" i="59"/>
  <c r="H231" i="59"/>
  <c r="G231" i="59"/>
  <c r="F231" i="59"/>
  <c r="E231" i="59"/>
  <c r="D231" i="59"/>
  <c r="B231" i="59"/>
  <c r="E230" i="59"/>
  <c r="E232" i="59" s="1"/>
  <c r="D230" i="59"/>
  <c r="D232" i="59" s="1"/>
  <c r="B230" i="59"/>
  <c r="J227" i="59"/>
  <c r="K227" i="59" s="1"/>
  <c r="I227" i="59"/>
  <c r="H227" i="59"/>
  <c r="G227" i="59"/>
  <c r="F227" i="59"/>
  <c r="E227" i="59"/>
  <c r="D227" i="59"/>
  <c r="B227" i="59"/>
  <c r="J226" i="59"/>
  <c r="K226" i="59" s="1"/>
  <c r="L226" i="59" s="1"/>
  <c r="M226" i="59" s="1"/>
  <c r="N226" i="59" s="1"/>
  <c r="O226" i="59" s="1"/>
  <c r="P226" i="59" s="1"/>
  <c r="Q226" i="59" s="1"/>
  <c r="R226" i="59" s="1"/>
  <c r="S226" i="59" s="1"/>
  <c r="T226" i="59" s="1"/>
  <c r="I226" i="59"/>
  <c r="H226" i="59"/>
  <c r="G226" i="59"/>
  <c r="F226" i="59"/>
  <c r="E226" i="59"/>
  <c r="D226" i="59"/>
  <c r="B226" i="59"/>
  <c r="J223" i="59"/>
  <c r="I223" i="59"/>
  <c r="H223" i="59"/>
  <c r="G223" i="59"/>
  <c r="F223" i="59"/>
  <c r="E223" i="59"/>
  <c r="D223" i="59"/>
  <c r="B223" i="59"/>
  <c r="J220" i="59"/>
  <c r="I220" i="59"/>
  <c r="H220" i="59"/>
  <c r="G220" i="59"/>
  <c r="F220" i="59"/>
  <c r="E220" i="59"/>
  <c r="D220" i="59"/>
  <c r="E219" i="59" s="1"/>
  <c r="B220" i="59"/>
  <c r="J216" i="59"/>
  <c r="I216" i="59"/>
  <c r="H216" i="59"/>
  <c r="G216" i="59"/>
  <c r="F216" i="59"/>
  <c r="E216" i="59"/>
  <c r="D216" i="59"/>
  <c r="B216" i="59"/>
  <c r="J215" i="59"/>
  <c r="K215" i="59" s="1"/>
  <c r="I215" i="59"/>
  <c r="H215" i="59"/>
  <c r="G215" i="59"/>
  <c r="F215" i="59"/>
  <c r="E215" i="59"/>
  <c r="D215" i="59"/>
  <c r="B215" i="59"/>
  <c r="J213" i="59"/>
  <c r="I213" i="59"/>
  <c r="H213" i="59"/>
  <c r="G213" i="59"/>
  <c r="F213" i="59"/>
  <c r="E213" i="59"/>
  <c r="D213" i="59"/>
  <c r="B213" i="59"/>
  <c r="J212" i="59"/>
  <c r="I212" i="59"/>
  <c r="H212" i="59"/>
  <c r="G212" i="59"/>
  <c r="F212" i="59"/>
  <c r="E212" i="59"/>
  <c r="D212" i="59"/>
  <c r="B212" i="59"/>
  <c r="J211" i="59"/>
  <c r="J268" i="59" s="1"/>
  <c r="I211" i="59"/>
  <c r="I268" i="59" s="1"/>
  <c r="H211" i="59"/>
  <c r="H214" i="59" s="1"/>
  <c r="G211" i="59"/>
  <c r="G268" i="59" s="1"/>
  <c r="F211" i="59"/>
  <c r="F268" i="59" s="1"/>
  <c r="E211" i="59"/>
  <c r="E268" i="59" s="1"/>
  <c r="D211" i="59"/>
  <c r="D214" i="59" s="1"/>
  <c r="B211" i="59"/>
  <c r="J206" i="59"/>
  <c r="I206" i="59"/>
  <c r="H206" i="59"/>
  <c r="G206" i="59"/>
  <c r="F206" i="59"/>
  <c r="E206" i="59"/>
  <c r="D206" i="59"/>
  <c r="B206" i="59"/>
  <c r="J205" i="59"/>
  <c r="I205" i="59"/>
  <c r="H205" i="59"/>
  <c r="G205" i="59"/>
  <c r="F205" i="59"/>
  <c r="E205" i="59"/>
  <c r="D205" i="59"/>
  <c r="B205" i="59"/>
  <c r="J204" i="59"/>
  <c r="I204" i="59"/>
  <c r="H204" i="59"/>
  <c r="G204" i="59"/>
  <c r="F204" i="59"/>
  <c r="E204" i="59"/>
  <c r="D204" i="59"/>
  <c r="B204" i="59"/>
  <c r="E203" i="59"/>
  <c r="E207" i="59" s="1"/>
  <c r="D203" i="59"/>
  <c r="D207" i="59" s="1"/>
  <c r="B203" i="59"/>
  <c r="J199" i="59"/>
  <c r="I199" i="59"/>
  <c r="H199" i="59"/>
  <c r="G199" i="59"/>
  <c r="F199" i="59"/>
  <c r="E199" i="59"/>
  <c r="D199" i="59"/>
  <c r="B199" i="59"/>
  <c r="J198" i="59"/>
  <c r="I198" i="59"/>
  <c r="H198" i="59"/>
  <c r="G198" i="59"/>
  <c r="F198" i="59"/>
  <c r="E198" i="59"/>
  <c r="D198" i="59"/>
  <c r="B198" i="59"/>
  <c r="J197" i="59"/>
  <c r="I197" i="59"/>
  <c r="H197" i="59"/>
  <c r="G197" i="59"/>
  <c r="F197" i="59"/>
  <c r="E197" i="59"/>
  <c r="D197" i="59"/>
  <c r="B197" i="59"/>
  <c r="E196" i="59"/>
  <c r="D196" i="59"/>
  <c r="B196" i="59"/>
  <c r="J192" i="59"/>
  <c r="I192" i="59"/>
  <c r="H192" i="59"/>
  <c r="G192" i="59"/>
  <c r="F192" i="59"/>
  <c r="E192" i="59"/>
  <c r="D192" i="59"/>
  <c r="B192" i="59"/>
  <c r="J191" i="59"/>
  <c r="I191" i="59"/>
  <c r="H191" i="59"/>
  <c r="G191" i="59"/>
  <c r="F191" i="59"/>
  <c r="E191" i="59"/>
  <c r="D191" i="59"/>
  <c r="B191" i="59"/>
  <c r="J190" i="59"/>
  <c r="J193" i="59" s="1"/>
  <c r="J106" i="59" s="1"/>
  <c r="I190" i="59"/>
  <c r="H190" i="59"/>
  <c r="G190" i="59"/>
  <c r="F190" i="59"/>
  <c r="E190" i="59"/>
  <c r="D190" i="59"/>
  <c r="B190" i="59"/>
  <c r="J186" i="59"/>
  <c r="I186" i="59"/>
  <c r="H186" i="59"/>
  <c r="G186" i="59"/>
  <c r="F186" i="59"/>
  <c r="E186" i="59"/>
  <c r="D186" i="59"/>
  <c r="B186" i="59"/>
  <c r="J185" i="59"/>
  <c r="I185" i="59"/>
  <c r="H185" i="59"/>
  <c r="G185" i="59"/>
  <c r="F185" i="59"/>
  <c r="E185" i="59"/>
  <c r="D185" i="59"/>
  <c r="B185" i="59"/>
  <c r="J184" i="59"/>
  <c r="I184" i="59"/>
  <c r="H184" i="59"/>
  <c r="G184" i="59"/>
  <c r="F184" i="59"/>
  <c r="E184" i="59"/>
  <c r="D184" i="59"/>
  <c r="B184" i="59"/>
  <c r="E183" i="59"/>
  <c r="D183" i="59"/>
  <c r="D187" i="59" s="1"/>
  <c r="B183" i="59"/>
  <c r="J180" i="59"/>
  <c r="I180" i="59"/>
  <c r="H180" i="59"/>
  <c r="G180" i="59"/>
  <c r="F180" i="59"/>
  <c r="E180" i="59"/>
  <c r="D180" i="59"/>
  <c r="B180" i="59"/>
  <c r="J179" i="59"/>
  <c r="I179" i="59"/>
  <c r="H179" i="59"/>
  <c r="G179" i="59"/>
  <c r="F179" i="59"/>
  <c r="E179" i="59"/>
  <c r="D179" i="59"/>
  <c r="B179" i="59"/>
  <c r="J178" i="59"/>
  <c r="I178" i="59"/>
  <c r="H178" i="59"/>
  <c r="G178" i="59"/>
  <c r="F178" i="59"/>
  <c r="E178" i="59"/>
  <c r="D178" i="59"/>
  <c r="B178" i="59"/>
  <c r="J177" i="59"/>
  <c r="I177" i="59"/>
  <c r="H177" i="59"/>
  <c r="G177" i="59"/>
  <c r="F177" i="59"/>
  <c r="E177" i="59"/>
  <c r="D177" i="59"/>
  <c r="B177" i="59"/>
  <c r="B174" i="59"/>
  <c r="J173" i="59"/>
  <c r="K173" i="59" s="1"/>
  <c r="L173" i="59" s="1"/>
  <c r="M173" i="59" s="1"/>
  <c r="N173" i="59" s="1"/>
  <c r="O173" i="59" s="1"/>
  <c r="P173" i="59" s="1"/>
  <c r="Q173" i="59" s="1"/>
  <c r="R173" i="59" s="1"/>
  <c r="S173" i="59" s="1"/>
  <c r="T173" i="59" s="1"/>
  <c r="I173" i="59"/>
  <c r="H173" i="59"/>
  <c r="G173" i="59"/>
  <c r="F173" i="59"/>
  <c r="E173" i="59"/>
  <c r="D173" i="59"/>
  <c r="B173" i="59"/>
  <c r="B171" i="59"/>
  <c r="J170" i="59"/>
  <c r="I170" i="59"/>
  <c r="H170" i="59"/>
  <c r="G170" i="59"/>
  <c r="F170" i="59"/>
  <c r="E170" i="59"/>
  <c r="D170" i="59"/>
  <c r="B170" i="59"/>
  <c r="J168" i="59"/>
  <c r="J246" i="59" s="1"/>
  <c r="I168" i="59"/>
  <c r="I246" i="59" s="1"/>
  <c r="H168" i="59"/>
  <c r="H246" i="59" s="1"/>
  <c r="G168" i="59"/>
  <c r="G246" i="59" s="1"/>
  <c r="F168" i="59"/>
  <c r="F246" i="59" s="1"/>
  <c r="E168" i="59"/>
  <c r="E246" i="59" s="1"/>
  <c r="D168" i="59"/>
  <c r="D246" i="59" s="1"/>
  <c r="B168" i="59"/>
  <c r="J167" i="59"/>
  <c r="J269" i="59" s="1"/>
  <c r="I167" i="59"/>
  <c r="I269" i="59" s="1"/>
  <c r="H167" i="59"/>
  <c r="H269" i="59" s="1"/>
  <c r="G167" i="59"/>
  <c r="G269" i="59" s="1"/>
  <c r="F167" i="59"/>
  <c r="F269" i="59" s="1"/>
  <c r="E167" i="59"/>
  <c r="E269" i="59" s="1"/>
  <c r="D167" i="59"/>
  <c r="D269" i="59" s="1"/>
  <c r="B167" i="59"/>
  <c r="J165" i="59"/>
  <c r="J236" i="59" s="1"/>
  <c r="I165" i="59"/>
  <c r="I236" i="59" s="1"/>
  <c r="H165" i="59"/>
  <c r="H236" i="59" s="1"/>
  <c r="G165" i="59"/>
  <c r="G236" i="59" s="1"/>
  <c r="F165" i="59"/>
  <c r="F236" i="59" s="1"/>
  <c r="E165" i="59"/>
  <c r="E236" i="59" s="1"/>
  <c r="D165" i="59"/>
  <c r="D236" i="59" s="1"/>
  <c r="B165" i="59"/>
  <c r="J163" i="59"/>
  <c r="I163" i="59"/>
  <c r="H163" i="59"/>
  <c r="G163" i="59"/>
  <c r="F163" i="59"/>
  <c r="E163" i="59"/>
  <c r="D163" i="59"/>
  <c r="B163" i="59"/>
  <c r="J162" i="59"/>
  <c r="I162" i="59"/>
  <c r="H162" i="59"/>
  <c r="G162" i="59"/>
  <c r="F162" i="59"/>
  <c r="E162" i="59"/>
  <c r="D162" i="59"/>
  <c r="B162" i="59"/>
  <c r="J161" i="59"/>
  <c r="I161" i="59"/>
  <c r="H161" i="59"/>
  <c r="G161" i="59"/>
  <c r="F161" i="59"/>
  <c r="E161" i="59"/>
  <c r="D161" i="59"/>
  <c r="B161" i="59"/>
  <c r="J160" i="59"/>
  <c r="I160" i="59"/>
  <c r="H160" i="59"/>
  <c r="G160" i="59"/>
  <c r="F160" i="59"/>
  <c r="E160" i="59"/>
  <c r="D160" i="59"/>
  <c r="B160" i="59"/>
  <c r="J159" i="59"/>
  <c r="I159" i="59"/>
  <c r="H159" i="59"/>
  <c r="G159" i="59"/>
  <c r="F159" i="59"/>
  <c r="E159" i="59"/>
  <c r="D159" i="59"/>
  <c r="B159" i="59"/>
  <c r="J158" i="59"/>
  <c r="J164" i="59" s="1"/>
  <c r="I158" i="59"/>
  <c r="H158" i="59"/>
  <c r="H164" i="59" s="1"/>
  <c r="G158" i="59"/>
  <c r="F158" i="59"/>
  <c r="F164" i="59" s="1"/>
  <c r="E158" i="59"/>
  <c r="D158" i="59"/>
  <c r="D164" i="59" s="1"/>
  <c r="B158" i="59"/>
  <c r="J155" i="59"/>
  <c r="I155" i="59"/>
  <c r="H155" i="59"/>
  <c r="G155" i="59"/>
  <c r="F155" i="59"/>
  <c r="E155" i="59"/>
  <c r="D155" i="59"/>
  <c r="B155" i="59"/>
  <c r="J154" i="59"/>
  <c r="I154" i="59"/>
  <c r="H154" i="59"/>
  <c r="G154" i="59"/>
  <c r="F154" i="59"/>
  <c r="E154" i="59"/>
  <c r="D154" i="59"/>
  <c r="B154" i="59"/>
  <c r="J150" i="59"/>
  <c r="I150" i="59"/>
  <c r="H150" i="59"/>
  <c r="G150" i="59"/>
  <c r="F150" i="59"/>
  <c r="E150" i="59"/>
  <c r="D150" i="59"/>
  <c r="B150" i="59"/>
  <c r="J149" i="59"/>
  <c r="I149" i="59"/>
  <c r="H149" i="59"/>
  <c r="G149" i="59"/>
  <c r="F149" i="59"/>
  <c r="E149" i="59"/>
  <c r="D149" i="59"/>
  <c r="B149" i="59"/>
  <c r="J148" i="59"/>
  <c r="K148" i="59" s="1"/>
  <c r="L148" i="59" s="1"/>
  <c r="M148" i="59" s="1"/>
  <c r="N148" i="59" s="1"/>
  <c r="O148" i="59" s="1"/>
  <c r="P148" i="59" s="1"/>
  <c r="Q148" i="59" s="1"/>
  <c r="R148" i="59" s="1"/>
  <c r="S148" i="59" s="1"/>
  <c r="T148" i="59" s="1"/>
  <c r="I148" i="59"/>
  <c r="H148" i="59"/>
  <c r="G148" i="59"/>
  <c r="F148" i="59"/>
  <c r="E148" i="59"/>
  <c r="D148" i="59"/>
  <c r="B148" i="59"/>
  <c r="B146" i="59"/>
  <c r="E145" i="59"/>
  <c r="D145" i="59"/>
  <c r="T144" i="59"/>
  <c r="R144" i="59"/>
  <c r="Q144" i="59"/>
  <c r="P144" i="59"/>
  <c r="N144" i="59"/>
  <c r="M144" i="59"/>
  <c r="L144" i="59"/>
  <c r="J144" i="59"/>
  <c r="I144" i="59"/>
  <c r="F144" i="59"/>
  <c r="E144" i="59"/>
  <c r="D144" i="59"/>
  <c r="D146" i="59" s="1"/>
  <c r="J141" i="59"/>
  <c r="I141" i="59"/>
  <c r="H141" i="59"/>
  <c r="G141" i="59"/>
  <c r="F141" i="59"/>
  <c r="E141" i="59"/>
  <c r="D141" i="59"/>
  <c r="B141" i="59"/>
  <c r="J140" i="59"/>
  <c r="I140" i="59"/>
  <c r="H140" i="59"/>
  <c r="G140" i="59"/>
  <c r="F140" i="59"/>
  <c r="E140" i="59"/>
  <c r="D140" i="59"/>
  <c r="B140" i="59"/>
  <c r="B136" i="59"/>
  <c r="J135" i="59"/>
  <c r="K135" i="59" s="1"/>
  <c r="L135" i="59" s="1"/>
  <c r="M135" i="59" s="1"/>
  <c r="N135" i="59" s="1"/>
  <c r="O135" i="59" s="1"/>
  <c r="P135" i="59" s="1"/>
  <c r="Q135" i="59" s="1"/>
  <c r="R135" i="59" s="1"/>
  <c r="S135" i="59" s="1"/>
  <c r="T135" i="59" s="1"/>
  <c r="I135" i="59"/>
  <c r="H135" i="59"/>
  <c r="G135" i="59"/>
  <c r="F135" i="59"/>
  <c r="E135" i="59"/>
  <c r="D135" i="59"/>
  <c r="B135" i="59"/>
  <c r="J134" i="59"/>
  <c r="I134" i="59"/>
  <c r="I136" i="59" s="1"/>
  <c r="H134" i="59"/>
  <c r="H136" i="59" s="1"/>
  <c r="G134" i="59"/>
  <c r="G136" i="59" s="1"/>
  <c r="F134" i="59"/>
  <c r="F136" i="59" s="1"/>
  <c r="F137" i="59" s="1"/>
  <c r="E134" i="59"/>
  <c r="E136" i="59" s="1"/>
  <c r="D134" i="59"/>
  <c r="B134" i="59"/>
  <c r="B130" i="59"/>
  <c r="J128" i="59"/>
  <c r="I128" i="59"/>
  <c r="H128" i="59"/>
  <c r="G128" i="59"/>
  <c r="F128" i="59"/>
  <c r="E128" i="59"/>
  <c r="D128" i="59"/>
  <c r="B128" i="59"/>
  <c r="J127" i="59"/>
  <c r="I127" i="59"/>
  <c r="H127" i="59"/>
  <c r="G127" i="59"/>
  <c r="F127" i="59"/>
  <c r="E127" i="59"/>
  <c r="D127" i="59"/>
  <c r="B127" i="59"/>
  <c r="J126" i="59"/>
  <c r="I126" i="59"/>
  <c r="H126" i="59"/>
  <c r="G126" i="59"/>
  <c r="F126" i="59"/>
  <c r="E126" i="59"/>
  <c r="D126" i="59"/>
  <c r="B126" i="59"/>
  <c r="J125" i="59"/>
  <c r="I125" i="59"/>
  <c r="H125" i="59"/>
  <c r="G125" i="59"/>
  <c r="F125" i="59"/>
  <c r="E125" i="59"/>
  <c r="D125" i="59"/>
  <c r="B125" i="59"/>
  <c r="J124" i="59"/>
  <c r="J129" i="59" s="1"/>
  <c r="I124" i="59"/>
  <c r="H124" i="59"/>
  <c r="H129" i="59" s="1"/>
  <c r="G124" i="59"/>
  <c r="G129" i="59" s="1"/>
  <c r="F124" i="59"/>
  <c r="F129" i="59" s="1"/>
  <c r="E124" i="59"/>
  <c r="D124" i="59"/>
  <c r="D129" i="59" s="1"/>
  <c r="D130" i="59" s="1"/>
  <c r="D131" i="59" s="1"/>
  <c r="B124" i="59"/>
  <c r="J117" i="59"/>
  <c r="I117" i="59"/>
  <c r="H117" i="59"/>
  <c r="G117" i="59"/>
  <c r="F117" i="59"/>
  <c r="E117" i="59"/>
  <c r="D117" i="59"/>
  <c r="B117" i="59"/>
  <c r="J116" i="59"/>
  <c r="I116" i="59"/>
  <c r="H116" i="59"/>
  <c r="G116" i="59"/>
  <c r="F116" i="59"/>
  <c r="E116" i="59"/>
  <c r="D116" i="59"/>
  <c r="B116" i="59"/>
  <c r="J115" i="59"/>
  <c r="I115" i="59"/>
  <c r="H115" i="59"/>
  <c r="G115" i="59"/>
  <c r="F115" i="59"/>
  <c r="E115" i="59"/>
  <c r="D115" i="59"/>
  <c r="B115" i="59"/>
  <c r="J114" i="59"/>
  <c r="I114" i="59"/>
  <c r="H114" i="59"/>
  <c r="G114" i="59"/>
  <c r="F114" i="59"/>
  <c r="E114" i="59"/>
  <c r="D114" i="59"/>
  <c r="B114" i="59"/>
  <c r="J113" i="59"/>
  <c r="I113" i="59"/>
  <c r="H113" i="59"/>
  <c r="G113" i="59"/>
  <c r="F113" i="59"/>
  <c r="E113" i="59"/>
  <c r="D113" i="59"/>
  <c r="B113" i="59"/>
  <c r="J112" i="59"/>
  <c r="I112" i="59"/>
  <c r="H112" i="59"/>
  <c r="H118" i="59" s="1"/>
  <c r="G112" i="59"/>
  <c r="F112" i="59"/>
  <c r="E112" i="59"/>
  <c r="D112" i="59"/>
  <c r="B112" i="59"/>
  <c r="J110" i="59"/>
  <c r="I110" i="59"/>
  <c r="H110" i="59"/>
  <c r="G110" i="59"/>
  <c r="F110" i="59"/>
  <c r="E110" i="59"/>
  <c r="D110" i="59"/>
  <c r="B110" i="59"/>
  <c r="J109" i="59"/>
  <c r="I109" i="59"/>
  <c r="H109" i="59"/>
  <c r="G109" i="59"/>
  <c r="F109" i="59"/>
  <c r="E109" i="59"/>
  <c r="D109" i="59"/>
  <c r="B109" i="59"/>
  <c r="J108" i="59"/>
  <c r="I108" i="59"/>
  <c r="H108" i="59"/>
  <c r="G108" i="59"/>
  <c r="F108" i="59"/>
  <c r="E108" i="59"/>
  <c r="D108" i="59"/>
  <c r="B108" i="59"/>
  <c r="R107" i="59"/>
  <c r="N107" i="59"/>
  <c r="J107" i="59"/>
  <c r="I107" i="59"/>
  <c r="H107" i="59"/>
  <c r="G107" i="59"/>
  <c r="F107" i="59"/>
  <c r="E107" i="59"/>
  <c r="D107" i="59"/>
  <c r="B107" i="59"/>
  <c r="J101" i="59"/>
  <c r="I101" i="59"/>
  <c r="H101" i="59"/>
  <c r="G101" i="59"/>
  <c r="F101" i="59"/>
  <c r="E101" i="59"/>
  <c r="D101" i="59"/>
  <c r="B101" i="59"/>
  <c r="E100" i="59"/>
  <c r="D100" i="59"/>
  <c r="B100" i="59"/>
  <c r="J99" i="59"/>
  <c r="J475" i="59" s="1"/>
  <c r="I99" i="59"/>
  <c r="I475" i="59" s="1"/>
  <c r="H99" i="59"/>
  <c r="H475" i="59" s="1"/>
  <c r="G99" i="59"/>
  <c r="G475" i="59" s="1"/>
  <c r="G477" i="59" s="1"/>
  <c r="F99" i="59"/>
  <c r="F475" i="59" s="1"/>
  <c r="E99" i="59"/>
  <c r="E475" i="59" s="1"/>
  <c r="D99" i="59"/>
  <c r="D475" i="59" s="1"/>
  <c r="B99" i="59"/>
  <c r="E97" i="59"/>
  <c r="D97" i="59"/>
  <c r="J96" i="59"/>
  <c r="I96" i="59"/>
  <c r="H96" i="59"/>
  <c r="G96" i="59"/>
  <c r="F96" i="59"/>
  <c r="E96" i="59"/>
  <c r="D96" i="59"/>
  <c r="B96" i="59"/>
  <c r="J95" i="59"/>
  <c r="I95" i="59"/>
  <c r="H95" i="59"/>
  <c r="G95" i="59"/>
  <c r="F95" i="59"/>
  <c r="E95" i="59"/>
  <c r="D95" i="59"/>
  <c r="B95" i="59"/>
  <c r="J94" i="59"/>
  <c r="I94" i="59"/>
  <c r="H94" i="59"/>
  <c r="G94" i="59"/>
  <c r="F94" i="59"/>
  <c r="E94" i="59"/>
  <c r="D94" i="59"/>
  <c r="B94" i="59"/>
  <c r="J93" i="59"/>
  <c r="I93" i="59"/>
  <c r="H93" i="59"/>
  <c r="G93" i="59"/>
  <c r="F93" i="59"/>
  <c r="E93" i="59"/>
  <c r="D93" i="59"/>
  <c r="B93" i="59"/>
  <c r="E92" i="59"/>
  <c r="D92" i="59"/>
  <c r="B92" i="59"/>
  <c r="E88" i="59"/>
  <c r="D88" i="59"/>
  <c r="E87" i="59"/>
  <c r="D87" i="59"/>
  <c r="B87" i="59"/>
  <c r="J86" i="59"/>
  <c r="I86" i="59"/>
  <c r="H86" i="59"/>
  <c r="G86" i="59"/>
  <c r="F86" i="59"/>
  <c r="E86" i="59"/>
  <c r="D86" i="59"/>
  <c r="B86" i="59"/>
  <c r="J84" i="59"/>
  <c r="I84" i="59"/>
  <c r="H84" i="59"/>
  <c r="G84" i="59"/>
  <c r="F84" i="59"/>
  <c r="E84" i="59"/>
  <c r="D84" i="59"/>
  <c r="B84" i="59"/>
  <c r="J83" i="59"/>
  <c r="I83" i="59"/>
  <c r="H83" i="59"/>
  <c r="G83" i="59"/>
  <c r="F83" i="59"/>
  <c r="E83" i="59"/>
  <c r="D83" i="59"/>
  <c r="B83" i="59"/>
  <c r="J82" i="59"/>
  <c r="I82" i="59"/>
  <c r="H82" i="59"/>
  <c r="G82" i="59"/>
  <c r="F82" i="59"/>
  <c r="E82" i="59"/>
  <c r="D82" i="59"/>
  <c r="B82" i="59"/>
  <c r="J81" i="59"/>
  <c r="I81" i="59"/>
  <c r="H81" i="59"/>
  <c r="G81" i="59"/>
  <c r="F81" i="59"/>
  <c r="E81" i="59"/>
  <c r="D81" i="59"/>
  <c r="B81" i="59"/>
  <c r="J80" i="59"/>
  <c r="J85" i="59" s="1"/>
  <c r="I80" i="59"/>
  <c r="H80" i="59"/>
  <c r="H85" i="59" s="1"/>
  <c r="G80" i="59"/>
  <c r="G85" i="59" s="1"/>
  <c r="F80" i="59"/>
  <c r="F85" i="59" s="1"/>
  <c r="E80" i="59"/>
  <c r="D80" i="59"/>
  <c r="D85" i="59" s="1"/>
  <c r="B80" i="59"/>
  <c r="B77" i="59"/>
  <c r="J75" i="59"/>
  <c r="I75" i="59"/>
  <c r="H75" i="59"/>
  <c r="G75" i="59"/>
  <c r="F75" i="59"/>
  <c r="E75" i="59"/>
  <c r="D75" i="59"/>
  <c r="B75" i="59"/>
  <c r="J74" i="59"/>
  <c r="I74" i="59"/>
  <c r="H74" i="59"/>
  <c r="G74" i="59"/>
  <c r="F74" i="59"/>
  <c r="E74" i="59"/>
  <c r="D74" i="59"/>
  <c r="B74" i="59"/>
  <c r="E72" i="59"/>
  <c r="B72" i="59"/>
  <c r="J70" i="59"/>
  <c r="I70" i="59"/>
  <c r="H70" i="59"/>
  <c r="G70" i="59"/>
  <c r="F70" i="59"/>
  <c r="E70" i="59"/>
  <c r="D70" i="59"/>
  <c r="B70" i="59"/>
  <c r="E69" i="59"/>
  <c r="E71" i="59" s="1"/>
  <c r="D69" i="59"/>
  <c r="E68" i="59"/>
  <c r="D68" i="59"/>
  <c r="B68" i="59"/>
  <c r="B65" i="59"/>
  <c r="B64" i="59"/>
  <c r="E61" i="59"/>
  <c r="D61" i="59"/>
  <c r="B61" i="59"/>
  <c r="J56" i="59"/>
  <c r="I56" i="59"/>
  <c r="H56" i="59"/>
  <c r="G56" i="59"/>
  <c r="F56" i="59"/>
  <c r="E56" i="59"/>
  <c r="D56" i="59"/>
  <c r="B56" i="59"/>
  <c r="I42" i="59"/>
  <c r="H42" i="59"/>
  <c r="E42" i="59"/>
  <c r="D42" i="59"/>
  <c r="J41" i="59"/>
  <c r="I41" i="59"/>
  <c r="H41" i="59"/>
  <c r="G41" i="59"/>
  <c r="F41" i="59"/>
  <c r="E41" i="59"/>
  <c r="D41" i="59"/>
  <c r="B41" i="59"/>
  <c r="J38" i="59"/>
  <c r="I38" i="59"/>
  <c r="H38" i="59"/>
  <c r="G38" i="59"/>
  <c r="F38" i="59"/>
  <c r="E38" i="59"/>
  <c r="D38" i="59"/>
  <c r="J32" i="59"/>
  <c r="I32" i="59"/>
  <c r="H32" i="59"/>
  <c r="G32" i="59"/>
  <c r="F32" i="59"/>
  <c r="E32" i="59"/>
  <c r="D32" i="59"/>
  <c r="B32" i="59"/>
  <c r="A31" i="59"/>
  <c r="J30" i="59"/>
  <c r="I30" i="59"/>
  <c r="H30" i="59"/>
  <c r="G30" i="59"/>
  <c r="F30" i="59"/>
  <c r="E30" i="59"/>
  <c r="D30" i="59"/>
  <c r="B30" i="59"/>
  <c r="J28" i="59"/>
  <c r="I28" i="59"/>
  <c r="H28" i="59"/>
  <c r="G28" i="59"/>
  <c r="F28" i="59"/>
  <c r="E28" i="59"/>
  <c r="D28" i="59"/>
  <c r="B28" i="59"/>
  <c r="J27" i="59"/>
  <c r="I27" i="59"/>
  <c r="H27" i="59"/>
  <c r="G27" i="59"/>
  <c r="F27" i="59"/>
  <c r="E27" i="59"/>
  <c r="D27" i="59"/>
  <c r="B27" i="59"/>
  <c r="J26" i="59"/>
  <c r="I26" i="59"/>
  <c r="H26" i="59"/>
  <c r="G26" i="59"/>
  <c r="F26" i="59"/>
  <c r="E26" i="59"/>
  <c r="D26" i="59"/>
  <c r="B26" i="59"/>
  <c r="J25" i="59"/>
  <c r="I25" i="59"/>
  <c r="H25" i="59"/>
  <c r="G25" i="59"/>
  <c r="F25" i="59"/>
  <c r="E25" i="59"/>
  <c r="D25" i="59"/>
  <c r="B25" i="59"/>
  <c r="J24" i="59"/>
  <c r="I24" i="59"/>
  <c r="H24" i="59"/>
  <c r="G24" i="59"/>
  <c r="F24" i="59"/>
  <c r="E24" i="59"/>
  <c r="D24" i="59"/>
  <c r="B24" i="59"/>
  <c r="A23" i="59"/>
  <c r="J22" i="59"/>
  <c r="I22" i="59"/>
  <c r="H22" i="59"/>
  <c r="G22" i="59"/>
  <c r="F22" i="59"/>
  <c r="E22" i="59"/>
  <c r="D22" i="59"/>
  <c r="B22" i="59"/>
  <c r="A20" i="59"/>
  <c r="J19" i="59"/>
  <c r="I19" i="59"/>
  <c r="H19" i="59"/>
  <c r="G19" i="59"/>
  <c r="F19" i="59"/>
  <c r="E19" i="59"/>
  <c r="D19" i="59"/>
  <c r="B19" i="59"/>
  <c r="A18" i="59"/>
  <c r="J17" i="59"/>
  <c r="I17" i="59"/>
  <c r="H17" i="59"/>
  <c r="H18" i="59" s="1"/>
  <c r="G17" i="59"/>
  <c r="F17" i="59"/>
  <c r="G18" i="59" s="1"/>
  <c r="E17" i="59"/>
  <c r="D17" i="59"/>
  <c r="D21" i="59" s="1"/>
  <c r="B17" i="59"/>
  <c r="E15" i="59"/>
  <c r="A14" i="59"/>
  <c r="J13" i="59"/>
  <c r="I13" i="59"/>
  <c r="I221" i="59" s="1"/>
  <c r="H13" i="59"/>
  <c r="H15" i="59" s="1"/>
  <c r="G13" i="59"/>
  <c r="G15" i="59" s="1"/>
  <c r="F13" i="59"/>
  <c r="F15" i="59" s="1"/>
  <c r="E13" i="59"/>
  <c r="E221" i="59" s="1"/>
  <c r="D13" i="59"/>
  <c r="B13" i="59"/>
  <c r="J11" i="59"/>
  <c r="I11" i="59"/>
  <c r="H11" i="59"/>
  <c r="G11" i="59"/>
  <c r="G12" i="59" s="1"/>
  <c r="F11" i="59"/>
  <c r="F12" i="59" s="1"/>
  <c r="E11" i="59"/>
  <c r="D11" i="59"/>
  <c r="C1" i="59"/>
  <c r="K292" i="59" s="1"/>
  <c r="G515" i="58"/>
  <c r="G68" i="58" s="1"/>
  <c r="H515" i="58"/>
  <c r="H68" i="58" s="1"/>
  <c r="I88" i="58"/>
  <c r="H88" i="58"/>
  <c r="F88" i="58"/>
  <c r="E514" i="58"/>
  <c r="E88" i="58" s="1"/>
  <c r="D514" i="58"/>
  <c r="B514" i="58"/>
  <c r="B513" i="58"/>
  <c r="F461" i="58"/>
  <c r="I515" i="58"/>
  <c r="I68" i="58" s="1"/>
  <c r="E513" i="58"/>
  <c r="E515" i="58" s="1"/>
  <c r="E68" i="58" s="1"/>
  <c r="D513" i="58"/>
  <c r="D515" i="58" s="1"/>
  <c r="D68" i="58" s="1"/>
  <c r="E507" i="58"/>
  <c r="E461" i="58" s="1"/>
  <c r="D507" i="58"/>
  <c r="D461" i="58" s="1"/>
  <c r="E506" i="58"/>
  <c r="E508" i="58" s="1"/>
  <c r="E69" i="58" s="1"/>
  <c r="D506" i="58"/>
  <c r="D508" i="58" s="1"/>
  <c r="D69" i="58" s="1"/>
  <c r="I508" i="58"/>
  <c r="I509" i="58" s="1"/>
  <c r="I516" i="58" s="1"/>
  <c r="D70" i="58"/>
  <c r="B507" i="58"/>
  <c r="B506" i="58"/>
  <c r="B503" i="58"/>
  <c r="B480" i="58"/>
  <c r="J476" i="58"/>
  <c r="I476" i="58"/>
  <c r="H476" i="58"/>
  <c r="G476" i="58"/>
  <c r="F476" i="58"/>
  <c r="E476" i="58"/>
  <c r="D476" i="58"/>
  <c r="B476" i="58"/>
  <c r="J474" i="58"/>
  <c r="I474" i="58"/>
  <c r="H474" i="58"/>
  <c r="G474" i="58"/>
  <c r="F474" i="58"/>
  <c r="E474" i="58"/>
  <c r="D474" i="58"/>
  <c r="B474" i="58"/>
  <c r="E473" i="58"/>
  <c r="D473" i="58"/>
  <c r="B473" i="58"/>
  <c r="B471" i="58"/>
  <c r="F466" i="58"/>
  <c r="E466" i="58"/>
  <c r="D466" i="58"/>
  <c r="B466" i="58"/>
  <c r="F465" i="58"/>
  <c r="E465" i="58"/>
  <c r="D465" i="58"/>
  <c r="B465" i="58"/>
  <c r="E464" i="58"/>
  <c r="D464" i="58"/>
  <c r="B464" i="58"/>
  <c r="E460" i="58"/>
  <c r="D460" i="58"/>
  <c r="B460" i="58"/>
  <c r="E459" i="58"/>
  <c r="D459" i="58"/>
  <c r="B459" i="58"/>
  <c r="F458" i="58"/>
  <c r="E458" i="58"/>
  <c r="D458" i="58"/>
  <c r="B458" i="58"/>
  <c r="F457" i="58"/>
  <c r="E457" i="58"/>
  <c r="D457" i="58"/>
  <c r="B457" i="58"/>
  <c r="F456" i="58"/>
  <c r="E456" i="58"/>
  <c r="D456" i="58"/>
  <c r="B456" i="58"/>
  <c r="E455" i="58"/>
  <c r="D455" i="58"/>
  <c r="B455" i="58"/>
  <c r="J452" i="58"/>
  <c r="I452" i="58"/>
  <c r="H452" i="58"/>
  <c r="G452" i="58"/>
  <c r="F452" i="58"/>
  <c r="E452" i="58"/>
  <c r="D452" i="58"/>
  <c r="B452" i="58"/>
  <c r="J451" i="58"/>
  <c r="I451" i="58"/>
  <c r="H451" i="58"/>
  <c r="G451" i="58"/>
  <c r="F451" i="58"/>
  <c r="E451" i="58"/>
  <c r="D451" i="58"/>
  <c r="B451" i="58"/>
  <c r="B447" i="58"/>
  <c r="J446" i="58"/>
  <c r="K446" i="58" s="1"/>
  <c r="I446" i="58"/>
  <c r="H446" i="58"/>
  <c r="G446" i="58"/>
  <c r="G447" i="58" s="1"/>
  <c r="G448" i="58" s="1"/>
  <c r="F446" i="58"/>
  <c r="F447" i="58" s="1"/>
  <c r="F448" i="58" s="1"/>
  <c r="E446" i="58"/>
  <c r="D446" i="58"/>
  <c r="B446" i="58"/>
  <c r="B442" i="58"/>
  <c r="J441" i="58"/>
  <c r="K441" i="58" s="1"/>
  <c r="L441" i="58" s="1"/>
  <c r="M441" i="58" s="1"/>
  <c r="N441" i="58" s="1"/>
  <c r="O441" i="58" s="1"/>
  <c r="P441" i="58" s="1"/>
  <c r="Q441" i="58" s="1"/>
  <c r="R441" i="58" s="1"/>
  <c r="S441" i="58" s="1"/>
  <c r="T441" i="58" s="1"/>
  <c r="I441" i="58"/>
  <c r="H441" i="58"/>
  <c r="G441" i="58"/>
  <c r="F441" i="58"/>
  <c r="E441" i="58"/>
  <c r="D441" i="58"/>
  <c r="B441" i="58"/>
  <c r="J440" i="58"/>
  <c r="J442" i="58" s="1"/>
  <c r="I440" i="58"/>
  <c r="H440" i="58"/>
  <c r="G440" i="58"/>
  <c r="F440" i="58"/>
  <c r="F442" i="58" s="1"/>
  <c r="F443" i="58" s="1"/>
  <c r="E440" i="58"/>
  <c r="D440" i="58"/>
  <c r="D442" i="58" s="1"/>
  <c r="B440" i="58"/>
  <c r="J437" i="58"/>
  <c r="I437" i="58"/>
  <c r="H437" i="58"/>
  <c r="G437" i="58"/>
  <c r="F437" i="58"/>
  <c r="E437" i="58"/>
  <c r="D437" i="58"/>
  <c r="B437" i="58"/>
  <c r="J436" i="58"/>
  <c r="I436" i="58"/>
  <c r="H436" i="58"/>
  <c r="G436" i="58"/>
  <c r="F436" i="58"/>
  <c r="E436" i="58"/>
  <c r="D436" i="58"/>
  <c r="B436" i="58"/>
  <c r="J433" i="58"/>
  <c r="I433" i="58"/>
  <c r="H433" i="58"/>
  <c r="G433" i="58"/>
  <c r="F433" i="58"/>
  <c r="E433" i="58"/>
  <c r="D433" i="58"/>
  <c r="B433" i="58"/>
  <c r="B431" i="58"/>
  <c r="J430" i="58"/>
  <c r="I430" i="58"/>
  <c r="H430" i="58"/>
  <c r="G430" i="58"/>
  <c r="F430" i="58"/>
  <c r="E430" i="58"/>
  <c r="D430" i="58"/>
  <c r="B430" i="58"/>
  <c r="J426" i="58"/>
  <c r="I426" i="58"/>
  <c r="H426" i="58"/>
  <c r="G426" i="58"/>
  <c r="F426" i="58"/>
  <c r="E426" i="58"/>
  <c r="D426" i="58"/>
  <c r="B426" i="58"/>
  <c r="F423" i="58"/>
  <c r="E423" i="58"/>
  <c r="D423" i="58"/>
  <c r="B423" i="58"/>
  <c r="E422" i="58"/>
  <c r="D422" i="58"/>
  <c r="B422" i="58"/>
  <c r="E421" i="58"/>
  <c r="D421" i="58"/>
  <c r="B421" i="58"/>
  <c r="E418" i="58"/>
  <c r="D418" i="58"/>
  <c r="B418" i="58"/>
  <c r="E417" i="58"/>
  <c r="D417" i="58"/>
  <c r="B417" i="58"/>
  <c r="E416" i="58"/>
  <c r="D416" i="58"/>
  <c r="B416" i="58"/>
  <c r="E415" i="58"/>
  <c r="D415" i="58"/>
  <c r="B415" i="58"/>
  <c r="E414" i="58"/>
  <c r="D414" i="58"/>
  <c r="B414" i="58"/>
  <c r="F413" i="58"/>
  <c r="E413" i="58"/>
  <c r="D413" i="58"/>
  <c r="B413" i="58"/>
  <c r="J409" i="58"/>
  <c r="I409" i="58"/>
  <c r="H409" i="58"/>
  <c r="G409" i="58"/>
  <c r="F409" i="58"/>
  <c r="E409" i="58"/>
  <c r="D409" i="58"/>
  <c r="B409" i="58"/>
  <c r="J408" i="58"/>
  <c r="I408" i="58"/>
  <c r="H408" i="58"/>
  <c r="G408" i="58"/>
  <c r="F408" i="58"/>
  <c r="E408" i="58"/>
  <c r="D408" i="58"/>
  <c r="B408" i="58"/>
  <c r="J407" i="58"/>
  <c r="I407" i="58"/>
  <c r="H407" i="58"/>
  <c r="H410" i="58" s="1"/>
  <c r="G407" i="58"/>
  <c r="F407" i="58"/>
  <c r="F410" i="58" s="1"/>
  <c r="E407" i="58"/>
  <c r="E410" i="58" s="1"/>
  <c r="D407" i="58"/>
  <c r="B407" i="58"/>
  <c r="J404" i="58"/>
  <c r="I404" i="58"/>
  <c r="H404" i="58"/>
  <c r="G404" i="58"/>
  <c r="F404" i="58"/>
  <c r="E404" i="58"/>
  <c r="D404" i="58"/>
  <c r="B404" i="58"/>
  <c r="B402" i="58"/>
  <c r="J398" i="58"/>
  <c r="I398" i="58"/>
  <c r="H398" i="58"/>
  <c r="G398" i="58"/>
  <c r="F398" i="58"/>
  <c r="E398" i="58"/>
  <c r="D398" i="58"/>
  <c r="B398" i="58"/>
  <c r="J397" i="58"/>
  <c r="I397" i="58"/>
  <c r="H397" i="58"/>
  <c r="G397" i="58"/>
  <c r="F397" i="58"/>
  <c r="E397" i="58"/>
  <c r="D397" i="58"/>
  <c r="B397" i="58"/>
  <c r="E396" i="58"/>
  <c r="D396" i="58"/>
  <c r="B396" i="58"/>
  <c r="J391" i="58"/>
  <c r="I391" i="58"/>
  <c r="H391" i="58"/>
  <c r="G391" i="58"/>
  <c r="F391" i="58"/>
  <c r="E391" i="58"/>
  <c r="D391" i="58"/>
  <c r="B391" i="58"/>
  <c r="J390" i="58"/>
  <c r="I390" i="58"/>
  <c r="H390" i="58"/>
  <c r="G390" i="58"/>
  <c r="F390" i="58"/>
  <c r="E390" i="58"/>
  <c r="D390" i="58"/>
  <c r="B390" i="58"/>
  <c r="C389" i="58"/>
  <c r="B388" i="58"/>
  <c r="J384" i="58"/>
  <c r="I384" i="58"/>
  <c r="H384" i="58"/>
  <c r="G384" i="58"/>
  <c r="F384" i="58"/>
  <c r="E384" i="58"/>
  <c r="D384" i="58"/>
  <c r="B384" i="58"/>
  <c r="B383" i="58"/>
  <c r="J380" i="58"/>
  <c r="I380" i="58"/>
  <c r="H380" i="58"/>
  <c r="G380" i="58"/>
  <c r="F380" i="58"/>
  <c r="E380" i="58"/>
  <c r="E379" i="58" s="1"/>
  <c r="E383" i="58" s="1"/>
  <c r="D380" i="58"/>
  <c r="B380" i="58"/>
  <c r="B379" i="58"/>
  <c r="C376" i="58"/>
  <c r="T375" i="58"/>
  <c r="S375" i="58"/>
  <c r="R375" i="58"/>
  <c r="Q375" i="58"/>
  <c r="P375" i="58"/>
  <c r="O375" i="58"/>
  <c r="N375" i="58"/>
  <c r="M375" i="58"/>
  <c r="L375" i="58"/>
  <c r="K375" i="58"/>
  <c r="J375" i="58"/>
  <c r="I375" i="58"/>
  <c r="H375" i="58"/>
  <c r="G375" i="58"/>
  <c r="F375" i="58"/>
  <c r="E375" i="58"/>
  <c r="D375" i="58"/>
  <c r="B375" i="58"/>
  <c r="T374" i="58"/>
  <c r="T144" i="58" s="1"/>
  <c r="S374" i="58"/>
  <c r="S144" i="58" s="1"/>
  <c r="R374" i="58"/>
  <c r="R144" i="58" s="1"/>
  <c r="Q374" i="58"/>
  <c r="Q144" i="58" s="1"/>
  <c r="P374" i="58"/>
  <c r="P144" i="58" s="1"/>
  <c r="O374" i="58"/>
  <c r="O144" i="58" s="1"/>
  <c r="N374" i="58"/>
  <c r="N144" i="58" s="1"/>
  <c r="M374" i="58"/>
  <c r="M144" i="58" s="1"/>
  <c r="L374" i="58"/>
  <c r="K374" i="58"/>
  <c r="K144" i="58" s="1"/>
  <c r="J374" i="58"/>
  <c r="J144" i="58" s="1"/>
  <c r="I374" i="58"/>
  <c r="I144" i="58" s="1"/>
  <c r="H374" i="58"/>
  <c r="H144" i="58" s="1"/>
  <c r="G374" i="58"/>
  <c r="G144" i="58" s="1"/>
  <c r="G146" i="58" s="1"/>
  <c r="G147" i="58" s="1"/>
  <c r="F374" i="58"/>
  <c r="F144" i="58" s="1"/>
  <c r="F146" i="58" s="1"/>
  <c r="E374" i="58"/>
  <c r="E144" i="58" s="1"/>
  <c r="D374" i="58"/>
  <c r="B374" i="58"/>
  <c r="T373" i="58"/>
  <c r="S373" i="58"/>
  <c r="R373" i="58"/>
  <c r="Q373" i="58"/>
  <c r="P373" i="58"/>
  <c r="O373" i="58"/>
  <c r="N373" i="58"/>
  <c r="M373" i="58"/>
  <c r="L373" i="58"/>
  <c r="K373" i="58"/>
  <c r="J373" i="58"/>
  <c r="I373" i="58"/>
  <c r="H373" i="58"/>
  <c r="G373" i="58"/>
  <c r="F373" i="58"/>
  <c r="E373" i="58"/>
  <c r="D373" i="58"/>
  <c r="B373" i="58"/>
  <c r="T372" i="58"/>
  <c r="S372" i="58"/>
  <c r="R372" i="58"/>
  <c r="Q372" i="58"/>
  <c r="P372" i="58"/>
  <c r="O372" i="58"/>
  <c r="N372" i="58"/>
  <c r="M372" i="58"/>
  <c r="L372" i="58"/>
  <c r="K372" i="58"/>
  <c r="J372" i="58"/>
  <c r="I372" i="58"/>
  <c r="H372" i="58"/>
  <c r="H237" i="58" s="1"/>
  <c r="G372" i="58"/>
  <c r="F372" i="58"/>
  <c r="E372" i="58"/>
  <c r="D372" i="58"/>
  <c r="B372" i="58"/>
  <c r="T371" i="58"/>
  <c r="S371" i="58"/>
  <c r="P371" i="58"/>
  <c r="O371" i="58"/>
  <c r="N371" i="58"/>
  <c r="M371" i="58"/>
  <c r="J371" i="58"/>
  <c r="I371" i="58"/>
  <c r="H371" i="58"/>
  <c r="G371" i="58"/>
  <c r="F371" i="58"/>
  <c r="E371" i="58"/>
  <c r="D371" i="58"/>
  <c r="B371" i="58"/>
  <c r="T370" i="58"/>
  <c r="S370" i="58"/>
  <c r="R370" i="58"/>
  <c r="Q370" i="58"/>
  <c r="P370" i="58"/>
  <c r="O370" i="58"/>
  <c r="N370" i="58"/>
  <c r="M370" i="58"/>
  <c r="L370" i="58"/>
  <c r="K370" i="58"/>
  <c r="J370" i="58"/>
  <c r="I370" i="58"/>
  <c r="H370" i="58"/>
  <c r="G370" i="58"/>
  <c r="F370" i="58"/>
  <c r="E370" i="58"/>
  <c r="D370" i="58"/>
  <c r="B370" i="58"/>
  <c r="B366" i="58"/>
  <c r="J365" i="58"/>
  <c r="I365" i="58"/>
  <c r="H365" i="58"/>
  <c r="G365" i="58"/>
  <c r="F365" i="58"/>
  <c r="E365" i="58"/>
  <c r="D365" i="58"/>
  <c r="B365" i="58"/>
  <c r="B361" i="58"/>
  <c r="E358" i="58"/>
  <c r="D358" i="58"/>
  <c r="B358" i="58"/>
  <c r="E357" i="58"/>
  <c r="D357" i="58"/>
  <c r="B357" i="58"/>
  <c r="E356" i="58"/>
  <c r="D356" i="58"/>
  <c r="B356" i="58"/>
  <c r="C354" i="58"/>
  <c r="E353" i="58"/>
  <c r="D353" i="58"/>
  <c r="B353" i="58"/>
  <c r="T467" i="58"/>
  <c r="R467" i="58"/>
  <c r="P467" i="58"/>
  <c r="N467" i="58"/>
  <c r="M467" i="58"/>
  <c r="L467" i="58"/>
  <c r="K467" i="58"/>
  <c r="F467" i="58"/>
  <c r="E352" i="58"/>
  <c r="E467" i="58" s="1"/>
  <c r="D352" i="58"/>
  <c r="D467" i="58" s="1"/>
  <c r="B352" i="58"/>
  <c r="E350" i="58"/>
  <c r="D350" i="58"/>
  <c r="D303" i="58" s="1"/>
  <c r="B350" i="58"/>
  <c r="E349" i="58"/>
  <c r="E245" i="58" s="1"/>
  <c r="D349" i="58"/>
  <c r="D245" i="58" s="1"/>
  <c r="B349" i="58"/>
  <c r="E348" i="58"/>
  <c r="D348" i="58"/>
  <c r="B348" i="58"/>
  <c r="E347" i="58"/>
  <c r="E145" i="58" s="1"/>
  <c r="D347" i="58"/>
  <c r="D145" i="58" s="1"/>
  <c r="B347" i="58"/>
  <c r="B343" i="58"/>
  <c r="J342" i="58"/>
  <c r="I342" i="58"/>
  <c r="H342" i="58"/>
  <c r="G342" i="58"/>
  <c r="F342" i="58"/>
  <c r="E342" i="58"/>
  <c r="D342" i="58"/>
  <c r="B342" i="58"/>
  <c r="J341" i="58"/>
  <c r="K341" i="58" s="1"/>
  <c r="L341" i="58" s="1"/>
  <c r="M341" i="58" s="1"/>
  <c r="N341" i="58" s="1"/>
  <c r="O341" i="58" s="1"/>
  <c r="P341" i="58" s="1"/>
  <c r="Q341" i="58" s="1"/>
  <c r="R341" i="58" s="1"/>
  <c r="S341" i="58" s="1"/>
  <c r="T341" i="58" s="1"/>
  <c r="I341" i="58"/>
  <c r="H341" i="58"/>
  <c r="G341" i="58"/>
  <c r="F341" i="58"/>
  <c r="E341" i="58"/>
  <c r="D341" i="58"/>
  <c r="B341" i="58"/>
  <c r="B339" i="58"/>
  <c r="B334" i="58"/>
  <c r="E333" i="58"/>
  <c r="D333" i="58"/>
  <c r="B333" i="58"/>
  <c r="E332" i="58"/>
  <c r="D332" i="58"/>
  <c r="B332" i="58"/>
  <c r="B330" i="58"/>
  <c r="E326" i="58"/>
  <c r="D326" i="58"/>
  <c r="B326" i="58"/>
  <c r="B324" i="58"/>
  <c r="E323" i="58"/>
  <c r="D323" i="58"/>
  <c r="B323" i="58"/>
  <c r="E319" i="58"/>
  <c r="D319" i="58"/>
  <c r="B319" i="58"/>
  <c r="B317" i="58"/>
  <c r="E313" i="58"/>
  <c r="D313" i="58"/>
  <c r="B313" i="58"/>
  <c r="E312" i="58"/>
  <c r="D312" i="58"/>
  <c r="B312" i="58"/>
  <c r="B308" i="58"/>
  <c r="E307" i="58"/>
  <c r="D307" i="58"/>
  <c r="B307" i="58"/>
  <c r="E306" i="58"/>
  <c r="D306" i="58"/>
  <c r="B306" i="58"/>
  <c r="B304" i="58"/>
  <c r="E300" i="58"/>
  <c r="D300" i="58"/>
  <c r="B300" i="58"/>
  <c r="E299" i="58"/>
  <c r="D299" i="58"/>
  <c r="B299" i="58"/>
  <c r="E298" i="58"/>
  <c r="D298" i="58"/>
  <c r="B298" i="58"/>
  <c r="E292" i="58"/>
  <c r="D292" i="58"/>
  <c r="B292" i="58"/>
  <c r="E291" i="58"/>
  <c r="D291" i="58"/>
  <c r="B291" i="58"/>
  <c r="E288" i="58"/>
  <c r="D288" i="58"/>
  <c r="B288" i="58"/>
  <c r="E287" i="58"/>
  <c r="D287" i="58"/>
  <c r="B287" i="58"/>
  <c r="E284" i="58"/>
  <c r="D284" i="58"/>
  <c r="B284" i="58"/>
  <c r="E283" i="58"/>
  <c r="D283" i="58"/>
  <c r="B283" i="58"/>
  <c r="E280" i="58"/>
  <c r="D280" i="58"/>
  <c r="B280" i="58"/>
  <c r="E279" i="58"/>
  <c r="D279" i="58"/>
  <c r="B279" i="58"/>
  <c r="E276" i="58"/>
  <c r="D276" i="58"/>
  <c r="B276" i="58"/>
  <c r="E275" i="58"/>
  <c r="D275" i="58"/>
  <c r="B275" i="58"/>
  <c r="E272" i="58"/>
  <c r="D272" i="58"/>
  <c r="B272" i="58"/>
  <c r="B270" i="58"/>
  <c r="B264" i="58"/>
  <c r="E263" i="58"/>
  <c r="D263" i="58"/>
  <c r="B263" i="58"/>
  <c r="E262" i="58"/>
  <c r="D262" i="58"/>
  <c r="B262" i="58"/>
  <c r="E261" i="58"/>
  <c r="D261" i="58"/>
  <c r="B261" i="58"/>
  <c r="E258" i="58"/>
  <c r="D258" i="58"/>
  <c r="B258" i="58"/>
  <c r="E257" i="58"/>
  <c r="D257" i="58"/>
  <c r="B257" i="58"/>
  <c r="E254" i="58"/>
  <c r="D254" i="58"/>
  <c r="B254" i="58"/>
  <c r="E253" i="58"/>
  <c r="D253" i="58"/>
  <c r="B253" i="58"/>
  <c r="E250" i="58"/>
  <c r="D250" i="58"/>
  <c r="B250" i="58"/>
  <c r="B248" i="58"/>
  <c r="E247" i="58"/>
  <c r="D247" i="58"/>
  <c r="B241" i="58"/>
  <c r="E240" i="58"/>
  <c r="D240" i="58"/>
  <c r="B240" i="58"/>
  <c r="B238" i="58"/>
  <c r="B232" i="58"/>
  <c r="E231" i="58"/>
  <c r="D231" i="58"/>
  <c r="B231" i="58"/>
  <c r="E230" i="58"/>
  <c r="D230" i="58"/>
  <c r="B230" i="58"/>
  <c r="E227" i="58"/>
  <c r="D227" i="58"/>
  <c r="B227" i="58"/>
  <c r="E226" i="58"/>
  <c r="D226" i="58"/>
  <c r="B226" i="58"/>
  <c r="E223" i="58"/>
  <c r="D223" i="58"/>
  <c r="F222" i="58" s="1"/>
  <c r="B223" i="58"/>
  <c r="E220" i="58"/>
  <c r="D220" i="58"/>
  <c r="D219" i="58" s="1"/>
  <c r="B220" i="58"/>
  <c r="E216" i="58"/>
  <c r="D216" i="58"/>
  <c r="B216" i="58"/>
  <c r="K215" i="58"/>
  <c r="L215" i="58" s="1"/>
  <c r="M215" i="58" s="1"/>
  <c r="N215" i="58" s="1"/>
  <c r="O215" i="58" s="1"/>
  <c r="P215" i="58" s="1"/>
  <c r="Q215" i="58" s="1"/>
  <c r="R215" i="58" s="1"/>
  <c r="S215" i="58" s="1"/>
  <c r="T215" i="58" s="1"/>
  <c r="E215" i="58"/>
  <c r="D215" i="58"/>
  <c r="B215" i="58"/>
  <c r="E213" i="58"/>
  <c r="D213" i="58"/>
  <c r="B213" i="58"/>
  <c r="E212" i="58"/>
  <c r="D212" i="58"/>
  <c r="B212" i="58"/>
  <c r="E211" i="58"/>
  <c r="D211" i="58"/>
  <c r="B211" i="58"/>
  <c r="E206" i="58"/>
  <c r="D206" i="58"/>
  <c r="B206" i="58"/>
  <c r="E205" i="58"/>
  <c r="D205" i="58"/>
  <c r="B205" i="58"/>
  <c r="E204" i="58"/>
  <c r="D204" i="58"/>
  <c r="B204" i="58"/>
  <c r="E203" i="58"/>
  <c r="D203" i="58"/>
  <c r="B203" i="58"/>
  <c r="E199" i="58"/>
  <c r="D199" i="58"/>
  <c r="B199" i="58"/>
  <c r="E198" i="58"/>
  <c r="D198" i="58"/>
  <c r="B198" i="58"/>
  <c r="E197" i="58"/>
  <c r="D197" i="58"/>
  <c r="B197" i="58"/>
  <c r="E196" i="58"/>
  <c r="D196" i="58"/>
  <c r="B196" i="58"/>
  <c r="E192" i="58"/>
  <c r="D192" i="58"/>
  <c r="B192" i="58"/>
  <c r="E191" i="58"/>
  <c r="D191" i="58"/>
  <c r="B191" i="58"/>
  <c r="E190" i="58"/>
  <c r="D190" i="58"/>
  <c r="B190" i="58"/>
  <c r="E186" i="58"/>
  <c r="D186" i="58"/>
  <c r="B186" i="58"/>
  <c r="E185" i="58"/>
  <c r="D185" i="58"/>
  <c r="B185" i="58"/>
  <c r="E184" i="58"/>
  <c r="D184" i="58"/>
  <c r="B184" i="58"/>
  <c r="E183" i="58"/>
  <c r="D183" i="58"/>
  <c r="B183" i="58"/>
  <c r="E180" i="58"/>
  <c r="D180" i="58"/>
  <c r="B180" i="58"/>
  <c r="E179" i="58"/>
  <c r="D179" i="58"/>
  <c r="B179" i="58"/>
  <c r="E178" i="58"/>
  <c r="D178" i="58"/>
  <c r="B178" i="58"/>
  <c r="E177" i="58"/>
  <c r="D177" i="58"/>
  <c r="B177" i="58"/>
  <c r="B174" i="58"/>
  <c r="E173" i="58"/>
  <c r="D173" i="58"/>
  <c r="B173" i="58"/>
  <c r="B171" i="58"/>
  <c r="E170" i="58"/>
  <c r="D170" i="58"/>
  <c r="B170" i="58"/>
  <c r="E168" i="58"/>
  <c r="E246" i="58" s="1"/>
  <c r="D168" i="58"/>
  <c r="D246" i="58" s="1"/>
  <c r="B168" i="58"/>
  <c r="E167" i="58"/>
  <c r="E269" i="58" s="1"/>
  <c r="D167" i="58"/>
  <c r="D269" i="58" s="1"/>
  <c r="B167" i="58"/>
  <c r="E165" i="58"/>
  <c r="E236" i="58" s="1"/>
  <c r="D165" i="58"/>
  <c r="D236" i="58" s="1"/>
  <c r="B165" i="58"/>
  <c r="E163" i="58"/>
  <c r="D163" i="58"/>
  <c r="B163" i="58"/>
  <c r="E162" i="58"/>
  <c r="D162" i="58"/>
  <c r="B162" i="58"/>
  <c r="E161" i="58"/>
  <c r="D161" i="58"/>
  <c r="B161" i="58"/>
  <c r="E160" i="58"/>
  <c r="D160" i="58"/>
  <c r="B160" i="58"/>
  <c r="E159" i="58"/>
  <c r="D159" i="58"/>
  <c r="B159" i="58"/>
  <c r="E158" i="58"/>
  <c r="E164" i="58" s="1"/>
  <c r="D158" i="58"/>
  <c r="B158" i="58"/>
  <c r="E155" i="58"/>
  <c r="D155" i="58"/>
  <c r="B155" i="58"/>
  <c r="E154" i="58"/>
  <c r="D154" i="58"/>
  <c r="B154" i="58"/>
  <c r="E150" i="58"/>
  <c r="D150" i="58"/>
  <c r="B150" i="58"/>
  <c r="E149" i="58"/>
  <c r="D149" i="58"/>
  <c r="B149" i="58"/>
  <c r="E148" i="58"/>
  <c r="D148" i="58"/>
  <c r="B148" i="58"/>
  <c r="B146" i="58"/>
  <c r="L144" i="58"/>
  <c r="D144" i="58"/>
  <c r="E141" i="58"/>
  <c r="D141" i="58"/>
  <c r="B141" i="58"/>
  <c r="E140" i="58"/>
  <c r="D140" i="58"/>
  <c r="B140" i="58"/>
  <c r="B136" i="58"/>
  <c r="E135" i="58"/>
  <c r="D135" i="58"/>
  <c r="B135" i="58"/>
  <c r="E134" i="58"/>
  <c r="D134" i="58"/>
  <c r="B134" i="58"/>
  <c r="B130" i="58"/>
  <c r="E128" i="58"/>
  <c r="D128" i="58"/>
  <c r="B128" i="58"/>
  <c r="E127" i="58"/>
  <c r="D127" i="58"/>
  <c r="B127" i="58"/>
  <c r="E126" i="58"/>
  <c r="D126" i="58"/>
  <c r="B126" i="58"/>
  <c r="E125" i="58"/>
  <c r="D125" i="58"/>
  <c r="B125" i="58"/>
  <c r="E124" i="58"/>
  <c r="D124" i="58"/>
  <c r="B124" i="58"/>
  <c r="E117" i="58"/>
  <c r="D117" i="58"/>
  <c r="B117" i="58"/>
  <c r="E116" i="58"/>
  <c r="D116" i="58"/>
  <c r="B116" i="58"/>
  <c r="E115" i="58"/>
  <c r="D115" i="58"/>
  <c r="B115" i="58"/>
  <c r="E114" i="58"/>
  <c r="D114" i="58"/>
  <c r="B114" i="58"/>
  <c r="E113" i="58"/>
  <c r="D113" i="58"/>
  <c r="B113" i="58"/>
  <c r="E112" i="58"/>
  <c r="D112" i="58"/>
  <c r="B112" i="58"/>
  <c r="E110" i="58"/>
  <c r="D110" i="58"/>
  <c r="B110" i="58"/>
  <c r="E109" i="58"/>
  <c r="D109" i="58"/>
  <c r="B109" i="58"/>
  <c r="E108" i="58"/>
  <c r="D108" i="58"/>
  <c r="B108" i="58"/>
  <c r="E107" i="58"/>
  <c r="D107" i="58"/>
  <c r="B107" i="58"/>
  <c r="E101" i="58"/>
  <c r="D101" i="58"/>
  <c r="B101" i="58"/>
  <c r="E100" i="58"/>
  <c r="D100" i="58"/>
  <c r="B100" i="58"/>
  <c r="H475" i="58"/>
  <c r="G475" i="58"/>
  <c r="E99" i="58"/>
  <c r="E475" i="58" s="1"/>
  <c r="D99" i="58"/>
  <c r="D475" i="58" s="1"/>
  <c r="B99" i="58"/>
  <c r="E96" i="58"/>
  <c r="D96" i="58"/>
  <c r="B96" i="58"/>
  <c r="E95" i="58"/>
  <c r="D95" i="58"/>
  <c r="B95" i="58"/>
  <c r="E94" i="58"/>
  <c r="D94" i="58"/>
  <c r="B94" i="58"/>
  <c r="E93" i="58"/>
  <c r="D93" i="58"/>
  <c r="B93" i="58"/>
  <c r="E92" i="58"/>
  <c r="D92" i="58"/>
  <c r="B92" i="58"/>
  <c r="E87" i="58"/>
  <c r="D87" i="58"/>
  <c r="B87" i="58"/>
  <c r="E86" i="58"/>
  <c r="D86" i="58"/>
  <c r="B86" i="58"/>
  <c r="J84" i="58"/>
  <c r="I84" i="58"/>
  <c r="H84" i="58"/>
  <c r="G84" i="58"/>
  <c r="F84" i="58"/>
  <c r="E84" i="58"/>
  <c r="D84" i="58"/>
  <c r="B84" i="58"/>
  <c r="J83" i="58"/>
  <c r="I83" i="58"/>
  <c r="H83" i="58"/>
  <c r="G83" i="58"/>
  <c r="F83" i="58"/>
  <c r="E83" i="58"/>
  <c r="D83" i="58"/>
  <c r="B83" i="58"/>
  <c r="J82" i="58"/>
  <c r="I82" i="58"/>
  <c r="H82" i="58"/>
  <c r="G82" i="58"/>
  <c r="F82" i="58"/>
  <c r="E82" i="58"/>
  <c r="D82" i="58"/>
  <c r="B82" i="58"/>
  <c r="J81" i="58"/>
  <c r="I81" i="58"/>
  <c r="I85" i="58" s="1"/>
  <c r="H81" i="58"/>
  <c r="G81" i="58"/>
  <c r="F81" i="58"/>
  <c r="E81" i="58"/>
  <c r="D81" i="58"/>
  <c r="B81" i="58"/>
  <c r="E80" i="58"/>
  <c r="E85" i="58" s="1"/>
  <c r="D80" i="58"/>
  <c r="B80" i="58"/>
  <c r="B77" i="58"/>
  <c r="J75" i="58"/>
  <c r="I75" i="58"/>
  <c r="H75" i="58"/>
  <c r="H322" i="58" s="1"/>
  <c r="G75" i="58"/>
  <c r="G322" i="58" s="1"/>
  <c r="F75" i="58"/>
  <c r="F322" i="58" s="1"/>
  <c r="E75" i="58"/>
  <c r="D75" i="58"/>
  <c r="B75" i="58"/>
  <c r="J74" i="58"/>
  <c r="I74" i="58"/>
  <c r="H74" i="58"/>
  <c r="G74" i="58"/>
  <c r="F74" i="58"/>
  <c r="E74" i="58"/>
  <c r="D74" i="58"/>
  <c r="D361" i="58" s="1"/>
  <c r="B74" i="58"/>
  <c r="B72" i="58"/>
  <c r="J70" i="58"/>
  <c r="I70" i="58"/>
  <c r="H70" i="58"/>
  <c r="G70" i="58"/>
  <c r="F70" i="58"/>
  <c r="E70" i="58"/>
  <c r="B70" i="58"/>
  <c r="B68" i="58"/>
  <c r="B65" i="58"/>
  <c r="B64" i="58"/>
  <c r="E61" i="58"/>
  <c r="D61" i="58"/>
  <c r="B61" i="58"/>
  <c r="J56" i="58"/>
  <c r="I56" i="58"/>
  <c r="H56" i="58"/>
  <c r="G56" i="58"/>
  <c r="F56" i="58"/>
  <c r="E56" i="58"/>
  <c r="D56" i="58"/>
  <c r="B56" i="58"/>
  <c r="I42" i="58"/>
  <c r="G42" i="58"/>
  <c r="F42" i="58"/>
  <c r="E42" i="58"/>
  <c r="D42" i="58"/>
  <c r="J41" i="58"/>
  <c r="I41" i="58"/>
  <c r="H41" i="58"/>
  <c r="G41" i="58"/>
  <c r="F41" i="58"/>
  <c r="E41" i="58"/>
  <c r="D41" i="58"/>
  <c r="B41" i="58"/>
  <c r="J38" i="58"/>
  <c r="I38" i="58"/>
  <c r="H38" i="58"/>
  <c r="G38" i="58"/>
  <c r="F38" i="58"/>
  <c r="E38" i="58"/>
  <c r="D38" i="58"/>
  <c r="J32" i="58"/>
  <c r="I32" i="58"/>
  <c r="H32" i="58"/>
  <c r="G32" i="58"/>
  <c r="F32" i="58"/>
  <c r="E32" i="58"/>
  <c r="D32" i="58"/>
  <c r="B32" i="58"/>
  <c r="A31" i="58"/>
  <c r="J30" i="58"/>
  <c r="I30" i="58"/>
  <c r="H30" i="58"/>
  <c r="G30" i="58"/>
  <c r="F30" i="58"/>
  <c r="E30" i="58"/>
  <c r="D30" i="58"/>
  <c r="B30" i="58"/>
  <c r="J28" i="58"/>
  <c r="I28" i="58"/>
  <c r="H28" i="58"/>
  <c r="G28" i="58"/>
  <c r="F28" i="58"/>
  <c r="E28" i="58"/>
  <c r="D28" i="58"/>
  <c r="B28" i="58"/>
  <c r="J27" i="58"/>
  <c r="I27" i="58"/>
  <c r="H27" i="58"/>
  <c r="G27" i="58"/>
  <c r="F27" i="58"/>
  <c r="E27" i="58"/>
  <c r="D27" i="58"/>
  <c r="B27" i="58"/>
  <c r="J26" i="58"/>
  <c r="I26" i="58"/>
  <c r="H26" i="58"/>
  <c r="G26" i="58"/>
  <c r="F26" i="58"/>
  <c r="E26" i="58"/>
  <c r="D26" i="58"/>
  <c r="B26" i="58"/>
  <c r="J25" i="58"/>
  <c r="I25" i="58"/>
  <c r="H25" i="58"/>
  <c r="G25" i="58"/>
  <c r="F25" i="58"/>
  <c r="E25" i="58"/>
  <c r="D25" i="58"/>
  <c r="B25" i="58"/>
  <c r="J24" i="58"/>
  <c r="I24" i="58"/>
  <c r="H24" i="58"/>
  <c r="G24" i="58"/>
  <c r="F24" i="58"/>
  <c r="E24" i="58"/>
  <c r="D24" i="58"/>
  <c r="B24" i="58"/>
  <c r="A23" i="58"/>
  <c r="J22" i="58"/>
  <c r="I22" i="58"/>
  <c r="H22" i="58"/>
  <c r="G22" i="58"/>
  <c r="F22" i="58"/>
  <c r="E22" i="58"/>
  <c r="D22" i="58"/>
  <c r="B22" i="58"/>
  <c r="A20" i="58"/>
  <c r="J19" i="58"/>
  <c r="I19" i="58"/>
  <c r="H19" i="58"/>
  <c r="G19" i="58"/>
  <c r="F19" i="58"/>
  <c r="E19" i="58"/>
  <c r="D19" i="58"/>
  <c r="B19" i="58"/>
  <c r="A18" i="58"/>
  <c r="J17" i="58"/>
  <c r="I17" i="58"/>
  <c r="H17" i="58"/>
  <c r="G17" i="58"/>
  <c r="F17" i="58"/>
  <c r="E17" i="58"/>
  <c r="D17" i="58"/>
  <c r="B17" i="58"/>
  <c r="A14" i="58"/>
  <c r="J13" i="58"/>
  <c r="I13" i="58"/>
  <c r="H13" i="58"/>
  <c r="H221" i="58" s="1"/>
  <c r="G13" i="58"/>
  <c r="G221" i="58" s="1"/>
  <c r="F13" i="58"/>
  <c r="E13" i="58"/>
  <c r="E15" i="58" s="1"/>
  <c r="D13" i="58"/>
  <c r="B13" i="58"/>
  <c r="J11" i="58"/>
  <c r="I11" i="58"/>
  <c r="H11" i="58"/>
  <c r="G11" i="58"/>
  <c r="F11" i="58"/>
  <c r="E11" i="58"/>
  <c r="D11" i="58"/>
  <c r="C1" i="58"/>
  <c r="A509" i="58" s="1"/>
  <c r="G237" i="58" l="1"/>
  <c r="D97" i="58"/>
  <c r="G21" i="59"/>
  <c r="I20" i="59"/>
  <c r="D102" i="59"/>
  <c r="D448" i="59"/>
  <c r="H166" i="58"/>
  <c r="H169" i="58" s="1"/>
  <c r="J187" i="58"/>
  <c r="H233" i="58"/>
  <c r="H265" i="58"/>
  <c r="I468" i="58"/>
  <c r="I469" i="58" s="1"/>
  <c r="G21" i="58"/>
  <c r="D200" i="58"/>
  <c r="E147" i="59"/>
  <c r="E151" i="59" s="1"/>
  <c r="E146" i="59"/>
  <c r="E351" i="59"/>
  <c r="F137" i="58"/>
  <c r="D71" i="59"/>
  <c r="E187" i="59"/>
  <c r="E237" i="59"/>
  <c r="I237" i="59"/>
  <c r="M237" i="59"/>
  <c r="Q237" i="59"/>
  <c r="H379" i="59"/>
  <c r="H383" i="59" s="1"/>
  <c r="F31" i="58"/>
  <c r="F31" i="59"/>
  <c r="F222" i="59"/>
  <c r="F230" i="59"/>
  <c r="F232" i="59" s="1"/>
  <c r="F233" i="59" s="1"/>
  <c r="I233" i="58"/>
  <c r="I221" i="58"/>
  <c r="J477" i="59"/>
  <c r="I248" i="58"/>
  <c r="I249" i="58" s="1"/>
  <c r="J351" i="58"/>
  <c r="I237" i="58"/>
  <c r="F237" i="58"/>
  <c r="J237" i="58"/>
  <c r="F324" i="58"/>
  <c r="H308" i="58"/>
  <c r="H309" i="58" s="1"/>
  <c r="I270" i="58"/>
  <c r="I271" i="58" s="1"/>
  <c r="H238" i="58"/>
  <c r="H296" i="58" s="1"/>
  <c r="G151" i="58"/>
  <c r="F264" i="58"/>
  <c r="F214" i="58"/>
  <c r="H270" i="58"/>
  <c r="H271" i="58" s="1"/>
  <c r="F214" i="59"/>
  <c r="I322" i="58"/>
  <c r="F97" i="58"/>
  <c r="G97" i="58"/>
  <c r="I379" i="58"/>
  <c r="I383" i="58" s="1"/>
  <c r="H111" i="58"/>
  <c r="G111" i="58"/>
  <c r="G98" i="58"/>
  <c r="G85" i="58"/>
  <c r="H105" i="58"/>
  <c r="H12" i="59"/>
  <c r="H23" i="59"/>
  <c r="G31" i="59"/>
  <c r="J12" i="59"/>
  <c r="F23" i="59"/>
  <c r="H221" i="59"/>
  <c r="G23" i="59"/>
  <c r="F221" i="58"/>
  <c r="K490" i="59"/>
  <c r="K107" i="59"/>
  <c r="O490" i="59"/>
  <c r="O107" i="59"/>
  <c r="S490" i="59"/>
  <c r="S107" i="59"/>
  <c r="M490" i="59"/>
  <c r="M107" i="59"/>
  <c r="Q490" i="59"/>
  <c r="Q107" i="59"/>
  <c r="D221" i="59"/>
  <c r="F14" i="59"/>
  <c r="I15" i="59"/>
  <c r="F21" i="59"/>
  <c r="G20" i="59"/>
  <c r="J23" i="59"/>
  <c r="H31" i="59"/>
  <c r="L107" i="59"/>
  <c r="P107" i="59"/>
  <c r="T107" i="59"/>
  <c r="F118" i="59"/>
  <c r="J118" i="59"/>
  <c r="E248" i="59"/>
  <c r="E249" i="59" s="1"/>
  <c r="D219" i="59"/>
  <c r="F265" i="59"/>
  <c r="D376" i="59"/>
  <c r="D362" i="59" s="1"/>
  <c r="G379" i="59"/>
  <c r="G383" i="59" s="1"/>
  <c r="F443" i="59"/>
  <c r="I137" i="59"/>
  <c r="H268" i="59"/>
  <c r="J270" i="59"/>
  <c r="J271" i="59" s="1"/>
  <c r="D15" i="59"/>
  <c r="E73" i="59"/>
  <c r="E76" i="59" s="1"/>
  <c r="E77" i="59" s="1"/>
  <c r="E98" i="59"/>
  <c r="F221" i="59"/>
  <c r="J221" i="59"/>
  <c r="J265" i="59"/>
  <c r="D268" i="59"/>
  <c r="D351" i="59"/>
  <c r="D354" i="59" s="1"/>
  <c r="E354" i="59" s="1"/>
  <c r="J442" i="59"/>
  <c r="J443" i="59" s="1"/>
  <c r="E137" i="59"/>
  <c r="F20" i="59"/>
  <c r="J20" i="59"/>
  <c r="K24" i="59"/>
  <c r="L24" i="59" s="1"/>
  <c r="M24" i="59" s="1"/>
  <c r="N24" i="59" s="1"/>
  <c r="O24" i="59" s="1"/>
  <c r="P24" i="59" s="1"/>
  <c r="Q24" i="59" s="1"/>
  <c r="R24" i="59" s="1"/>
  <c r="S24" i="59" s="1"/>
  <c r="T24" i="59" s="1"/>
  <c r="K32" i="59"/>
  <c r="L32" i="59" s="1"/>
  <c r="M32" i="59" s="1"/>
  <c r="N32" i="59" s="1"/>
  <c r="O32" i="59" s="1"/>
  <c r="P32" i="59" s="1"/>
  <c r="Q32" i="59" s="1"/>
  <c r="R32" i="59" s="1"/>
  <c r="S32" i="59" s="1"/>
  <c r="T32" i="59" s="1"/>
  <c r="G137" i="59"/>
  <c r="G164" i="59"/>
  <c r="G166" i="59" s="1"/>
  <c r="G169" i="59" s="1"/>
  <c r="D200" i="59"/>
  <c r="E214" i="59"/>
  <c r="G264" i="59"/>
  <c r="G265" i="59" s="1"/>
  <c r="E305" i="59"/>
  <c r="H443" i="59"/>
  <c r="G443" i="59"/>
  <c r="J447" i="59"/>
  <c r="J448" i="59" s="1"/>
  <c r="D509" i="59"/>
  <c r="G248" i="58"/>
  <c r="G249" i="58"/>
  <c r="H146" i="58"/>
  <c r="H147" i="58" s="1"/>
  <c r="H151" i="58" s="1"/>
  <c r="J238" i="58"/>
  <c r="J239" i="58" s="1"/>
  <c r="J241" i="58" s="1"/>
  <c r="J242" i="58" s="1"/>
  <c r="I146" i="58"/>
  <c r="I147" i="58" s="1"/>
  <c r="I151" i="58" s="1"/>
  <c r="G270" i="58"/>
  <c r="G271" i="58" s="1"/>
  <c r="H239" i="58"/>
  <c r="G238" i="58"/>
  <c r="G296" i="58" s="1"/>
  <c r="J270" i="58"/>
  <c r="J271" i="58" s="1"/>
  <c r="G239" i="58"/>
  <c r="F147" i="58"/>
  <c r="F151" i="58" s="1"/>
  <c r="E129" i="58"/>
  <c r="H208" i="58"/>
  <c r="A517" i="58"/>
  <c r="F118" i="58"/>
  <c r="F129" i="58"/>
  <c r="F130" i="58" s="1"/>
  <c r="F131" i="58" s="1"/>
  <c r="H171" i="58"/>
  <c r="H172" i="58" s="1"/>
  <c r="I111" i="58"/>
  <c r="F232" i="58"/>
  <c r="I222" i="58"/>
  <c r="H219" i="58"/>
  <c r="J97" i="58"/>
  <c r="J98" i="58" s="1"/>
  <c r="F351" i="58"/>
  <c r="I172" i="58"/>
  <c r="I174" i="58" s="1"/>
  <c r="I175" i="58" s="1"/>
  <c r="J222" i="58"/>
  <c r="G305" i="58"/>
  <c r="G308" i="58" s="1"/>
  <c r="G309" i="58" s="1"/>
  <c r="G105" i="58" s="1"/>
  <c r="G208" i="58"/>
  <c r="E509" i="58"/>
  <c r="E516" i="58" s="1"/>
  <c r="I517" i="58"/>
  <c r="J85" i="58"/>
  <c r="H97" i="58"/>
  <c r="H98" i="58" s="1"/>
  <c r="F164" i="58"/>
  <c r="F166" i="58" s="1"/>
  <c r="F169" i="58" s="1"/>
  <c r="G171" i="58"/>
  <c r="F187" i="58"/>
  <c r="F200" i="58"/>
  <c r="H222" i="58"/>
  <c r="G219" i="58"/>
  <c r="F248" i="58"/>
  <c r="F249" i="58" s="1"/>
  <c r="I97" i="58"/>
  <c r="I98" i="58" s="1"/>
  <c r="I166" i="58"/>
  <c r="I169" i="58" s="1"/>
  <c r="I219" i="58"/>
  <c r="K350" i="58"/>
  <c r="K303" i="58" s="1"/>
  <c r="D21" i="58"/>
  <c r="H21" i="58"/>
  <c r="E118" i="58"/>
  <c r="D248" i="58"/>
  <c r="E187" i="58"/>
  <c r="D379" i="58"/>
  <c r="D383" i="58" s="1"/>
  <c r="D88" i="58"/>
  <c r="J172" i="58"/>
  <c r="F193" i="58"/>
  <c r="F106" i="58" s="1"/>
  <c r="F111" i="58" s="1"/>
  <c r="F207" i="58"/>
  <c r="F219" i="58"/>
  <c r="G222" i="58"/>
  <c r="J219" i="58"/>
  <c r="J462" i="58" s="1"/>
  <c r="J463" i="58" s="1"/>
  <c r="F236" i="58"/>
  <c r="J245" i="58"/>
  <c r="I236" i="58"/>
  <c r="I238" i="58" s="1"/>
  <c r="F268" i="58"/>
  <c r="F270" i="58" s="1"/>
  <c r="J322" i="58"/>
  <c r="J324" i="58" s="1"/>
  <c r="J325" i="58" s="1"/>
  <c r="H468" i="58"/>
  <c r="H469" i="58" s="1"/>
  <c r="A511" i="58"/>
  <c r="G468" i="58"/>
  <c r="G469" i="58" s="1"/>
  <c r="K347" i="58"/>
  <c r="K145" i="58" s="1"/>
  <c r="A515" i="58"/>
  <c r="A516" i="58"/>
  <c r="J468" i="58"/>
  <c r="J469" i="58" s="1"/>
  <c r="K349" i="58"/>
  <c r="J146" i="58"/>
  <c r="J147" i="58" s="1"/>
  <c r="J151" i="58" s="1"/>
  <c r="G324" i="58"/>
  <c r="G325" i="58"/>
  <c r="I324" i="58"/>
  <c r="I325" i="58" s="1"/>
  <c r="H324" i="58"/>
  <c r="H325" i="58" s="1"/>
  <c r="F303" i="58"/>
  <c r="I69" i="58"/>
  <c r="I71" i="58" s="1"/>
  <c r="F208" i="58"/>
  <c r="F98" i="58"/>
  <c r="F325" i="58"/>
  <c r="I308" i="58"/>
  <c r="I309" i="58" s="1"/>
  <c r="I105" i="58" s="1"/>
  <c r="J308" i="58"/>
  <c r="J309" i="58" s="1"/>
  <c r="J105" i="58" s="1"/>
  <c r="F265" i="58"/>
  <c r="J221" i="58"/>
  <c r="F233" i="58"/>
  <c r="J111" i="58"/>
  <c r="F196" i="59"/>
  <c r="F200" i="59" s="1"/>
  <c r="G284" i="59"/>
  <c r="K2" i="59"/>
  <c r="L2" i="59"/>
  <c r="G250" i="59"/>
  <c r="I253" i="59"/>
  <c r="J166" i="58"/>
  <c r="J169" i="58" s="1"/>
  <c r="F102" i="58"/>
  <c r="P2" i="59"/>
  <c r="F87" i="59"/>
  <c r="G92" i="59"/>
  <c r="I97" i="59"/>
  <c r="G183" i="59"/>
  <c r="G187" i="59" s="1"/>
  <c r="J196" i="59"/>
  <c r="J200" i="59" s="1"/>
  <c r="R2" i="59"/>
  <c r="H87" i="59"/>
  <c r="I92" i="59"/>
  <c r="H183" i="59"/>
  <c r="H187" i="59" s="1"/>
  <c r="J257" i="59"/>
  <c r="G258" i="59"/>
  <c r="H166" i="59"/>
  <c r="H169" i="59" s="1"/>
  <c r="H171" i="59"/>
  <c r="F361" i="59"/>
  <c r="J361" i="59"/>
  <c r="F130" i="59"/>
  <c r="F131" i="59" s="1"/>
  <c r="J130" i="59"/>
  <c r="D136" i="59"/>
  <c r="D137" i="59" s="1"/>
  <c r="H137" i="59"/>
  <c r="J111" i="59"/>
  <c r="L215" i="59"/>
  <c r="M215" i="59" s="1"/>
  <c r="N215" i="59" s="1"/>
  <c r="O215" i="59" s="1"/>
  <c r="P215" i="59" s="1"/>
  <c r="Q215" i="59" s="1"/>
  <c r="R215" i="59" s="1"/>
  <c r="S215" i="59" s="1"/>
  <c r="T215" i="59" s="1"/>
  <c r="E18" i="59"/>
  <c r="E21" i="59"/>
  <c r="G130" i="59"/>
  <c r="G131" i="59" s="1"/>
  <c r="D166" i="59"/>
  <c r="D169" i="59" s="1"/>
  <c r="H20" i="59"/>
  <c r="H21" i="59"/>
  <c r="E85" i="59"/>
  <c r="I85" i="59"/>
  <c r="F171" i="59"/>
  <c r="F166" i="59"/>
  <c r="F169" i="59" s="1"/>
  <c r="J171" i="59"/>
  <c r="J172" i="59" s="1"/>
  <c r="J166" i="59"/>
  <c r="J169" i="59" s="1"/>
  <c r="I18" i="59"/>
  <c r="I21" i="59"/>
  <c r="D118" i="59"/>
  <c r="H238" i="59"/>
  <c r="H239" i="59" s="1"/>
  <c r="J18" i="59"/>
  <c r="G118" i="59"/>
  <c r="D171" i="59"/>
  <c r="D172" i="59" s="1"/>
  <c r="K223" i="59"/>
  <c r="G14" i="59"/>
  <c r="E20" i="59"/>
  <c r="E31" i="59"/>
  <c r="J395" i="59"/>
  <c r="G214" i="59"/>
  <c r="L227" i="59"/>
  <c r="D270" i="59"/>
  <c r="D271" i="59" s="1"/>
  <c r="N2" i="59"/>
  <c r="S2" i="59"/>
  <c r="E12" i="59"/>
  <c r="I12" i="59"/>
  <c r="H14" i="59"/>
  <c r="I14" i="59"/>
  <c r="E23" i="59"/>
  <c r="I23" i="59"/>
  <c r="K26" i="59"/>
  <c r="K25" i="59" s="1"/>
  <c r="K27" i="59"/>
  <c r="L27" i="59" s="1"/>
  <c r="D363" i="59"/>
  <c r="D361" i="59"/>
  <c r="H361" i="59"/>
  <c r="I87" i="59"/>
  <c r="J92" i="59"/>
  <c r="G97" i="59"/>
  <c r="E102" i="59"/>
  <c r="E118" i="59"/>
  <c r="I118" i="59"/>
  <c r="J136" i="59"/>
  <c r="D238" i="59"/>
  <c r="D239" i="59" s="1"/>
  <c r="E193" i="59"/>
  <c r="E106" i="59" s="1"/>
  <c r="E111" i="59" s="1"/>
  <c r="I254" i="59"/>
  <c r="I272" i="59"/>
  <c r="E308" i="59"/>
  <c r="E309" i="59" s="1"/>
  <c r="J21" i="59"/>
  <c r="I31" i="59"/>
  <c r="D98" i="59"/>
  <c r="G171" i="59"/>
  <c r="G172" i="59" s="1"/>
  <c r="G174" i="59" s="1"/>
  <c r="F193" i="59"/>
  <c r="F106" i="59" s="1"/>
  <c r="F111" i="59" s="1"/>
  <c r="J219" i="59"/>
  <c r="A516" i="59"/>
  <c r="A511" i="59"/>
  <c r="A509" i="59"/>
  <c r="A517" i="59"/>
  <c r="A508" i="59"/>
  <c r="A515" i="59"/>
  <c r="G468" i="59"/>
  <c r="I464" i="59"/>
  <c r="J460" i="59"/>
  <c r="F460" i="59"/>
  <c r="J468" i="59"/>
  <c r="F468" i="59"/>
  <c r="H464" i="59"/>
  <c r="I460" i="59"/>
  <c r="A510" i="59"/>
  <c r="I468" i="59"/>
  <c r="G464" i="59"/>
  <c r="H460" i="59"/>
  <c r="C419" i="59"/>
  <c r="D419" i="59" s="1"/>
  <c r="E419" i="59" s="1"/>
  <c r="F419" i="59" s="1"/>
  <c r="G419" i="59" s="1"/>
  <c r="H419" i="59" s="1"/>
  <c r="I419" i="59" s="1"/>
  <c r="J419" i="59" s="1"/>
  <c r="J420" i="59" s="1"/>
  <c r="R418" i="59"/>
  <c r="N418" i="59"/>
  <c r="Q417" i="59"/>
  <c r="M417" i="59"/>
  <c r="T416" i="59"/>
  <c r="P416" i="59"/>
  <c r="L416" i="59"/>
  <c r="S415" i="59"/>
  <c r="O415" i="59"/>
  <c r="K415" i="59"/>
  <c r="G396" i="59"/>
  <c r="J464" i="59"/>
  <c r="G460" i="59"/>
  <c r="Q418" i="59"/>
  <c r="T417" i="59"/>
  <c r="P417" i="59"/>
  <c r="S416" i="59"/>
  <c r="O416" i="59"/>
  <c r="K416" i="59"/>
  <c r="R415" i="59"/>
  <c r="N415" i="59"/>
  <c r="J396" i="59"/>
  <c r="F396" i="59"/>
  <c r="F464" i="59"/>
  <c r="T418" i="59"/>
  <c r="P418" i="59"/>
  <c r="S417" i="59"/>
  <c r="O417" i="59"/>
  <c r="K417" i="59"/>
  <c r="L417" i="59" s="1"/>
  <c r="R416" i="59"/>
  <c r="N416" i="59"/>
  <c r="Q415" i="59"/>
  <c r="M415" i="59"/>
  <c r="K413" i="59"/>
  <c r="L413" i="59" s="1"/>
  <c r="I396" i="59"/>
  <c r="H468" i="59"/>
  <c r="K421" i="59"/>
  <c r="S418" i="59"/>
  <c r="O418" i="59"/>
  <c r="K418" i="59"/>
  <c r="L418" i="59" s="1"/>
  <c r="M418" i="59" s="1"/>
  <c r="R417" i="59"/>
  <c r="N417" i="59"/>
  <c r="Q416" i="59"/>
  <c r="M416" i="59"/>
  <c r="T415" i="59"/>
  <c r="P415" i="59"/>
  <c r="L415" i="59"/>
  <c r="K414" i="59"/>
  <c r="L414" i="59" s="1"/>
  <c r="M414" i="59" s="1"/>
  <c r="N414" i="59" s="1"/>
  <c r="O414" i="59" s="1"/>
  <c r="P414" i="59" s="1"/>
  <c r="Q414" i="59" s="1"/>
  <c r="R414" i="59" s="1"/>
  <c r="S414" i="59" s="1"/>
  <c r="T414" i="59" s="1"/>
  <c r="C387" i="59"/>
  <c r="K353" i="59"/>
  <c r="L353" i="59" s="1"/>
  <c r="M353" i="59" s="1"/>
  <c r="N353" i="59" s="1"/>
  <c r="O353" i="59" s="1"/>
  <c r="P353" i="59" s="1"/>
  <c r="Q353" i="59" s="1"/>
  <c r="R353" i="59" s="1"/>
  <c r="S353" i="59" s="1"/>
  <c r="T353" i="59" s="1"/>
  <c r="H396" i="59"/>
  <c r="R292" i="59"/>
  <c r="N292" i="59"/>
  <c r="Q291" i="59"/>
  <c r="M291" i="59"/>
  <c r="H288" i="59"/>
  <c r="G287" i="59"/>
  <c r="J284" i="59"/>
  <c r="F284" i="59"/>
  <c r="I283" i="59"/>
  <c r="H280" i="59"/>
  <c r="G279" i="59"/>
  <c r="J276" i="59"/>
  <c r="F276" i="59"/>
  <c r="I275" i="59"/>
  <c r="H272" i="59"/>
  <c r="Q292" i="59"/>
  <c r="M292" i="59"/>
  <c r="T291" i="59"/>
  <c r="P291" i="59"/>
  <c r="L291" i="59"/>
  <c r="G288" i="59"/>
  <c r="J287" i="59"/>
  <c r="F287" i="59"/>
  <c r="I284" i="59"/>
  <c r="H283" i="59"/>
  <c r="G280" i="59"/>
  <c r="J279" i="59"/>
  <c r="F279" i="59"/>
  <c r="I276" i="59"/>
  <c r="H275" i="59"/>
  <c r="G272" i="59"/>
  <c r="T292" i="59"/>
  <c r="P292" i="59"/>
  <c r="L292" i="59"/>
  <c r="S291" i="59"/>
  <c r="O291" i="59"/>
  <c r="K291" i="59"/>
  <c r="J288" i="59"/>
  <c r="F288" i="59"/>
  <c r="I287" i="59"/>
  <c r="H284" i="59"/>
  <c r="G283" i="59"/>
  <c r="J280" i="59"/>
  <c r="F280" i="59"/>
  <c r="I279" i="59"/>
  <c r="R291" i="59"/>
  <c r="H287" i="59"/>
  <c r="H279" i="59"/>
  <c r="H276" i="59"/>
  <c r="F275" i="59"/>
  <c r="I270" i="59"/>
  <c r="I271" i="59" s="1"/>
  <c r="J258" i="59"/>
  <c r="F258" i="59"/>
  <c r="I257" i="59"/>
  <c r="H254" i="59"/>
  <c r="G253" i="59"/>
  <c r="J250" i="59"/>
  <c r="F250" i="59"/>
  <c r="J238" i="59"/>
  <c r="J239" i="59" s="1"/>
  <c r="F238" i="59"/>
  <c r="I230" i="59"/>
  <c r="I232" i="59" s="1"/>
  <c r="I222" i="59"/>
  <c r="H219" i="59"/>
  <c r="I196" i="59"/>
  <c r="I200" i="59" s="1"/>
  <c r="J183" i="59"/>
  <c r="J187" i="59" s="1"/>
  <c r="F183" i="59"/>
  <c r="F187" i="59" s="1"/>
  <c r="S292" i="59"/>
  <c r="N291" i="59"/>
  <c r="I288" i="59"/>
  <c r="J283" i="59"/>
  <c r="I280" i="59"/>
  <c r="G276" i="59"/>
  <c r="J272" i="59"/>
  <c r="H270" i="59"/>
  <c r="H271" i="59" s="1"/>
  <c r="I258" i="59"/>
  <c r="H257" i="59"/>
  <c r="G254" i="59"/>
  <c r="J253" i="59"/>
  <c r="F253" i="59"/>
  <c r="I250" i="59"/>
  <c r="I238" i="59"/>
  <c r="I239" i="59" s="1"/>
  <c r="H230" i="59"/>
  <c r="H232" i="59" s="1"/>
  <c r="H222" i="59"/>
  <c r="G219" i="59"/>
  <c r="K211" i="59"/>
  <c r="L211" i="59" s="1"/>
  <c r="H196" i="59"/>
  <c r="H200" i="59" s="1"/>
  <c r="I183" i="59"/>
  <c r="I187" i="59" s="1"/>
  <c r="J275" i="59"/>
  <c r="F272" i="59"/>
  <c r="F270" i="59"/>
  <c r="F271" i="59" s="1"/>
  <c r="G257" i="59"/>
  <c r="F254" i="59"/>
  <c r="G238" i="59"/>
  <c r="G239" i="59" s="1"/>
  <c r="J230" i="59"/>
  <c r="J222" i="59"/>
  <c r="I219" i="59"/>
  <c r="G196" i="59"/>
  <c r="G200" i="59" s="1"/>
  <c r="J97" i="59"/>
  <c r="F97" i="59"/>
  <c r="H92" i="59"/>
  <c r="G87" i="59"/>
  <c r="Q2" i="59"/>
  <c r="M2" i="59"/>
  <c r="O292" i="59"/>
  <c r="G275" i="59"/>
  <c r="H258" i="59"/>
  <c r="F257" i="59"/>
  <c r="H250" i="59"/>
  <c r="G230" i="59"/>
  <c r="G222" i="59"/>
  <c r="K220" i="59"/>
  <c r="F219" i="59"/>
  <c r="O2" i="59"/>
  <c r="T2" i="59"/>
  <c r="E14" i="59"/>
  <c r="J14" i="59"/>
  <c r="F18" i="59"/>
  <c r="J31" i="59"/>
  <c r="K30" i="59" s="1"/>
  <c r="E361" i="59"/>
  <c r="I361" i="59"/>
  <c r="E322" i="59"/>
  <c r="J87" i="59"/>
  <c r="F92" i="59"/>
  <c r="H97" i="59"/>
  <c r="E129" i="59"/>
  <c r="I129" i="59"/>
  <c r="H130" i="59"/>
  <c r="H131" i="59" s="1"/>
  <c r="D147" i="59"/>
  <c r="D151" i="59" s="1"/>
  <c r="E238" i="59"/>
  <c r="E239" i="59"/>
  <c r="K167" i="59"/>
  <c r="I193" i="59"/>
  <c r="I106" i="59" s="1"/>
  <c r="I111" i="59" s="1"/>
  <c r="E200" i="59"/>
  <c r="E208" i="59"/>
  <c r="D248" i="59"/>
  <c r="D249" i="59" s="1"/>
  <c r="H253" i="59"/>
  <c r="J254" i="59"/>
  <c r="G270" i="59"/>
  <c r="G271" i="59" s="1"/>
  <c r="F283" i="59"/>
  <c r="E270" i="59"/>
  <c r="E271" i="59" s="1"/>
  <c r="I214" i="59"/>
  <c r="G221" i="59"/>
  <c r="E222" i="59"/>
  <c r="E89" i="59" s="1"/>
  <c r="E90" i="59" s="1"/>
  <c r="E91" i="59" s="1"/>
  <c r="D222" i="59"/>
  <c r="D89" i="59" s="1"/>
  <c r="D90" i="59" s="1"/>
  <c r="D91" i="59" s="1"/>
  <c r="H265" i="59"/>
  <c r="D264" i="59"/>
  <c r="D265" i="59" s="1"/>
  <c r="J15" i="59"/>
  <c r="G361" i="59"/>
  <c r="D322" i="59"/>
  <c r="E164" i="59"/>
  <c r="I164" i="59"/>
  <c r="J214" i="59"/>
  <c r="E264" i="59"/>
  <c r="E265" i="59" s="1"/>
  <c r="I264" i="59"/>
  <c r="I265" i="59" s="1"/>
  <c r="D304" i="59"/>
  <c r="D305" i="59"/>
  <c r="G193" i="59"/>
  <c r="G106" i="59" s="1"/>
  <c r="G111" i="59" s="1"/>
  <c r="D296" i="59"/>
  <c r="D233" i="59"/>
  <c r="D193" i="59"/>
  <c r="D106" i="59" s="1"/>
  <c r="D111" i="59" s="1"/>
  <c r="H193" i="59"/>
  <c r="H106" i="59" s="1"/>
  <c r="H111" i="59" s="1"/>
  <c r="D462" i="59"/>
  <c r="D463" i="59" s="1"/>
  <c r="E296" i="59"/>
  <c r="E233" i="59"/>
  <c r="D429" i="59"/>
  <c r="E376" i="59"/>
  <c r="E362" i="59" s="1"/>
  <c r="J383" i="59"/>
  <c r="F376" i="59"/>
  <c r="F362" i="59" s="1"/>
  <c r="E429" i="59"/>
  <c r="K423" i="59"/>
  <c r="L423" i="59" s="1"/>
  <c r="M423" i="59" s="1"/>
  <c r="N423" i="59" s="1"/>
  <c r="O423" i="59" s="1"/>
  <c r="P423" i="59" s="1"/>
  <c r="Q423" i="59" s="1"/>
  <c r="R423" i="59" s="1"/>
  <c r="S423" i="59" s="1"/>
  <c r="T423" i="59" s="1"/>
  <c r="J410" i="59"/>
  <c r="E468" i="59"/>
  <c r="E469" i="59" s="1"/>
  <c r="F477" i="59"/>
  <c r="I448" i="59"/>
  <c r="H448" i="59"/>
  <c r="E443" i="59"/>
  <c r="I443" i="59"/>
  <c r="D443" i="59"/>
  <c r="D54" i="59" s="1"/>
  <c r="F448" i="59"/>
  <c r="E447" i="59"/>
  <c r="E448" i="59" s="1"/>
  <c r="D469" i="59"/>
  <c r="D477" i="59"/>
  <c r="H477" i="59"/>
  <c r="E510" i="59"/>
  <c r="E511" i="59"/>
  <c r="E477" i="59"/>
  <c r="I477" i="59"/>
  <c r="K446" i="59"/>
  <c r="K447" i="59" s="1"/>
  <c r="E517" i="59"/>
  <c r="D510" i="59"/>
  <c r="D46" i="59" s="1"/>
  <c r="E516" i="59"/>
  <c r="E97" i="58"/>
  <c r="H20" i="58"/>
  <c r="E237" i="58"/>
  <c r="M237" i="58"/>
  <c r="M107" i="58" s="1"/>
  <c r="Q237" i="58"/>
  <c r="K237" i="58"/>
  <c r="K107" i="58" s="1"/>
  <c r="O237" i="58"/>
  <c r="O490" i="58" s="1"/>
  <c r="S237" i="58"/>
  <c r="S490" i="58" s="1"/>
  <c r="J508" i="58"/>
  <c r="H509" i="58"/>
  <c r="H510" i="58" s="1"/>
  <c r="F515" i="58"/>
  <c r="F68" i="58" s="1"/>
  <c r="F54" i="58" s="1"/>
  <c r="I14" i="58"/>
  <c r="H23" i="58"/>
  <c r="G31" i="58"/>
  <c r="E232" i="58"/>
  <c r="E233" i="58" s="1"/>
  <c r="E264" i="58"/>
  <c r="E265" i="58" s="1"/>
  <c r="N237" i="58"/>
  <c r="R237" i="58"/>
  <c r="D237" i="58"/>
  <c r="L237" i="58"/>
  <c r="L490" i="58" s="1"/>
  <c r="P237" i="58"/>
  <c r="T237" i="58"/>
  <c r="A508" i="58"/>
  <c r="A510" i="58"/>
  <c r="G509" i="58"/>
  <c r="I511" i="58"/>
  <c r="I510" i="58"/>
  <c r="I72" i="58"/>
  <c r="E510" i="58"/>
  <c r="E511" i="58"/>
  <c r="D509" i="58"/>
  <c r="D510" i="58" s="1"/>
  <c r="F509" i="58"/>
  <c r="J14" i="58"/>
  <c r="G20" i="58"/>
  <c r="H31" i="58"/>
  <c r="F23" i="58"/>
  <c r="F71" i="58"/>
  <c r="F12" i="58"/>
  <c r="J23" i="58"/>
  <c r="F18" i="58"/>
  <c r="J21" i="58"/>
  <c r="E20" i="58"/>
  <c r="I20" i="58"/>
  <c r="G23" i="58"/>
  <c r="J31" i="58"/>
  <c r="G71" i="58"/>
  <c r="E200" i="58"/>
  <c r="D264" i="58"/>
  <c r="D265" i="58" s="1"/>
  <c r="H379" i="58"/>
  <c r="H383" i="58" s="1"/>
  <c r="N490" i="58"/>
  <c r="N107" i="58"/>
  <c r="R490" i="58"/>
  <c r="R107" i="58"/>
  <c r="M490" i="58"/>
  <c r="Q490" i="58"/>
  <c r="Q107" i="58"/>
  <c r="K490" i="58"/>
  <c r="Q2" i="58"/>
  <c r="J15" i="58"/>
  <c r="D468" i="58"/>
  <c r="D469" i="58" s="1"/>
  <c r="L2" i="58"/>
  <c r="J18" i="58"/>
  <c r="F20" i="58"/>
  <c r="E31" i="58"/>
  <c r="G18" i="58"/>
  <c r="F21" i="58"/>
  <c r="D85" i="58"/>
  <c r="D102" i="58"/>
  <c r="E351" i="58"/>
  <c r="M2" i="58"/>
  <c r="H12" i="58"/>
  <c r="D221" i="58"/>
  <c r="F14" i="58"/>
  <c r="F15" i="58"/>
  <c r="E23" i="58"/>
  <c r="I23" i="58"/>
  <c r="D71" i="58"/>
  <c r="H71" i="58"/>
  <c r="D129" i="58"/>
  <c r="D130" i="58" s="1"/>
  <c r="D131" i="58" s="1"/>
  <c r="D146" i="58"/>
  <c r="D147" i="58" s="1"/>
  <c r="D151" i="58" s="1"/>
  <c r="D187" i="58"/>
  <c r="E303" i="58"/>
  <c r="E304" i="58" s="1"/>
  <c r="E305" i="58" s="1"/>
  <c r="D351" i="58"/>
  <c r="D354" i="58" s="1"/>
  <c r="D387" i="58" s="1"/>
  <c r="D410" i="58"/>
  <c r="D136" i="58"/>
  <c r="D137" i="58" s="1"/>
  <c r="T2" i="58"/>
  <c r="J20" i="58"/>
  <c r="I31" i="58"/>
  <c r="P2" i="58"/>
  <c r="E12" i="58"/>
  <c r="I12" i="58"/>
  <c r="E14" i="58"/>
  <c r="G14" i="58"/>
  <c r="I15" i="58"/>
  <c r="E21" i="58"/>
  <c r="I21" i="58"/>
  <c r="F85" i="58"/>
  <c r="E98" i="58"/>
  <c r="F477" i="58"/>
  <c r="F379" i="58"/>
  <c r="F383" i="58" s="1"/>
  <c r="J379" i="58"/>
  <c r="J383" i="58" s="1"/>
  <c r="J443" i="58"/>
  <c r="J447" i="58"/>
  <c r="J448" i="58" s="1"/>
  <c r="J12" i="58"/>
  <c r="G12" i="58"/>
  <c r="E429" i="58"/>
  <c r="E71" i="58"/>
  <c r="F468" i="58"/>
  <c r="S418" i="58"/>
  <c r="O418" i="58"/>
  <c r="K418" i="58"/>
  <c r="L418" i="58" s="1"/>
  <c r="M418" i="58" s="1"/>
  <c r="Q417" i="58"/>
  <c r="M417" i="58"/>
  <c r="S416" i="58"/>
  <c r="O416" i="58"/>
  <c r="K416" i="58"/>
  <c r="Q415" i="58"/>
  <c r="M415" i="58"/>
  <c r="K414" i="58"/>
  <c r="L414" i="58" s="1"/>
  <c r="M414" i="58" s="1"/>
  <c r="N414" i="58" s="1"/>
  <c r="O414" i="58" s="1"/>
  <c r="P414" i="58" s="1"/>
  <c r="Q414" i="58" s="1"/>
  <c r="R414" i="58" s="1"/>
  <c r="S414" i="58" s="1"/>
  <c r="T414" i="58" s="1"/>
  <c r="R418" i="58"/>
  <c r="N418" i="58"/>
  <c r="T417" i="58"/>
  <c r="P417" i="58"/>
  <c r="R416" i="58"/>
  <c r="N416" i="58"/>
  <c r="T415" i="58"/>
  <c r="P415" i="58"/>
  <c r="L415" i="58"/>
  <c r="K421" i="58"/>
  <c r="K419" i="58" s="1"/>
  <c r="P418" i="58"/>
  <c r="R417" i="58"/>
  <c r="T416" i="58"/>
  <c r="L416" i="58"/>
  <c r="N415" i="58"/>
  <c r="I396" i="58"/>
  <c r="C387" i="58"/>
  <c r="C419" i="58"/>
  <c r="D419" i="58" s="1"/>
  <c r="E419" i="58" s="1"/>
  <c r="F419" i="58" s="1"/>
  <c r="G419" i="58" s="1"/>
  <c r="O417" i="58"/>
  <c r="Q416" i="58"/>
  <c r="S415" i="58"/>
  <c r="K415" i="58"/>
  <c r="H396" i="58"/>
  <c r="K423" i="58"/>
  <c r="L423" i="58" s="1"/>
  <c r="M423" i="58" s="1"/>
  <c r="N423" i="58" s="1"/>
  <c r="O423" i="58" s="1"/>
  <c r="P423" i="58" s="1"/>
  <c r="Q423" i="58" s="1"/>
  <c r="R423" i="58" s="1"/>
  <c r="S423" i="58" s="1"/>
  <c r="T423" i="58" s="1"/>
  <c r="P416" i="58"/>
  <c r="J396" i="58"/>
  <c r="K353" i="58"/>
  <c r="L353" i="58" s="1"/>
  <c r="M353" i="58" s="1"/>
  <c r="N353" i="58" s="1"/>
  <c r="O353" i="58" s="1"/>
  <c r="P353" i="58" s="1"/>
  <c r="Q353" i="58" s="1"/>
  <c r="R353" i="58" s="1"/>
  <c r="S353" i="58" s="1"/>
  <c r="T353" i="58" s="1"/>
  <c r="S292" i="58"/>
  <c r="O292" i="58"/>
  <c r="K292" i="58"/>
  <c r="Q291" i="58"/>
  <c r="M291" i="58"/>
  <c r="Q418" i="58"/>
  <c r="M416" i="58"/>
  <c r="R292" i="58"/>
  <c r="M292" i="58"/>
  <c r="R291" i="58"/>
  <c r="L291" i="58"/>
  <c r="K167" i="58"/>
  <c r="K269" i="58" s="1"/>
  <c r="S417" i="58"/>
  <c r="O415" i="58"/>
  <c r="F396" i="58"/>
  <c r="T292" i="58"/>
  <c r="L292" i="58"/>
  <c r="O291" i="58"/>
  <c r="K223" i="58"/>
  <c r="L223" i="58" s="1"/>
  <c r="K211" i="58"/>
  <c r="L211" i="58" s="1"/>
  <c r="N417" i="58"/>
  <c r="Q292" i="58"/>
  <c r="T291" i="58"/>
  <c r="N291" i="58"/>
  <c r="K220" i="58"/>
  <c r="K417" i="58"/>
  <c r="L417" i="58" s="1"/>
  <c r="R415" i="58"/>
  <c r="N292" i="58"/>
  <c r="K413" i="58"/>
  <c r="S291" i="58"/>
  <c r="G396" i="58"/>
  <c r="P291" i="58"/>
  <c r="K291" i="58"/>
  <c r="R2" i="58"/>
  <c r="H14" i="58"/>
  <c r="G15" i="58"/>
  <c r="H18" i="58"/>
  <c r="K24" i="58"/>
  <c r="L24" i="58" s="1"/>
  <c r="M24" i="58" s="1"/>
  <c r="N24" i="58" s="1"/>
  <c r="O24" i="58" s="1"/>
  <c r="P24" i="58" s="1"/>
  <c r="Q24" i="58" s="1"/>
  <c r="R24" i="58" s="1"/>
  <c r="S24" i="58" s="1"/>
  <c r="T24" i="58" s="1"/>
  <c r="K26" i="58"/>
  <c r="K25" i="58" s="1"/>
  <c r="E361" i="58"/>
  <c r="I361" i="58"/>
  <c r="D322" i="58"/>
  <c r="N2" i="58"/>
  <c r="K2" i="58"/>
  <c r="O2" i="58"/>
  <c r="S2" i="58"/>
  <c r="D15" i="58"/>
  <c r="H15" i="58"/>
  <c r="E18" i="58"/>
  <c r="I18" i="58"/>
  <c r="K32" i="58"/>
  <c r="L32" i="58" s="1"/>
  <c r="M32" i="58" s="1"/>
  <c r="N32" i="58" s="1"/>
  <c r="O32" i="58" s="1"/>
  <c r="P32" i="58" s="1"/>
  <c r="Q32" i="58" s="1"/>
  <c r="R32" i="58" s="1"/>
  <c r="S32" i="58" s="1"/>
  <c r="T32" i="58" s="1"/>
  <c r="F361" i="58"/>
  <c r="J361" i="58"/>
  <c r="H85" i="58"/>
  <c r="D98" i="58"/>
  <c r="P292" i="58"/>
  <c r="T418" i="58"/>
  <c r="K27" i="58"/>
  <c r="K30" i="58"/>
  <c r="G361" i="58"/>
  <c r="K135" i="58"/>
  <c r="L135" i="58" s="1"/>
  <c r="M135" i="58" s="1"/>
  <c r="N135" i="58" s="1"/>
  <c r="O135" i="58" s="1"/>
  <c r="P135" i="58" s="1"/>
  <c r="Q135" i="58" s="1"/>
  <c r="R135" i="58" s="1"/>
  <c r="S135" i="58" s="1"/>
  <c r="T135" i="58" s="1"/>
  <c r="D268" i="58"/>
  <c r="D214" i="58"/>
  <c r="E136" i="58"/>
  <c r="E137" i="58" s="1"/>
  <c r="E268" i="58"/>
  <c r="E214" i="58"/>
  <c r="D222" i="58"/>
  <c r="E222" i="58"/>
  <c r="E238" i="58"/>
  <c r="E239" i="58" s="1"/>
  <c r="D193" i="58"/>
  <c r="D106" i="58" s="1"/>
  <c r="D111" i="58" s="1"/>
  <c r="H395" i="58"/>
  <c r="E221" i="58"/>
  <c r="E219" i="58"/>
  <c r="D238" i="58"/>
  <c r="D296" i="58" s="1"/>
  <c r="E248" i="58"/>
  <c r="E249" i="58" s="1"/>
  <c r="D118" i="58"/>
  <c r="E146" i="58"/>
  <c r="E147" i="58" s="1"/>
  <c r="E166" i="58"/>
  <c r="E169" i="58" s="1"/>
  <c r="E171" i="58"/>
  <c r="E322" i="58"/>
  <c r="G429" i="58"/>
  <c r="P490" i="58"/>
  <c r="P107" i="58"/>
  <c r="T490" i="58"/>
  <c r="T107" i="58"/>
  <c r="I395" i="58"/>
  <c r="E208" i="58"/>
  <c r="H429" i="58"/>
  <c r="E447" i="58"/>
  <c r="E448" i="58" s="1"/>
  <c r="I447" i="58"/>
  <c r="I448" i="58" s="1"/>
  <c r="D304" i="58"/>
  <c r="D305" i="58" s="1"/>
  <c r="D249" i="58"/>
  <c r="D207" i="58"/>
  <c r="H361" i="58"/>
  <c r="E102" i="58"/>
  <c r="D164" i="58"/>
  <c r="E193" i="58"/>
  <c r="E106" i="58" s="1"/>
  <c r="E111" i="58" s="1"/>
  <c r="E207" i="58"/>
  <c r="D462" i="58"/>
  <c r="D463" i="58" s="1"/>
  <c r="L227" i="58"/>
  <c r="D232" i="58"/>
  <c r="D233" i="58" s="1"/>
  <c r="F429" i="58"/>
  <c r="J429" i="58"/>
  <c r="G379" i="58"/>
  <c r="G383" i="58" s="1"/>
  <c r="I410" i="58"/>
  <c r="G395" i="58"/>
  <c r="D429" i="58"/>
  <c r="D376" i="58"/>
  <c r="D362" i="58" s="1"/>
  <c r="J410" i="58"/>
  <c r="K491" i="58"/>
  <c r="L446" i="58"/>
  <c r="I429" i="58"/>
  <c r="G410" i="58"/>
  <c r="G442" i="58"/>
  <c r="G443" i="58" s="1"/>
  <c r="G54" i="58" s="1"/>
  <c r="E477" i="58"/>
  <c r="I477" i="58"/>
  <c r="E468" i="58"/>
  <c r="E469" i="58" s="1"/>
  <c r="D443" i="58"/>
  <c r="H442" i="58"/>
  <c r="H443" i="58" s="1"/>
  <c r="D447" i="58"/>
  <c r="D448" i="58" s="1"/>
  <c r="H447" i="58"/>
  <c r="H448" i="58" s="1"/>
  <c r="E442" i="58"/>
  <c r="E443" i="58" s="1"/>
  <c r="I442" i="58"/>
  <c r="I443" i="58" s="1"/>
  <c r="I54" i="58" s="1"/>
  <c r="J477" i="58"/>
  <c r="G477" i="58"/>
  <c r="D477" i="58"/>
  <c r="H477" i="58"/>
  <c r="H295" i="58" l="1"/>
  <c r="E296" i="58"/>
  <c r="E37" i="58"/>
  <c r="D36" i="59"/>
  <c r="H511" i="58"/>
  <c r="I462" i="58"/>
  <c r="I463" i="58" s="1"/>
  <c r="D516" i="58"/>
  <c r="D517" i="58"/>
  <c r="H395" i="59"/>
  <c r="I395" i="59"/>
  <c r="H72" i="58"/>
  <c r="G295" i="58"/>
  <c r="G462" i="58"/>
  <c r="G463" i="58" s="1"/>
  <c r="D511" i="59"/>
  <c r="D45" i="59" s="1"/>
  <c r="D72" i="59"/>
  <c r="D73" i="59" s="1"/>
  <c r="D76" i="59" s="1"/>
  <c r="D77" i="59" s="1"/>
  <c r="D516" i="59"/>
  <c r="D37" i="59" s="1"/>
  <c r="F395" i="59"/>
  <c r="D517" i="59"/>
  <c r="D364" i="59"/>
  <c r="D366" i="59" s="1"/>
  <c r="I239" i="58"/>
  <c r="I241" i="58" s="1"/>
  <c r="I242" i="58" s="1"/>
  <c r="I295" i="58"/>
  <c r="I296" i="58"/>
  <c r="H174" i="58"/>
  <c r="H175" i="58" s="1"/>
  <c r="S107" i="58"/>
  <c r="G172" i="58"/>
  <c r="H462" i="58"/>
  <c r="H463" i="58" s="1"/>
  <c r="G241" i="58"/>
  <c r="G242" i="58" s="1"/>
  <c r="D46" i="58"/>
  <c r="J296" i="58"/>
  <c r="J248" i="58"/>
  <c r="F171" i="58"/>
  <c r="F172" i="58" s="1"/>
  <c r="I36" i="58"/>
  <c r="J174" i="58"/>
  <c r="J175" i="58" s="1"/>
  <c r="D470" i="58"/>
  <c r="L107" i="58"/>
  <c r="O107" i="58"/>
  <c r="F271" i="58"/>
  <c r="F238" i="58"/>
  <c r="F296" i="58" s="1"/>
  <c r="E72" i="58"/>
  <c r="E73" i="58" s="1"/>
  <c r="E76" i="58" s="1"/>
  <c r="E77" i="58" s="1"/>
  <c r="E517" i="58"/>
  <c r="E130" i="58"/>
  <c r="E131" i="58" s="1"/>
  <c r="H241" i="58"/>
  <c r="H242" i="58" s="1"/>
  <c r="L349" i="58"/>
  <c r="L347" i="58"/>
  <c r="L350" i="58"/>
  <c r="K245" i="58"/>
  <c r="F304" i="58"/>
  <c r="F305" i="58" s="1"/>
  <c r="F308" i="58" s="1"/>
  <c r="F309" i="58" s="1"/>
  <c r="F105" i="58" s="1"/>
  <c r="H516" i="58"/>
  <c r="H517" i="58"/>
  <c r="H36" i="58" s="1"/>
  <c r="G510" i="58"/>
  <c r="G46" i="58" s="1"/>
  <c r="G516" i="58"/>
  <c r="G37" i="58" s="1"/>
  <c r="G517" i="58"/>
  <c r="G36" i="58" s="1"/>
  <c r="I208" i="58"/>
  <c r="F510" i="58"/>
  <c r="F46" i="58" s="1"/>
  <c r="F516" i="58"/>
  <c r="F37" i="58" s="1"/>
  <c r="F517" i="58"/>
  <c r="F36" i="58" s="1"/>
  <c r="G420" i="58"/>
  <c r="H419" i="58"/>
  <c r="G420" i="59"/>
  <c r="G98" i="59"/>
  <c r="I98" i="59"/>
  <c r="F98" i="59"/>
  <c r="L26" i="59"/>
  <c r="M26" i="59" s="1"/>
  <c r="N26" i="59" s="1"/>
  <c r="O26" i="59" s="1"/>
  <c r="P26" i="59" s="1"/>
  <c r="Q26" i="59" s="1"/>
  <c r="R26" i="59" s="1"/>
  <c r="S26" i="59" s="1"/>
  <c r="T26" i="59" s="1"/>
  <c r="K275" i="59"/>
  <c r="K257" i="59"/>
  <c r="K258" i="59" s="1"/>
  <c r="F239" i="59"/>
  <c r="F241" i="59" s="1"/>
  <c r="H98" i="59"/>
  <c r="E103" i="59"/>
  <c r="J241" i="59"/>
  <c r="J242" i="59" s="1"/>
  <c r="H241" i="59"/>
  <c r="H242" i="59" s="1"/>
  <c r="D241" i="59"/>
  <c r="D242" i="59" s="1"/>
  <c r="J174" i="59"/>
  <c r="K174" i="59" s="1"/>
  <c r="I241" i="59"/>
  <c r="I242" i="59" s="1"/>
  <c r="M413" i="59"/>
  <c r="E40" i="59"/>
  <c r="E105" i="59"/>
  <c r="E119" i="59" s="1"/>
  <c r="E54" i="59"/>
  <c r="D103" i="59"/>
  <c r="K31" i="59"/>
  <c r="E431" i="59"/>
  <c r="E432" i="59" s="1"/>
  <c r="E62" i="59" s="1"/>
  <c r="K269" i="59"/>
  <c r="M27" i="59"/>
  <c r="J98" i="59"/>
  <c r="D174" i="59"/>
  <c r="D175" i="59" s="1"/>
  <c r="D44" i="59" s="1"/>
  <c r="E329" i="59"/>
  <c r="D387" i="59"/>
  <c r="K287" i="59"/>
  <c r="K288" i="59" s="1"/>
  <c r="K419" i="59"/>
  <c r="K420" i="59" s="1"/>
  <c r="L268" i="59"/>
  <c r="M211" i="59"/>
  <c r="D470" i="59"/>
  <c r="E338" i="59"/>
  <c r="K222" i="59"/>
  <c r="J137" i="59"/>
  <c r="J131" i="59"/>
  <c r="K491" i="59"/>
  <c r="K448" i="59"/>
  <c r="K108" i="59" s="1"/>
  <c r="L446" i="59"/>
  <c r="E46" i="59"/>
  <c r="I420" i="59"/>
  <c r="H420" i="59"/>
  <c r="D395" i="59"/>
  <c r="D308" i="59"/>
  <c r="D309" i="59" s="1"/>
  <c r="E166" i="59"/>
  <c r="E169" i="59" s="1"/>
  <c r="E37" i="59" s="1"/>
  <c r="E171" i="59"/>
  <c r="E295" i="59" s="1"/>
  <c r="D324" i="59"/>
  <c r="D325" i="59" s="1"/>
  <c r="E241" i="59"/>
  <c r="E242" i="59" s="1"/>
  <c r="I130" i="59"/>
  <c r="I131" i="59" s="1"/>
  <c r="E324" i="59"/>
  <c r="E325" i="59" s="1"/>
  <c r="E363" i="59"/>
  <c r="E364" i="59" s="1"/>
  <c r="K238" i="59"/>
  <c r="K230" i="59"/>
  <c r="L223" i="59"/>
  <c r="L222" i="59" s="1"/>
  <c r="K268" i="59"/>
  <c r="G462" i="59"/>
  <c r="G89" i="59"/>
  <c r="L220" i="59"/>
  <c r="J232" i="59"/>
  <c r="J233" i="59" s="1"/>
  <c r="K171" i="59"/>
  <c r="I233" i="59"/>
  <c r="K253" i="59"/>
  <c r="K254" i="59" s="1"/>
  <c r="K279" i="59"/>
  <c r="E387" i="59"/>
  <c r="D338" i="59"/>
  <c r="L421" i="59"/>
  <c r="L419" i="59" s="1"/>
  <c r="L420" i="59" s="1"/>
  <c r="J462" i="59"/>
  <c r="J89" i="59"/>
  <c r="G376" i="59"/>
  <c r="E395" i="59"/>
  <c r="F172" i="59"/>
  <c r="F363" i="59"/>
  <c r="D39" i="59"/>
  <c r="F462" i="59"/>
  <c r="F89" i="59"/>
  <c r="D329" i="59"/>
  <c r="I166" i="59"/>
  <c r="I169" i="59" s="1"/>
  <c r="I171" i="59"/>
  <c r="G241" i="59"/>
  <c r="G242" i="59" s="1"/>
  <c r="G175" i="59"/>
  <c r="E462" i="59"/>
  <c r="E463" i="59" s="1"/>
  <c r="E470" i="59" s="1"/>
  <c r="D50" i="59"/>
  <c r="F420" i="59"/>
  <c r="E420" i="59"/>
  <c r="D431" i="59"/>
  <c r="D432" i="59" s="1"/>
  <c r="D62" i="59" s="1"/>
  <c r="D420" i="59"/>
  <c r="G395" i="59"/>
  <c r="E130" i="59"/>
  <c r="E131" i="59" s="1"/>
  <c r="E45" i="59" s="1"/>
  <c r="E36" i="59"/>
  <c r="K270" i="59"/>
  <c r="I462" i="59"/>
  <c r="I89" i="59"/>
  <c r="K219" i="59"/>
  <c r="H233" i="59"/>
  <c r="H462" i="59"/>
  <c r="H89" i="59"/>
  <c r="G232" i="59"/>
  <c r="G233" i="59" s="1"/>
  <c r="K283" i="59"/>
  <c r="M227" i="59"/>
  <c r="D295" i="59"/>
  <c r="F364" i="59"/>
  <c r="H172" i="59"/>
  <c r="H73" i="58"/>
  <c r="H76" i="58" s="1"/>
  <c r="H77" i="58" s="1"/>
  <c r="J69" i="58"/>
  <c r="J208" i="58" s="1"/>
  <c r="I73" i="58"/>
  <c r="I76" i="58" s="1"/>
  <c r="I77" i="58" s="1"/>
  <c r="E45" i="58"/>
  <c r="I45" i="58"/>
  <c r="J54" i="58"/>
  <c r="E46" i="58"/>
  <c r="H45" i="58"/>
  <c r="J509" i="58"/>
  <c r="F511" i="58"/>
  <c r="F45" i="58" s="1"/>
  <c r="F72" i="58"/>
  <c r="F73" i="58" s="1"/>
  <c r="F76" i="58" s="1"/>
  <c r="F77" i="58" s="1"/>
  <c r="E47" i="58"/>
  <c r="D72" i="58"/>
  <c r="D73" i="58" s="1"/>
  <c r="D76" i="58" s="1"/>
  <c r="D77" i="58" s="1"/>
  <c r="D511" i="58"/>
  <c r="D45" i="58" s="1"/>
  <c r="G72" i="58"/>
  <c r="G73" i="58" s="1"/>
  <c r="G76" i="58" s="1"/>
  <c r="G77" i="58" s="1"/>
  <c r="G511" i="58"/>
  <c r="I46" i="58"/>
  <c r="H46" i="58"/>
  <c r="E395" i="58"/>
  <c r="J395" i="58"/>
  <c r="D395" i="58"/>
  <c r="D239" i="58"/>
  <c r="H54" i="58"/>
  <c r="E54" i="58"/>
  <c r="D54" i="58"/>
  <c r="D36" i="58"/>
  <c r="D329" i="58"/>
  <c r="D330" i="58" s="1"/>
  <c r="D331" i="58" s="1"/>
  <c r="D363" i="58"/>
  <c r="D364" i="58" s="1"/>
  <c r="D338" i="58"/>
  <c r="D339" i="58" s="1"/>
  <c r="D340" i="58" s="1"/>
  <c r="E354" i="58"/>
  <c r="K222" i="58"/>
  <c r="K270" i="58"/>
  <c r="E420" i="58"/>
  <c r="D420" i="58"/>
  <c r="K351" i="58"/>
  <c r="L26" i="58"/>
  <c r="M26" i="58" s="1"/>
  <c r="N26" i="58" s="1"/>
  <c r="O26" i="58" s="1"/>
  <c r="P26" i="58" s="1"/>
  <c r="Q26" i="58" s="1"/>
  <c r="R26" i="58" s="1"/>
  <c r="S26" i="58" s="1"/>
  <c r="T26" i="58" s="1"/>
  <c r="F469" i="58"/>
  <c r="L421" i="58"/>
  <c r="M421" i="58" s="1"/>
  <c r="N421" i="58" s="1"/>
  <c r="O421" i="58" s="1"/>
  <c r="K429" i="58"/>
  <c r="E241" i="58"/>
  <c r="E242" i="58" s="1"/>
  <c r="L268" i="58"/>
  <c r="M211" i="58"/>
  <c r="E462" i="58"/>
  <c r="E463" i="58" s="1"/>
  <c r="E470" i="58" s="1"/>
  <c r="E49" i="58" s="1"/>
  <c r="E89" i="58"/>
  <c r="E90" i="58" s="1"/>
  <c r="E91" i="58" s="1"/>
  <c r="D241" i="58"/>
  <c r="D242" i="58" s="1"/>
  <c r="I37" i="58"/>
  <c r="K283" i="58"/>
  <c r="I431" i="58"/>
  <c r="I432" i="58" s="1"/>
  <c r="I62" i="58" s="1"/>
  <c r="D308" i="58"/>
  <c r="D309" i="58" s="1"/>
  <c r="K257" i="58"/>
  <c r="K258" i="58" s="1"/>
  <c r="K420" i="58"/>
  <c r="L220" i="58"/>
  <c r="L219" i="58" s="1"/>
  <c r="H89" i="58"/>
  <c r="H90" i="58" s="1"/>
  <c r="H91" i="58" s="1"/>
  <c r="K253" i="58"/>
  <c r="K254" i="58" s="1"/>
  <c r="K447" i="58"/>
  <c r="K448" i="58" s="1"/>
  <c r="K108" i="58" s="1"/>
  <c r="D431" i="58"/>
  <c r="D432" i="58" s="1"/>
  <c r="D62" i="58" s="1"/>
  <c r="F431" i="58"/>
  <c r="F432" i="58" s="1"/>
  <c r="F62" i="58" s="1"/>
  <c r="E308" i="58"/>
  <c r="E309" i="58" s="1"/>
  <c r="D388" i="58"/>
  <c r="D401" i="58"/>
  <c r="L222" i="58"/>
  <c r="K238" i="58"/>
  <c r="L491" i="58"/>
  <c r="M446" i="58"/>
  <c r="F395" i="58"/>
  <c r="G431" i="58"/>
  <c r="G432" i="58" s="1"/>
  <c r="G62" i="58" s="1"/>
  <c r="E376" i="58"/>
  <c r="E151" i="58"/>
  <c r="E36" i="58" s="1"/>
  <c r="D270" i="58"/>
  <c r="D271" i="58" s="1"/>
  <c r="G89" i="58"/>
  <c r="G90" i="58" s="1"/>
  <c r="G91" i="58" s="1"/>
  <c r="K287" i="58"/>
  <c r="K288" i="58" s="1"/>
  <c r="I89" i="58"/>
  <c r="I90" i="58" s="1"/>
  <c r="I91" i="58" s="1"/>
  <c r="J89" i="58"/>
  <c r="J90" i="58" s="1"/>
  <c r="J91" i="58" s="1"/>
  <c r="F462" i="58"/>
  <c r="F463" i="58" s="1"/>
  <c r="F89" i="58"/>
  <c r="F90" i="58" s="1"/>
  <c r="F91" i="58" s="1"/>
  <c r="F420" i="58"/>
  <c r="L413" i="58"/>
  <c r="D478" i="58"/>
  <c r="D49" i="58"/>
  <c r="D171" i="58"/>
  <c r="D166" i="58"/>
  <c r="D169" i="58" s="1"/>
  <c r="D37" i="58" s="1"/>
  <c r="E324" i="58"/>
  <c r="E325" i="58" s="1"/>
  <c r="K31" i="58"/>
  <c r="L30" i="58" s="1"/>
  <c r="D324" i="58"/>
  <c r="D325" i="58" s="1"/>
  <c r="K268" i="58"/>
  <c r="J431" i="58"/>
  <c r="M227" i="58"/>
  <c r="H431" i="58"/>
  <c r="H432" i="58" s="1"/>
  <c r="H62" i="58" s="1"/>
  <c r="D89" i="58"/>
  <c r="D90" i="58" s="1"/>
  <c r="D91" i="58" s="1"/>
  <c r="E270" i="58"/>
  <c r="E295" i="58" s="1"/>
  <c r="E172" i="58"/>
  <c r="L27" i="58"/>
  <c r="M223" i="58"/>
  <c r="N223" i="58" s="1"/>
  <c r="K230" i="58"/>
  <c r="K322" i="58"/>
  <c r="K275" i="58"/>
  <c r="K279" i="58"/>
  <c r="K219" i="58"/>
  <c r="E431" i="58"/>
  <c r="E432" i="58" s="1"/>
  <c r="E62" i="58" s="1"/>
  <c r="F40" i="58" l="1"/>
  <c r="D48" i="59"/>
  <c r="D47" i="59"/>
  <c r="D367" i="59"/>
  <c r="E387" i="58"/>
  <c r="E401" i="58" s="1"/>
  <c r="F354" i="58"/>
  <c r="G354" i="58" s="1"/>
  <c r="H354" i="58" s="1"/>
  <c r="I354" i="58" s="1"/>
  <c r="J354" i="58" s="1"/>
  <c r="F239" i="58"/>
  <c r="F241" i="58" s="1"/>
  <c r="F242" i="58" s="1"/>
  <c r="J249" i="58"/>
  <c r="J295" i="58"/>
  <c r="F174" i="58"/>
  <c r="F175" i="58" s="1"/>
  <c r="F44" i="58" s="1"/>
  <c r="G174" i="58"/>
  <c r="G175" i="58"/>
  <c r="F295" i="58"/>
  <c r="D295" i="58"/>
  <c r="D48" i="58"/>
  <c r="M347" i="58"/>
  <c r="M350" i="58"/>
  <c r="M349" i="58"/>
  <c r="L351" i="58"/>
  <c r="J517" i="58"/>
  <c r="J36" i="58" s="1"/>
  <c r="J516" i="58"/>
  <c r="J37" i="58" s="1"/>
  <c r="I419" i="58"/>
  <c r="H420" i="58"/>
  <c r="H37" i="58"/>
  <c r="H44" i="58" s="1"/>
  <c r="L25" i="59"/>
  <c r="M25" i="59" s="1"/>
  <c r="N25" i="59" s="1"/>
  <c r="O25" i="59" s="1"/>
  <c r="P25" i="59" s="1"/>
  <c r="Q25" i="59" s="1"/>
  <c r="R25" i="59" s="1"/>
  <c r="S25" i="59" s="1"/>
  <c r="T25" i="59" s="1"/>
  <c r="G103" i="58"/>
  <c r="G119" i="58"/>
  <c r="J103" i="58"/>
  <c r="J119" i="58"/>
  <c r="I103" i="58"/>
  <c r="I119" i="58"/>
  <c r="H103" i="58"/>
  <c r="H119" i="58"/>
  <c r="F103" i="58"/>
  <c r="F119" i="58"/>
  <c r="F242" i="59"/>
  <c r="M223" i="59"/>
  <c r="M222" i="59" s="1"/>
  <c r="K271" i="59"/>
  <c r="D40" i="59"/>
  <c r="D105" i="59"/>
  <c r="D119" i="59" s="1"/>
  <c r="E47" i="59"/>
  <c r="E39" i="59"/>
  <c r="E43" i="59" s="1"/>
  <c r="E120" i="59" s="1"/>
  <c r="D330" i="59"/>
  <c r="D331" i="59" s="1"/>
  <c r="D316" i="59"/>
  <c r="L174" i="59"/>
  <c r="M174" i="59" s="1"/>
  <c r="N174" i="59" s="1"/>
  <c r="O174" i="59" s="1"/>
  <c r="P174" i="59" s="1"/>
  <c r="Q174" i="59" s="1"/>
  <c r="R174" i="59" s="1"/>
  <c r="S174" i="59" s="1"/>
  <c r="T174" i="59" s="1"/>
  <c r="K462" i="59"/>
  <c r="K89" i="59"/>
  <c r="E48" i="59"/>
  <c r="K422" i="59"/>
  <c r="L422" i="59"/>
  <c r="G362" i="59"/>
  <c r="H376" i="59"/>
  <c r="G363" i="59"/>
  <c r="E388" i="59"/>
  <c r="E401" i="59"/>
  <c r="M220" i="59"/>
  <c r="L270" i="59"/>
  <c r="L253" i="59"/>
  <c r="L254" i="59" s="1"/>
  <c r="L230" i="59"/>
  <c r="L257" i="59"/>
  <c r="L258" i="59" s="1"/>
  <c r="L287" i="59"/>
  <c r="L288" i="59" s="1"/>
  <c r="L238" i="59"/>
  <c r="L219" i="59"/>
  <c r="L275" i="59"/>
  <c r="L171" i="59"/>
  <c r="L283" i="59"/>
  <c r="L279" i="59"/>
  <c r="E172" i="59"/>
  <c r="E50" i="59" s="1"/>
  <c r="E339" i="59"/>
  <c r="E340" i="59" s="1"/>
  <c r="J175" i="59"/>
  <c r="F366" i="59"/>
  <c r="F367" i="59" s="1"/>
  <c r="E366" i="59"/>
  <c r="E367" i="59" s="1"/>
  <c r="F174" i="59"/>
  <c r="F175" i="59" s="1"/>
  <c r="M421" i="59"/>
  <c r="D339" i="59"/>
  <c r="D340" i="59" s="1"/>
  <c r="K231" i="59"/>
  <c r="K232" i="59"/>
  <c r="L491" i="59"/>
  <c r="M446" i="59"/>
  <c r="L447" i="59"/>
  <c r="L448" i="59" s="1"/>
  <c r="L108" i="59" s="1"/>
  <c r="E330" i="59"/>
  <c r="E331" i="59" s="1"/>
  <c r="E316" i="59"/>
  <c r="N27" i="59"/>
  <c r="N413" i="59"/>
  <c r="K28" i="59"/>
  <c r="K241" i="59"/>
  <c r="K240" i="59"/>
  <c r="M268" i="59"/>
  <c r="N211" i="59"/>
  <c r="L30" i="59"/>
  <c r="H174" i="59"/>
  <c r="H175" i="59" s="1"/>
  <c r="N227" i="59"/>
  <c r="E478" i="59"/>
  <c r="E49" i="59"/>
  <c r="I172" i="59"/>
  <c r="D43" i="59"/>
  <c r="D478" i="59"/>
  <c r="D49" i="59"/>
  <c r="D388" i="59"/>
  <c r="D389" i="59" s="1"/>
  <c r="D401" i="59"/>
  <c r="I44" i="58"/>
  <c r="J40" i="58"/>
  <c r="K208" i="58"/>
  <c r="L208" i="58" s="1"/>
  <c r="M208" i="58" s="1"/>
  <c r="J71" i="58"/>
  <c r="G45" i="58"/>
  <c r="G48" i="58" s="1"/>
  <c r="J511" i="58"/>
  <c r="J72" i="58"/>
  <c r="J510" i="58"/>
  <c r="J46" i="58" s="1"/>
  <c r="E48" i="58"/>
  <c r="G50" i="58"/>
  <c r="H50" i="58"/>
  <c r="H47" i="58"/>
  <c r="H48" i="58"/>
  <c r="I47" i="58"/>
  <c r="I48" i="58"/>
  <c r="F48" i="58"/>
  <c r="F47" i="58"/>
  <c r="L25" i="58"/>
  <c r="M25" i="58" s="1"/>
  <c r="N25" i="58" s="1"/>
  <c r="O25" i="58" s="1"/>
  <c r="P25" i="58" s="1"/>
  <c r="Q25" i="58" s="1"/>
  <c r="R25" i="58" s="1"/>
  <c r="S25" i="58" s="1"/>
  <c r="T25" i="58" s="1"/>
  <c r="J470" i="58"/>
  <c r="D172" i="58"/>
  <c r="D50" i="58" s="1"/>
  <c r="D316" i="58"/>
  <c r="D317" i="58" s="1"/>
  <c r="D318" i="58" s="1"/>
  <c r="E39" i="58"/>
  <c r="D366" i="58"/>
  <c r="D367" i="58" s="1"/>
  <c r="E329" i="58"/>
  <c r="E338" i="58"/>
  <c r="E339" i="58" s="1"/>
  <c r="E340" i="58" s="1"/>
  <c r="E343" i="58" s="1"/>
  <c r="E344" i="58" s="1"/>
  <c r="F470" i="58"/>
  <c r="F49" i="58" s="1"/>
  <c r="K271" i="58"/>
  <c r="G470" i="58"/>
  <c r="H470" i="58"/>
  <c r="N419" i="58"/>
  <c r="M419" i="58"/>
  <c r="I470" i="58"/>
  <c r="I49" i="58" s="1"/>
  <c r="L419" i="58"/>
  <c r="L420" i="58" s="1"/>
  <c r="I50" i="58"/>
  <c r="K28" i="58"/>
  <c r="K177" i="58" s="1"/>
  <c r="K248" i="58"/>
  <c r="L248" i="58" s="1"/>
  <c r="O223" i="58"/>
  <c r="P223" i="58" s="1"/>
  <c r="K174" i="58"/>
  <c r="K171" i="58"/>
  <c r="L171" i="58" s="1"/>
  <c r="G39" i="58"/>
  <c r="F39" i="58"/>
  <c r="F43" i="58" s="1"/>
  <c r="D40" i="58"/>
  <c r="D105" i="58"/>
  <c r="D119" i="58" s="1"/>
  <c r="I40" i="58"/>
  <c r="M27" i="58"/>
  <c r="D174" i="58"/>
  <c r="D175" i="58" s="1"/>
  <c r="D44" i="58" s="1"/>
  <c r="K240" i="58"/>
  <c r="K241" i="58"/>
  <c r="L145" i="58"/>
  <c r="L322" i="58"/>
  <c r="L245" i="58"/>
  <c r="L429" i="58"/>
  <c r="G44" i="58"/>
  <c r="E103" i="58"/>
  <c r="P421" i="58"/>
  <c r="K462" i="58"/>
  <c r="K89" i="58"/>
  <c r="E271" i="58"/>
  <c r="E50" i="58" s="1"/>
  <c r="D39" i="58"/>
  <c r="M413" i="58"/>
  <c r="O419" i="58"/>
  <c r="E478" i="58"/>
  <c r="N222" i="58"/>
  <c r="K232" i="58"/>
  <c r="K231" i="58"/>
  <c r="L31" i="58"/>
  <c r="L28" i="58" s="1"/>
  <c r="G40" i="58"/>
  <c r="D334" i="58"/>
  <c r="D335" i="58" s="1"/>
  <c r="D103" i="58"/>
  <c r="L462" i="58"/>
  <c r="L89" i="58"/>
  <c r="D389" i="58"/>
  <c r="E40" i="58"/>
  <c r="E105" i="58"/>
  <c r="E119" i="58" s="1"/>
  <c r="L303" i="58"/>
  <c r="H40" i="58"/>
  <c r="D343" i="58"/>
  <c r="D344" i="58" s="1"/>
  <c r="M268" i="58"/>
  <c r="N211" i="58"/>
  <c r="I39" i="58"/>
  <c r="E174" i="58"/>
  <c r="E175" i="58" s="1"/>
  <c r="E44" i="58" s="1"/>
  <c r="D47" i="58"/>
  <c r="N227" i="58"/>
  <c r="J432" i="58"/>
  <c r="L447" i="58"/>
  <c r="L448" i="58" s="1"/>
  <c r="L108" i="58" s="1"/>
  <c r="M222" i="58"/>
  <c r="E362" i="58"/>
  <c r="E363" i="58"/>
  <c r="F376" i="58"/>
  <c r="M491" i="58"/>
  <c r="N446" i="58"/>
  <c r="D402" i="58"/>
  <c r="D403" i="58" s="1"/>
  <c r="L275" i="58"/>
  <c r="L270" i="58"/>
  <c r="L283" i="58"/>
  <c r="L253" i="58"/>
  <c r="L254" i="58" s="1"/>
  <c r="L279" i="58"/>
  <c r="L230" i="58"/>
  <c r="M220" i="58"/>
  <c r="L257" i="58"/>
  <c r="L258" i="58" s="1"/>
  <c r="L287" i="58"/>
  <c r="L288" i="58" s="1"/>
  <c r="L238" i="58"/>
  <c r="H39" i="58" l="1"/>
  <c r="H43" i="58" s="1"/>
  <c r="H120" i="58" s="1"/>
  <c r="G47" i="58"/>
  <c r="J39" i="58"/>
  <c r="J43" i="58" s="1"/>
  <c r="J120" i="58" s="1"/>
  <c r="E388" i="58"/>
  <c r="E389" i="58" s="1"/>
  <c r="M351" i="58"/>
  <c r="G364" i="59"/>
  <c r="N350" i="58"/>
  <c r="F50" i="58"/>
  <c r="F329" i="58"/>
  <c r="F330" i="58" s="1"/>
  <c r="F331" i="58" s="1"/>
  <c r="F334" i="58" s="1"/>
  <c r="F335" i="58" s="1"/>
  <c r="J73" i="58"/>
  <c r="J76" i="58" s="1"/>
  <c r="K221" i="58" s="1"/>
  <c r="D43" i="58"/>
  <c r="N347" i="58"/>
  <c r="N349" i="58"/>
  <c r="F120" i="58"/>
  <c r="J419" i="58"/>
  <c r="J420" i="58" s="1"/>
  <c r="I420" i="58"/>
  <c r="N223" i="59"/>
  <c r="O223" i="59" s="1"/>
  <c r="P223" i="59" s="1"/>
  <c r="D392" i="59"/>
  <c r="D394" i="59" s="1"/>
  <c r="D393" i="59" s="1"/>
  <c r="E334" i="59"/>
  <c r="E335" i="59" s="1"/>
  <c r="D120" i="59"/>
  <c r="M491" i="59"/>
  <c r="N446" i="59"/>
  <c r="M447" i="59"/>
  <c r="M448" i="59" s="1"/>
  <c r="M108" i="59" s="1"/>
  <c r="E174" i="59"/>
  <c r="E175" i="59" s="1"/>
  <c r="E44" i="59" s="1"/>
  <c r="G366" i="59"/>
  <c r="G367" i="59" s="1"/>
  <c r="L240" i="59"/>
  <c r="L241" i="59"/>
  <c r="L97" i="59"/>
  <c r="L468" i="59"/>
  <c r="D334" i="59"/>
  <c r="D335" i="59" s="1"/>
  <c r="I174" i="59"/>
  <c r="I175" i="59" s="1"/>
  <c r="L31" i="59"/>
  <c r="L28" i="59" s="1"/>
  <c r="O27" i="59"/>
  <c r="K233" i="59"/>
  <c r="E389" i="59"/>
  <c r="D317" i="59"/>
  <c r="D318" i="59" s="1"/>
  <c r="D402" i="59"/>
  <c r="D403" i="59" s="1"/>
  <c r="O227" i="59"/>
  <c r="O413" i="59"/>
  <c r="E317" i="59"/>
  <c r="E318" i="59" s="1"/>
  <c r="D343" i="59"/>
  <c r="D344" i="59" s="1"/>
  <c r="N421" i="59"/>
  <c r="N419" i="59" s="1"/>
  <c r="N420" i="59" s="1"/>
  <c r="E343" i="59"/>
  <c r="E344" i="59" s="1"/>
  <c r="L231" i="59"/>
  <c r="L232" i="59"/>
  <c r="E402" i="59"/>
  <c r="E403" i="59" s="1"/>
  <c r="H362" i="59"/>
  <c r="H363" i="59"/>
  <c r="I376" i="59"/>
  <c r="N268" i="59"/>
  <c r="O211" i="59"/>
  <c r="K177" i="59"/>
  <c r="K178" i="59"/>
  <c r="M419" i="59"/>
  <c r="M420" i="59" s="1"/>
  <c r="L462" i="59"/>
  <c r="L89" i="59"/>
  <c r="M171" i="59"/>
  <c r="M275" i="59"/>
  <c r="M287" i="59"/>
  <c r="M288" i="59" s="1"/>
  <c r="M270" i="59"/>
  <c r="M230" i="59"/>
  <c r="M253" i="59"/>
  <c r="M254" i="59" s="1"/>
  <c r="M279" i="59"/>
  <c r="M283" i="59"/>
  <c r="M257" i="59"/>
  <c r="M258" i="59" s="1"/>
  <c r="M238" i="59"/>
  <c r="N220" i="59"/>
  <c r="M219" i="59"/>
  <c r="K97" i="59"/>
  <c r="K468" i="59"/>
  <c r="E43" i="58"/>
  <c r="J45" i="58"/>
  <c r="J50" i="58"/>
  <c r="H478" i="58"/>
  <c r="H49" i="58"/>
  <c r="G478" i="58"/>
  <c r="G49" i="58"/>
  <c r="J478" i="58"/>
  <c r="J49" i="58"/>
  <c r="F478" i="58"/>
  <c r="D60" i="58"/>
  <c r="D63" i="58" s="1"/>
  <c r="I43" i="58"/>
  <c r="I120" i="58" s="1"/>
  <c r="F387" i="58"/>
  <c r="F338" i="58"/>
  <c r="G329" i="58"/>
  <c r="G330" i="58" s="1"/>
  <c r="G331" i="58" s="1"/>
  <c r="G334" i="58" s="1"/>
  <c r="G335" i="58" s="1"/>
  <c r="E330" i="58"/>
  <c r="E331" i="58" s="1"/>
  <c r="E334" i="58" s="1"/>
  <c r="E335" i="58" s="1"/>
  <c r="E316" i="58"/>
  <c r="E317" i="58" s="1"/>
  <c r="E318" i="58" s="1"/>
  <c r="I478" i="58"/>
  <c r="K233" i="58"/>
  <c r="K178" i="58"/>
  <c r="K180" i="58" s="1"/>
  <c r="K179" i="58" s="1"/>
  <c r="K295" i="58"/>
  <c r="K183" i="58" s="1"/>
  <c r="M30" i="58"/>
  <c r="M31" i="58" s="1"/>
  <c r="M28" i="58" s="1"/>
  <c r="Q223" i="58"/>
  <c r="O222" i="58"/>
  <c r="P222" i="58"/>
  <c r="E120" i="58"/>
  <c r="J62" i="58"/>
  <c r="N27" i="58"/>
  <c r="L232" i="58"/>
  <c r="L231" i="58"/>
  <c r="N491" i="58"/>
  <c r="O446" i="58"/>
  <c r="E364" i="58"/>
  <c r="N208" i="58"/>
  <c r="J44" i="58"/>
  <c r="M420" i="58"/>
  <c r="N413" i="58"/>
  <c r="M245" i="58"/>
  <c r="M429" i="58"/>
  <c r="M145" i="58"/>
  <c r="M322" i="58"/>
  <c r="L174" i="58"/>
  <c r="M174" i="58" s="1"/>
  <c r="N174" i="58" s="1"/>
  <c r="O174" i="58" s="1"/>
  <c r="P174" i="58" s="1"/>
  <c r="Q174" i="58" s="1"/>
  <c r="R174" i="58" s="1"/>
  <c r="S174" i="58" s="1"/>
  <c r="T174" i="58" s="1"/>
  <c r="L295" i="58"/>
  <c r="L177" i="58"/>
  <c r="E402" i="58"/>
  <c r="E403" i="58" s="1"/>
  <c r="D392" i="58"/>
  <c r="D394" i="58" s="1"/>
  <c r="D393" i="58" s="1"/>
  <c r="Q421" i="58"/>
  <c r="P419" i="58"/>
  <c r="M283" i="58"/>
  <c r="M248" i="58"/>
  <c r="M257" i="58"/>
  <c r="M258" i="58" s="1"/>
  <c r="M238" i="58"/>
  <c r="M287" i="58"/>
  <c r="M288" i="58" s="1"/>
  <c r="M270" i="58"/>
  <c r="M171" i="58"/>
  <c r="M279" i="58"/>
  <c r="M275" i="58"/>
  <c r="M253" i="58"/>
  <c r="M254" i="58" s="1"/>
  <c r="N220" i="58"/>
  <c r="M230" i="58"/>
  <c r="M219" i="58"/>
  <c r="M303" i="58"/>
  <c r="D120" i="58"/>
  <c r="L240" i="58"/>
  <c r="L241" i="58"/>
  <c r="M447" i="58"/>
  <c r="M448" i="58" s="1"/>
  <c r="M108" i="58" s="1"/>
  <c r="F362" i="58"/>
  <c r="G376" i="58"/>
  <c r="F363" i="58"/>
  <c r="O227" i="58"/>
  <c r="N268" i="58"/>
  <c r="O211" i="58"/>
  <c r="G43" i="58"/>
  <c r="G120" i="58" s="1"/>
  <c r="J77" i="58" l="1"/>
  <c r="F316" i="58"/>
  <c r="F317" i="58" s="1"/>
  <c r="F318" i="58" s="1"/>
  <c r="O350" i="58"/>
  <c r="O349" i="58"/>
  <c r="O347" i="58"/>
  <c r="N351" i="58"/>
  <c r="P222" i="59"/>
  <c r="N222" i="59"/>
  <c r="Q223" i="59"/>
  <c r="R223" i="59" s="1"/>
  <c r="L177" i="59"/>
  <c r="L233" i="59"/>
  <c r="O222" i="59"/>
  <c r="M30" i="59"/>
  <c r="M31" i="59" s="1"/>
  <c r="M28" i="59" s="1"/>
  <c r="D60" i="59"/>
  <c r="D63" i="59" s="1"/>
  <c r="E60" i="59"/>
  <c r="E63" i="59" s="1"/>
  <c r="P413" i="59"/>
  <c r="P227" i="59"/>
  <c r="P27" i="59"/>
  <c r="O220" i="59"/>
  <c r="O219" i="59" s="1"/>
  <c r="N275" i="59"/>
  <c r="N253" i="59"/>
  <c r="N254" i="59" s="1"/>
  <c r="N171" i="59"/>
  <c r="N270" i="59"/>
  <c r="N257" i="59"/>
  <c r="N258" i="59" s="1"/>
  <c r="N238" i="59"/>
  <c r="N283" i="59"/>
  <c r="N230" i="59"/>
  <c r="N279" i="59"/>
  <c r="N287" i="59"/>
  <c r="N288" i="59" s="1"/>
  <c r="N219" i="59"/>
  <c r="O421" i="59"/>
  <c r="O419" i="59" s="1"/>
  <c r="O420" i="59" s="1"/>
  <c r="M240" i="59"/>
  <c r="M241" i="59"/>
  <c r="E392" i="59"/>
  <c r="E394" i="59" s="1"/>
  <c r="E393" i="59" s="1"/>
  <c r="N491" i="59"/>
  <c r="O446" i="59"/>
  <c r="N447" i="59"/>
  <c r="N448" i="59" s="1"/>
  <c r="N108" i="59" s="1"/>
  <c r="D53" i="59"/>
  <c r="D55" i="59" s="1"/>
  <c r="O268" i="59"/>
  <c r="P211" i="59"/>
  <c r="I362" i="59"/>
  <c r="J376" i="59"/>
  <c r="I363" i="59"/>
  <c r="M462" i="59"/>
  <c r="M89" i="59"/>
  <c r="M231" i="59"/>
  <c r="M232" i="59"/>
  <c r="M422" i="59"/>
  <c r="N422" i="59"/>
  <c r="L178" i="59"/>
  <c r="K180" i="59"/>
  <c r="K179" i="59" s="1"/>
  <c r="H364" i="59"/>
  <c r="D53" i="58"/>
  <c r="D55" i="58" s="1"/>
  <c r="J47" i="58"/>
  <c r="J48" i="58"/>
  <c r="L178" i="58"/>
  <c r="L180" i="58" s="1"/>
  <c r="L179" i="58" s="1"/>
  <c r="E60" i="58"/>
  <c r="E63" i="58" s="1"/>
  <c r="H329" i="58"/>
  <c r="H330" i="58" s="1"/>
  <c r="H331" i="58" s="1"/>
  <c r="H334" i="58" s="1"/>
  <c r="H335" i="58" s="1"/>
  <c r="G387" i="58"/>
  <c r="G338" i="58"/>
  <c r="F339" i="58"/>
  <c r="F340" i="58" s="1"/>
  <c r="F343" i="58" s="1"/>
  <c r="F344" i="58" s="1"/>
  <c r="F401" i="58"/>
  <c r="F402" i="58" s="1"/>
  <c r="F403" i="58" s="1"/>
  <c r="F388" i="58"/>
  <c r="F389" i="58" s="1"/>
  <c r="L233" i="58"/>
  <c r="N30" i="58"/>
  <c r="N31" i="58" s="1"/>
  <c r="N28" i="58" s="1"/>
  <c r="Q222" i="58"/>
  <c r="R223" i="58"/>
  <c r="R421" i="58"/>
  <c r="S421" i="58" s="1"/>
  <c r="T421" i="58" s="1"/>
  <c r="Q419" i="58"/>
  <c r="O268" i="58"/>
  <c r="P211" i="58"/>
  <c r="G362" i="58"/>
  <c r="G363" i="58"/>
  <c r="H376" i="58"/>
  <c r="N219" i="58"/>
  <c r="O208" i="58"/>
  <c r="O491" i="58"/>
  <c r="P446" i="58"/>
  <c r="E392" i="58"/>
  <c r="E394" i="58" s="1"/>
  <c r="E393" i="58" s="1"/>
  <c r="P227" i="58"/>
  <c r="F364" i="58"/>
  <c r="M231" i="58"/>
  <c r="M232" i="58"/>
  <c r="M241" i="58"/>
  <c r="M240" i="58"/>
  <c r="E366" i="58"/>
  <c r="E367" i="58" s="1"/>
  <c r="O27" i="58"/>
  <c r="M177" i="58"/>
  <c r="N245" i="58"/>
  <c r="N429" i="58"/>
  <c r="N420" i="58"/>
  <c r="O413" i="58"/>
  <c r="N303" i="58"/>
  <c r="M462" i="58"/>
  <c r="M89" i="58"/>
  <c r="N171" i="58"/>
  <c r="N257" i="58"/>
  <c r="N258" i="58" s="1"/>
  <c r="N270" i="58"/>
  <c r="N248" i="58"/>
  <c r="N253" i="58"/>
  <c r="N254" i="58" s="1"/>
  <c r="O220" i="58"/>
  <c r="O219" i="58" s="1"/>
  <c r="N230" i="58"/>
  <c r="N283" i="58"/>
  <c r="N238" i="58"/>
  <c r="N275" i="58"/>
  <c r="N279" i="58"/>
  <c r="N287" i="58"/>
  <c r="N288" i="58" s="1"/>
  <c r="M295" i="58"/>
  <c r="N145" i="58"/>
  <c r="N322" i="58"/>
  <c r="N447" i="58"/>
  <c r="N448" i="58" s="1"/>
  <c r="N108" i="58" s="1"/>
  <c r="P347" i="58" l="1"/>
  <c r="O351" i="58"/>
  <c r="P350" i="58"/>
  <c r="P349" i="58"/>
  <c r="G339" i="58"/>
  <c r="G340" i="58" s="1"/>
  <c r="G343" i="58" s="1"/>
  <c r="G344" i="58" s="1"/>
  <c r="G316" i="58"/>
  <c r="Q222" i="59"/>
  <c r="S223" i="59"/>
  <c r="S222" i="59" s="1"/>
  <c r="M177" i="59"/>
  <c r="R222" i="59"/>
  <c r="M233" i="59"/>
  <c r="P268" i="59"/>
  <c r="Q211" i="59"/>
  <c r="Q413" i="59"/>
  <c r="M97" i="59"/>
  <c r="M468" i="59"/>
  <c r="D58" i="59"/>
  <c r="D57" i="59"/>
  <c r="M178" i="59"/>
  <c r="L180" i="59"/>
  <c r="L179" i="59" s="1"/>
  <c r="O422" i="59"/>
  <c r="J362" i="59"/>
  <c r="J363" i="59"/>
  <c r="P421" i="59"/>
  <c r="O462" i="59"/>
  <c r="O89" i="59"/>
  <c r="N232" i="59"/>
  <c r="N231" i="59"/>
  <c r="O270" i="59"/>
  <c r="O279" i="59"/>
  <c r="O253" i="59"/>
  <c r="O254" i="59" s="1"/>
  <c r="O171" i="59"/>
  <c r="P220" i="59"/>
  <c r="O257" i="59"/>
  <c r="O258" i="59" s="1"/>
  <c r="O238" i="59"/>
  <c r="O230" i="59"/>
  <c r="O287" i="59"/>
  <c r="O288" i="59" s="1"/>
  <c r="O275" i="59"/>
  <c r="O283" i="59"/>
  <c r="N30" i="59"/>
  <c r="Q227" i="59"/>
  <c r="N240" i="59"/>
  <c r="N241" i="59"/>
  <c r="Q27" i="59"/>
  <c r="H366" i="59"/>
  <c r="H367" i="59" s="1"/>
  <c r="N97" i="59"/>
  <c r="N468" i="59"/>
  <c r="I364" i="59"/>
  <c r="O491" i="59"/>
  <c r="P446" i="59"/>
  <c r="O447" i="59"/>
  <c r="O448" i="59" s="1"/>
  <c r="O108" i="59" s="1"/>
  <c r="N462" i="59"/>
  <c r="N89" i="59"/>
  <c r="E53" i="59"/>
  <c r="E55" i="59" s="1"/>
  <c r="E53" i="58"/>
  <c r="E55" i="58" s="1"/>
  <c r="E58" i="58" s="1"/>
  <c r="M178" i="58"/>
  <c r="N178" i="58" s="1"/>
  <c r="T419" i="58"/>
  <c r="F60" i="58"/>
  <c r="F63" i="58" s="1"/>
  <c r="F392" i="58"/>
  <c r="F394" i="58" s="1"/>
  <c r="F393" i="58" s="1"/>
  <c r="G388" i="58"/>
  <c r="G389" i="58" s="1"/>
  <c r="G392" i="58" s="1"/>
  <c r="G394" i="58" s="1"/>
  <c r="G393" i="58" s="1"/>
  <c r="G401" i="58"/>
  <c r="G402" i="58" s="1"/>
  <c r="G403" i="58" s="1"/>
  <c r="H338" i="58"/>
  <c r="I329" i="58"/>
  <c r="I330" i="58" s="1"/>
  <c r="I331" i="58" s="1"/>
  <c r="I334" i="58" s="1"/>
  <c r="I335" i="58" s="1"/>
  <c r="H387" i="58"/>
  <c r="N422" i="58"/>
  <c r="O30" i="58"/>
  <c r="O31" i="58" s="1"/>
  <c r="P30" i="58" s="1"/>
  <c r="S419" i="58"/>
  <c r="M233" i="58"/>
  <c r="R419" i="58"/>
  <c r="R222" i="58"/>
  <c r="N177" i="58"/>
  <c r="S223" i="58"/>
  <c r="T223" i="58" s="1"/>
  <c r="O462" i="58"/>
  <c r="O89" i="58"/>
  <c r="N240" i="58"/>
  <c r="N241" i="58"/>
  <c r="N295" i="58"/>
  <c r="P268" i="58"/>
  <c r="Q211" i="58"/>
  <c r="F366" i="58"/>
  <c r="F367" i="58" s="1"/>
  <c r="O447" i="58"/>
  <c r="O448" i="58" s="1"/>
  <c r="O108" i="58" s="1"/>
  <c r="P208" i="58"/>
  <c r="H362" i="58"/>
  <c r="H363" i="58"/>
  <c r="I376" i="58"/>
  <c r="P27" i="58"/>
  <c r="D58" i="58"/>
  <c r="D57" i="58"/>
  <c r="N232" i="58"/>
  <c r="N231" i="58"/>
  <c r="L422" i="58"/>
  <c r="K422" i="58"/>
  <c r="P491" i="58"/>
  <c r="Q446" i="58"/>
  <c r="O145" i="58"/>
  <c r="O322" i="58"/>
  <c r="O257" i="58"/>
  <c r="O258" i="58" s="1"/>
  <c r="O171" i="58"/>
  <c r="O287" i="58"/>
  <c r="O288" i="58" s="1"/>
  <c r="O283" i="58"/>
  <c r="O248" i="58"/>
  <c r="O270" i="58"/>
  <c r="O275" i="58"/>
  <c r="O253" i="58"/>
  <c r="O254" i="58" s="1"/>
  <c r="O230" i="58"/>
  <c r="O238" i="58"/>
  <c r="P220" i="58"/>
  <c r="O279" i="58"/>
  <c r="O303" i="58"/>
  <c r="O420" i="58"/>
  <c r="O422" i="58" s="1"/>
  <c r="P413" i="58"/>
  <c r="O245" i="58"/>
  <c r="O429" i="58"/>
  <c r="Q227" i="58"/>
  <c r="M422" i="58"/>
  <c r="N462" i="58"/>
  <c r="N89" i="58"/>
  <c r="G364" i="58"/>
  <c r="Q350" i="58" l="1"/>
  <c r="P351" i="58"/>
  <c r="Q349" i="58"/>
  <c r="Q347" i="58"/>
  <c r="H339" i="58"/>
  <c r="H340" i="58" s="1"/>
  <c r="H343" i="58" s="1"/>
  <c r="H344" i="58" s="1"/>
  <c r="H316" i="58"/>
  <c r="G317" i="58"/>
  <c r="G318" i="58" s="1"/>
  <c r="G60" i="58" s="1"/>
  <c r="G63" i="58" s="1"/>
  <c r="T223" i="59"/>
  <c r="T222" i="59" s="1"/>
  <c r="N233" i="59"/>
  <c r="P253" i="59"/>
  <c r="P254" i="59" s="1"/>
  <c r="P171" i="59"/>
  <c r="P238" i="59"/>
  <c r="P257" i="59"/>
  <c r="P258" i="59" s="1"/>
  <c r="Q220" i="59"/>
  <c r="Q219" i="59" s="1"/>
  <c r="P270" i="59"/>
  <c r="P275" i="59"/>
  <c r="P279" i="59"/>
  <c r="P283" i="59"/>
  <c r="P230" i="59"/>
  <c r="P287" i="59"/>
  <c r="P288" i="59" s="1"/>
  <c r="P219" i="59"/>
  <c r="R413" i="59"/>
  <c r="P491" i="59"/>
  <c r="Q446" i="59"/>
  <c r="P447" i="59"/>
  <c r="P448" i="59" s="1"/>
  <c r="P108" i="59" s="1"/>
  <c r="R27" i="59"/>
  <c r="N31" i="59"/>
  <c r="O30" i="59" s="1"/>
  <c r="O231" i="59"/>
  <c r="O232" i="59"/>
  <c r="J364" i="59"/>
  <c r="O97" i="59"/>
  <c r="O468" i="59"/>
  <c r="I366" i="59"/>
  <c r="I367" i="59" s="1"/>
  <c r="E58" i="59"/>
  <c r="E57" i="59"/>
  <c r="O241" i="59"/>
  <c r="O240" i="59"/>
  <c r="M180" i="59"/>
  <c r="M179" i="59" s="1"/>
  <c r="Q268" i="59"/>
  <c r="R211" i="59"/>
  <c r="R227" i="59"/>
  <c r="Q421" i="59"/>
  <c r="P419" i="59"/>
  <c r="P420" i="59" s="1"/>
  <c r="F53" i="58"/>
  <c r="F55" i="58" s="1"/>
  <c r="M180" i="58"/>
  <c r="M179" i="58" s="1"/>
  <c r="T222" i="58"/>
  <c r="H388" i="58"/>
  <c r="H389" i="58" s="1"/>
  <c r="H392" i="58" s="1"/>
  <c r="H394" i="58" s="1"/>
  <c r="H393" i="58" s="1"/>
  <c r="H401" i="58"/>
  <c r="H402" i="58" s="1"/>
  <c r="H403" i="58" s="1"/>
  <c r="I387" i="58"/>
  <c r="J329" i="58"/>
  <c r="I338" i="58"/>
  <c r="E57" i="58"/>
  <c r="P447" i="58"/>
  <c r="P448" i="58" s="1"/>
  <c r="P108" i="58" s="1"/>
  <c r="N233" i="58"/>
  <c r="S222" i="58"/>
  <c r="O28" i="58"/>
  <c r="O177" i="58" s="1"/>
  <c r="P230" i="58"/>
  <c r="P275" i="58"/>
  <c r="P253" i="58"/>
  <c r="P254" i="58" s="1"/>
  <c r="P171" i="58"/>
  <c r="P287" i="58"/>
  <c r="P288" i="58" s="1"/>
  <c r="Q220" i="58"/>
  <c r="P270" i="58"/>
  <c r="P238" i="58"/>
  <c r="P283" i="58"/>
  <c r="P279" i="58"/>
  <c r="P257" i="58"/>
  <c r="P258" i="58" s="1"/>
  <c r="P248" i="58"/>
  <c r="K97" i="58"/>
  <c r="K468" i="58"/>
  <c r="I362" i="58"/>
  <c r="J376" i="58"/>
  <c r="I363" i="58"/>
  <c r="R227" i="58"/>
  <c r="P303" i="58"/>
  <c r="P219" i="58"/>
  <c r="O232" i="58"/>
  <c r="O231" i="58"/>
  <c r="Q491" i="58"/>
  <c r="R446" i="58"/>
  <c r="P31" i="58"/>
  <c r="Q268" i="58"/>
  <c r="R211" i="58"/>
  <c r="M97" i="58"/>
  <c r="M468" i="58"/>
  <c r="O468" i="58"/>
  <c r="O97" i="58"/>
  <c r="Q208" i="58"/>
  <c r="N468" i="58"/>
  <c r="G366" i="58"/>
  <c r="G367" i="58" s="1"/>
  <c r="G53" i="58" s="1"/>
  <c r="O241" i="58"/>
  <c r="O240" i="58"/>
  <c r="O295" i="58"/>
  <c r="P245" i="58"/>
  <c r="P429" i="58"/>
  <c r="P420" i="58"/>
  <c r="P422" i="58" s="1"/>
  <c r="Q413" i="58"/>
  <c r="P145" i="58"/>
  <c r="P322" i="58"/>
  <c r="L468" i="58"/>
  <c r="L97" i="58"/>
  <c r="Q27" i="58"/>
  <c r="H364" i="58"/>
  <c r="N97" i="58"/>
  <c r="R347" i="58" l="1"/>
  <c r="R349" i="58"/>
  <c r="Q351" i="58"/>
  <c r="R350" i="58"/>
  <c r="J330" i="58"/>
  <c r="J331" i="58" s="1"/>
  <c r="J334" i="58" s="1"/>
  <c r="J335" i="58" s="1"/>
  <c r="I339" i="58"/>
  <c r="I340" i="58" s="1"/>
  <c r="I343" i="58" s="1"/>
  <c r="I344" i="58" s="1"/>
  <c r="I316" i="58"/>
  <c r="H317" i="58"/>
  <c r="H318" i="58" s="1"/>
  <c r="H60" i="58" s="1"/>
  <c r="H63" i="58" s="1"/>
  <c r="F57" i="58"/>
  <c r="F58" i="58"/>
  <c r="O233" i="59"/>
  <c r="S227" i="59"/>
  <c r="P231" i="59"/>
  <c r="P232" i="59"/>
  <c r="P241" i="59"/>
  <c r="P240" i="59"/>
  <c r="S27" i="59"/>
  <c r="O31" i="59"/>
  <c r="O28" i="59" s="1"/>
  <c r="G55" i="58"/>
  <c r="G58" i="58" s="1"/>
  <c r="P422" i="59"/>
  <c r="S413" i="59"/>
  <c r="Q462" i="59"/>
  <c r="Q89" i="59"/>
  <c r="Q283" i="59"/>
  <c r="Q257" i="59"/>
  <c r="Q258" i="59" s="1"/>
  <c r="Q238" i="59"/>
  <c r="R220" i="59"/>
  <c r="Q287" i="59"/>
  <c r="Q288" i="59" s="1"/>
  <c r="Q253" i="59"/>
  <c r="Q254" i="59" s="1"/>
  <c r="Q171" i="59"/>
  <c r="Q279" i="59"/>
  <c r="Q230" i="59"/>
  <c r="Q275" i="59"/>
  <c r="Q270" i="59"/>
  <c r="R421" i="59"/>
  <c r="S421" i="59" s="1"/>
  <c r="T421" i="59" s="1"/>
  <c r="R268" i="59"/>
  <c r="S211" i="59"/>
  <c r="Q419" i="59"/>
  <c r="Q420" i="59" s="1"/>
  <c r="J366" i="59"/>
  <c r="J367" i="59" s="1"/>
  <c r="N28" i="59"/>
  <c r="Q491" i="59"/>
  <c r="R446" i="59"/>
  <c r="Q447" i="59"/>
  <c r="Q448" i="59" s="1"/>
  <c r="Q108" i="59" s="1"/>
  <c r="P462" i="59"/>
  <c r="P89" i="59"/>
  <c r="N180" i="58"/>
  <c r="N179" i="58" s="1"/>
  <c r="O178" i="58"/>
  <c r="J338" i="58"/>
  <c r="J387" i="58"/>
  <c r="K354" i="58"/>
  <c r="L354" i="58" s="1"/>
  <c r="M354" i="58" s="1"/>
  <c r="I388" i="58"/>
  <c r="I389" i="58" s="1"/>
  <c r="I392" i="58" s="1"/>
  <c r="I394" i="58" s="1"/>
  <c r="I393" i="58" s="1"/>
  <c r="I401" i="58"/>
  <c r="I402" i="58" s="1"/>
  <c r="I403" i="58" s="1"/>
  <c r="Q447" i="58"/>
  <c r="Q448" i="58" s="1"/>
  <c r="Q108" i="58" s="1"/>
  <c r="O233" i="58"/>
  <c r="H366" i="58"/>
  <c r="H367" i="58" s="1"/>
  <c r="H53" i="58" s="1"/>
  <c r="R491" i="58"/>
  <c r="S446" i="58"/>
  <c r="P241" i="58"/>
  <c r="P240" i="58"/>
  <c r="R27" i="58"/>
  <c r="R268" i="58"/>
  <c r="S211" i="58"/>
  <c r="S227" i="58"/>
  <c r="P28" i="58"/>
  <c r="P177" i="58" s="1"/>
  <c r="Q245" i="58"/>
  <c r="Q429" i="58"/>
  <c r="P462" i="58"/>
  <c r="P89" i="58"/>
  <c r="J362" i="58"/>
  <c r="J363" i="58"/>
  <c r="Q287" i="58"/>
  <c r="Q288" i="58" s="1"/>
  <c r="Q283" i="58"/>
  <c r="Q275" i="58"/>
  <c r="Q253" i="58"/>
  <c r="Q254" i="58" s="1"/>
  <c r="R220" i="58"/>
  <c r="Q230" i="58"/>
  <c r="Q171" i="58"/>
  <c r="Q279" i="58"/>
  <c r="Q257" i="58"/>
  <c r="Q258" i="58" s="1"/>
  <c r="Q238" i="58"/>
  <c r="Q270" i="58"/>
  <c r="Q248" i="58"/>
  <c r="Q219" i="58"/>
  <c r="P97" i="58"/>
  <c r="P468" i="58"/>
  <c r="P295" i="58"/>
  <c r="Q145" i="58"/>
  <c r="Q322" i="58"/>
  <c r="Q420" i="58"/>
  <c r="Q422" i="58" s="1"/>
  <c r="R413" i="58"/>
  <c r="R208" i="58"/>
  <c r="Q30" i="58"/>
  <c r="Q303" i="58"/>
  <c r="I364" i="58"/>
  <c r="P232" i="58"/>
  <c r="P231" i="58"/>
  <c r="R351" i="58" l="1"/>
  <c r="S347" i="58"/>
  <c r="S350" i="58"/>
  <c r="S349" i="58"/>
  <c r="J339" i="58"/>
  <c r="J316" i="58"/>
  <c r="I317" i="58"/>
  <c r="I318" i="58" s="1"/>
  <c r="I60" i="58" s="1"/>
  <c r="I63" i="58" s="1"/>
  <c r="G57" i="58"/>
  <c r="P233" i="59"/>
  <c r="P30" i="59"/>
  <c r="P31" i="59" s="1"/>
  <c r="P28" i="59" s="1"/>
  <c r="S268" i="59"/>
  <c r="T211" i="59"/>
  <c r="Q232" i="59"/>
  <c r="Q231" i="59"/>
  <c r="T227" i="59"/>
  <c r="R419" i="59"/>
  <c r="R420" i="59" s="1"/>
  <c r="R422" i="59" s="1"/>
  <c r="R283" i="59"/>
  <c r="R275" i="59"/>
  <c r="S220" i="59"/>
  <c r="S219" i="59" s="1"/>
  <c r="R287" i="59"/>
  <c r="R288" i="59" s="1"/>
  <c r="R257" i="59"/>
  <c r="R258" i="59" s="1"/>
  <c r="R253" i="59"/>
  <c r="R254" i="59" s="1"/>
  <c r="R270" i="59"/>
  <c r="R279" i="59"/>
  <c r="R238" i="59"/>
  <c r="R230" i="59"/>
  <c r="R171" i="59"/>
  <c r="R219" i="59"/>
  <c r="Q422" i="59"/>
  <c r="T27" i="59"/>
  <c r="P97" i="59"/>
  <c r="P468" i="59"/>
  <c r="S419" i="59"/>
  <c r="S420" i="59" s="1"/>
  <c r="T413" i="59"/>
  <c r="R491" i="59"/>
  <c r="S446" i="59"/>
  <c r="R447" i="59"/>
  <c r="R448" i="59" s="1"/>
  <c r="R108" i="59" s="1"/>
  <c r="N177" i="59"/>
  <c r="O177" i="59" s="1"/>
  <c r="N178" i="59"/>
  <c r="T419" i="59"/>
  <c r="Q240" i="59"/>
  <c r="Q241" i="59"/>
  <c r="O180" i="58"/>
  <c r="O179" i="58" s="1"/>
  <c r="H55" i="58"/>
  <c r="H58" i="58" s="1"/>
  <c r="K70" i="58"/>
  <c r="J388" i="58"/>
  <c r="J401" i="58"/>
  <c r="J402" i="58" s="1"/>
  <c r="R447" i="58"/>
  <c r="R448" i="58" s="1"/>
  <c r="R108" i="58" s="1"/>
  <c r="P233" i="58"/>
  <c r="P178" i="58"/>
  <c r="S208" i="58"/>
  <c r="T227" i="58"/>
  <c r="N354" i="58"/>
  <c r="I366" i="58"/>
  <c r="Q31" i="58"/>
  <c r="R145" i="58"/>
  <c r="R322" i="58"/>
  <c r="Q240" i="58"/>
  <c r="Q241" i="58"/>
  <c r="Q231" i="58"/>
  <c r="Q232" i="58"/>
  <c r="S27" i="58"/>
  <c r="R420" i="58"/>
  <c r="R422" i="58" s="1"/>
  <c r="S413" i="58"/>
  <c r="S268" i="58"/>
  <c r="T211" i="58"/>
  <c r="S491" i="58"/>
  <c r="T446" i="58"/>
  <c r="Q468" i="58"/>
  <c r="Q97" i="58"/>
  <c r="Q295" i="58"/>
  <c r="R303" i="58"/>
  <c r="Q462" i="58"/>
  <c r="Q89" i="58"/>
  <c r="R270" i="58"/>
  <c r="R248" i="58"/>
  <c r="R279" i="58"/>
  <c r="R171" i="58"/>
  <c r="S220" i="58"/>
  <c r="R253" i="58"/>
  <c r="R254" i="58" s="1"/>
  <c r="R283" i="58"/>
  <c r="R230" i="58"/>
  <c r="R287" i="58"/>
  <c r="R288" i="58" s="1"/>
  <c r="R257" i="58"/>
  <c r="R258" i="58" s="1"/>
  <c r="R238" i="58"/>
  <c r="R275" i="58"/>
  <c r="R219" i="58"/>
  <c r="J364" i="58"/>
  <c r="R245" i="58"/>
  <c r="R429" i="58"/>
  <c r="T347" i="58" l="1"/>
  <c r="T350" i="58"/>
  <c r="S351" i="58"/>
  <c r="T349" i="58"/>
  <c r="J340" i="58"/>
  <c r="J343" i="58" s="1"/>
  <c r="K343" i="58" s="1"/>
  <c r="L343" i="58" s="1"/>
  <c r="M343" i="58" s="1"/>
  <c r="N343" i="58" s="1"/>
  <c r="O343" i="58" s="1"/>
  <c r="P343" i="58" s="1"/>
  <c r="Q343" i="58" s="1"/>
  <c r="R343" i="58" s="1"/>
  <c r="S343" i="58" s="1"/>
  <c r="T343" i="58" s="1"/>
  <c r="J317" i="58"/>
  <c r="Q233" i="59"/>
  <c r="S422" i="59"/>
  <c r="S97" i="59" s="1"/>
  <c r="P177" i="59"/>
  <c r="Q30" i="59"/>
  <c r="Q31" i="59" s="1"/>
  <c r="Q28" i="59" s="1"/>
  <c r="R468" i="59"/>
  <c r="R97" i="59"/>
  <c r="T268" i="59"/>
  <c r="Q97" i="59"/>
  <c r="Q468" i="59"/>
  <c r="R231" i="59"/>
  <c r="R232" i="59"/>
  <c r="S257" i="59"/>
  <c r="S258" i="59" s="1"/>
  <c r="S287" i="59"/>
  <c r="S288" i="59" s="1"/>
  <c r="S283" i="59"/>
  <c r="S279" i="59"/>
  <c r="S253" i="59"/>
  <c r="S254" i="59" s="1"/>
  <c r="S270" i="59"/>
  <c r="S230" i="59"/>
  <c r="S238" i="59"/>
  <c r="S275" i="59"/>
  <c r="S171" i="59"/>
  <c r="T220" i="59"/>
  <c r="N180" i="59"/>
  <c r="N179" i="59" s="1"/>
  <c r="O178" i="59"/>
  <c r="S491" i="59"/>
  <c r="T446" i="59"/>
  <c r="S447" i="59"/>
  <c r="S448" i="59" s="1"/>
  <c r="S108" i="59" s="1"/>
  <c r="S462" i="59"/>
  <c r="S89" i="59"/>
  <c r="R241" i="59"/>
  <c r="R240" i="59"/>
  <c r="T420" i="59"/>
  <c r="R462" i="59"/>
  <c r="R89" i="59"/>
  <c r="P180" i="58"/>
  <c r="P179" i="58" s="1"/>
  <c r="H57" i="58"/>
  <c r="J403" i="58"/>
  <c r="J389" i="58"/>
  <c r="K395" i="58"/>
  <c r="K329" i="58"/>
  <c r="K357" i="58"/>
  <c r="K316" i="58"/>
  <c r="K401" i="58"/>
  <c r="K387" i="58"/>
  <c r="K338" i="58"/>
  <c r="K361" i="58"/>
  <c r="K334" i="58"/>
  <c r="L334" i="58" s="1"/>
  <c r="M334" i="58" s="1"/>
  <c r="N334" i="58" s="1"/>
  <c r="O334" i="58" s="1"/>
  <c r="P334" i="58" s="1"/>
  <c r="Q334" i="58" s="1"/>
  <c r="R334" i="58" s="1"/>
  <c r="S334" i="58" s="1"/>
  <c r="T334" i="58" s="1"/>
  <c r="S447" i="58"/>
  <c r="S448" i="58" s="1"/>
  <c r="S108" i="58" s="1"/>
  <c r="R30" i="58"/>
  <c r="R31" i="58" s="1"/>
  <c r="R28" i="58" s="1"/>
  <c r="Q233" i="58"/>
  <c r="R231" i="58"/>
  <c r="R232" i="58"/>
  <c r="R295" i="58"/>
  <c r="T268" i="58"/>
  <c r="S245" i="58"/>
  <c r="S429" i="58"/>
  <c r="R240" i="58"/>
  <c r="R241" i="58"/>
  <c r="S303" i="58"/>
  <c r="T491" i="58"/>
  <c r="T27" i="58"/>
  <c r="Q28" i="58"/>
  <c r="T208" i="58"/>
  <c r="S420" i="58"/>
  <c r="S422" i="58" s="1"/>
  <c r="T413" i="58"/>
  <c r="I367" i="58"/>
  <c r="J366" i="58"/>
  <c r="R462" i="58"/>
  <c r="R89" i="58"/>
  <c r="S287" i="58"/>
  <c r="S288" i="58" s="1"/>
  <c r="S257" i="58"/>
  <c r="S258" i="58" s="1"/>
  <c r="S248" i="58"/>
  <c r="S279" i="58"/>
  <c r="S275" i="58"/>
  <c r="S238" i="58"/>
  <c r="S253" i="58"/>
  <c r="S254" i="58" s="1"/>
  <c r="S270" i="58"/>
  <c r="S283" i="58"/>
  <c r="S230" i="58"/>
  <c r="S171" i="58"/>
  <c r="T220" i="58"/>
  <c r="S219" i="58"/>
  <c r="R97" i="58"/>
  <c r="R468" i="58"/>
  <c r="S145" i="58"/>
  <c r="S322" i="58"/>
  <c r="O354" i="58"/>
  <c r="T351" i="58" l="1"/>
  <c r="I53" i="58"/>
  <c r="I55" i="58" s="1"/>
  <c r="J344" i="58"/>
  <c r="J318" i="58"/>
  <c r="J60" i="58" s="1"/>
  <c r="J63" i="58" s="1"/>
  <c r="Q177" i="59"/>
  <c r="S468" i="59"/>
  <c r="R233" i="59"/>
  <c r="R30" i="59"/>
  <c r="R31" i="59" s="1"/>
  <c r="S241" i="59"/>
  <c r="S240" i="59"/>
  <c r="O180" i="59"/>
  <c r="O179" i="59" s="1"/>
  <c r="P178" i="59"/>
  <c r="S232" i="59"/>
  <c r="S231" i="59"/>
  <c r="T422" i="59"/>
  <c r="T491" i="59"/>
  <c r="T447" i="59"/>
  <c r="T275" i="59"/>
  <c r="T238" i="59"/>
  <c r="T287" i="59"/>
  <c r="T171" i="59"/>
  <c r="T283" i="59"/>
  <c r="T230" i="59"/>
  <c r="T279" i="59"/>
  <c r="T257" i="59"/>
  <c r="T270" i="59"/>
  <c r="T253" i="59"/>
  <c r="T219" i="59"/>
  <c r="T303" i="58"/>
  <c r="T420" i="58"/>
  <c r="T422" i="58" s="1"/>
  <c r="K358" i="58"/>
  <c r="T447" i="58"/>
  <c r="L70" i="58"/>
  <c r="K398" i="58"/>
  <c r="K75" i="58"/>
  <c r="K356" i="58"/>
  <c r="J392" i="58"/>
  <c r="J394" i="58" s="1"/>
  <c r="J393" i="58" s="1"/>
  <c r="K393" i="58" s="1"/>
  <c r="R233" i="58"/>
  <c r="P354" i="58"/>
  <c r="T145" i="58"/>
  <c r="T322" i="58"/>
  <c r="S295" i="58"/>
  <c r="S468" i="58"/>
  <c r="S97" i="58"/>
  <c r="S30" i="58"/>
  <c r="S231" i="58"/>
  <c r="S232" i="58"/>
  <c r="S241" i="58"/>
  <c r="S240" i="58"/>
  <c r="T287" i="58"/>
  <c r="T171" i="58"/>
  <c r="T270" i="58"/>
  <c r="T253" i="58"/>
  <c r="T279" i="58"/>
  <c r="T238" i="58"/>
  <c r="T283" i="58"/>
  <c r="T248" i="58"/>
  <c r="T257" i="58"/>
  <c r="T230" i="58"/>
  <c r="T275" i="58"/>
  <c r="T219" i="58"/>
  <c r="S462" i="58"/>
  <c r="S89" i="58"/>
  <c r="J367" i="58"/>
  <c r="Q178" i="58"/>
  <c r="Q177" i="58"/>
  <c r="R177" i="58" s="1"/>
  <c r="T245" i="58"/>
  <c r="T429" i="58"/>
  <c r="I58" i="58" l="1"/>
  <c r="I57" i="58"/>
  <c r="S233" i="59"/>
  <c r="R28" i="59"/>
  <c r="R177" i="59" s="1"/>
  <c r="T254" i="59"/>
  <c r="T288" i="59"/>
  <c r="T97" i="59"/>
  <c r="T468" i="59"/>
  <c r="T258" i="59"/>
  <c r="T462" i="59"/>
  <c r="T89" i="59"/>
  <c r="T232" i="59"/>
  <c r="T231" i="59"/>
  <c r="T240" i="59"/>
  <c r="T241" i="59"/>
  <c r="S30" i="59"/>
  <c r="T448" i="59"/>
  <c r="Q178" i="59"/>
  <c r="P180" i="59"/>
  <c r="P179" i="59" s="1"/>
  <c r="J53" i="58"/>
  <c r="J55" i="58" s="1"/>
  <c r="J58" i="58" s="1"/>
  <c r="T288" i="58"/>
  <c r="T448" i="58"/>
  <c r="T254" i="58"/>
  <c r="T258" i="58"/>
  <c r="T468" i="58"/>
  <c r="L338" i="58"/>
  <c r="L401" i="58"/>
  <c r="L329" i="58"/>
  <c r="L361" i="58"/>
  <c r="L316" i="58"/>
  <c r="L357" i="58"/>
  <c r="L387" i="58"/>
  <c r="K394" i="58"/>
  <c r="K388" i="58" s="1"/>
  <c r="T97" i="58"/>
  <c r="S233" i="58"/>
  <c r="Q354" i="58"/>
  <c r="T462" i="58"/>
  <c r="T89" i="58"/>
  <c r="S31" i="58"/>
  <c r="T30" i="58" s="1"/>
  <c r="Q180" i="58"/>
  <c r="Q179" i="58" s="1"/>
  <c r="R178" i="58"/>
  <c r="T231" i="58"/>
  <c r="T232" i="58"/>
  <c r="T241" i="58"/>
  <c r="T240" i="58"/>
  <c r="T295" i="58"/>
  <c r="Q180" i="59" l="1"/>
  <c r="Q179" i="59" s="1"/>
  <c r="R178" i="59"/>
  <c r="S31" i="59"/>
  <c r="T233" i="59"/>
  <c r="T108" i="59"/>
  <c r="T31" i="58"/>
  <c r="T108" i="58"/>
  <c r="J57" i="58"/>
  <c r="L358" i="58"/>
  <c r="M70" i="58"/>
  <c r="L75" i="58"/>
  <c r="L356" i="58"/>
  <c r="L395" i="58"/>
  <c r="K389" i="58"/>
  <c r="T233" i="58"/>
  <c r="R354" i="58"/>
  <c r="R180" i="58"/>
  <c r="R179" i="58" s="1"/>
  <c r="S28" i="58"/>
  <c r="S177" i="58" s="1"/>
  <c r="T30" i="59" l="1"/>
  <c r="T31" i="59" s="1"/>
  <c r="R180" i="59"/>
  <c r="R179" i="59" s="1"/>
  <c r="S28" i="59"/>
  <c r="S177" i="59" s="1"/>
  <c r="T28" i="58"/>
  <c r="M387" i="58"/>
  <c r="M338" i="58"/>
  <c r="M401" i="58"/>
  <c r="M316" i="58"/>
  <c r="M329" i="58"/>
  <c r="M357" i="58"/>
  <c r="M361" i="58"/>
  <c r="L393" i="58"/>
  <c r="L394" i="58" s="1"/>
  <c r="L388" i="58" s="1"/>
  <c r="S354" i="58"/>
  <c r="S178" i="58"/>
  <c r="T28" i="59" l="1"/>
  <c r="S178" i="59"/>
  <c r="T177" i="58"/>
  <c r="M75" i="58"/>
  <c r="M356" i="58"/>
  <c r="M395" i="58"/>
  <c r="L389" i="58"/>
  <c r="N70" i="58"/>
  <c r="M358" i="58"/>
  <c r="T354" i="58"/>
  <c r="T178" i="58"/>
  <c r="S180" i="58"/>
  <c r="S179" i="58" s="1"/>
  <c r="T178" i="59" l="1"/>
  <c r="S180" i="59"/>
  <c r="S179" i="59" s="1"/>
  <c r="T177" i="59"/>
  <c r="M393" i="58"/>
  <c r="M394" i="58" s="1"/>
  <c r="M388" i="58" s="1"/>
  <c r="N338" i="58"/>
  <c r="N361" i="58"/>
  <c r="N329" i="58"/>
  <c r="N401" i="58"/>
  <c r="N387" i="58"/>
  <c r="N357" i="58"/>
  <c r="N316" i="58"/>
  <c r="T180" i="58"/>
  <c r="T180" i="59" l="1"/>
  <c r="T179" i="58"/>
  <c r="N395" i="58"/>
  <c r="N393" i="58" s="1"/>
  <c r="N394" i="58" s="1"/>
  <c r="N388" i="58" s="1"/>
  <c r="M389" i="58"/>
  <c r="N358" i="58"/>
  <c r="N75" i="58"/>
  <c r="N356" i="58"/>
  <c r="O70" i="58"/>
  <c r="T179" i="59" l="1"/>
  <c r="N389" i="58"/>
  <c r="O395" i="58"/>
  <c r="O361" i="58"/>
  <c r="O357" i="58"/>
  <c r="O316" i="58"/>
  <c r="O338" i="58"/>
  <c r="O401" i="58"/>
  <c r="O329" i="58"/>
  <c r="O387" i="58"/>
  <c r="P70" i="58" l="1"/>
  <c r="O358" i="58"/>
  <c r="O393" i="58"/>
  <c r="O394" i="58" s="1"/>
  <c r="O388" i="58" s="1"/>
  <c r="O75" i="58"/>
  <c r="O356" i="58"/>
  <c r="P395" i="58" l="1"/>
  <c r="P401" i="58"/>
  <c r="P338" i="58"/>
  <c r="P361" i="58"/>
  <c r="P357" i="58"/>
  <c r="P329" i="58"/>
  <c r="P387" i="58"/>
  <c r="P316" i="58"/>
  <c r="O389" i="58"/>
  <c r="Q70" i="58" l="1"/>
  <c r="P356" i="58"/>
  <c r="P75" i="58"/>
  <c r="P358" i="58"/>
  <c r="P393" i="58"/>
  <c r="P394" i="58" s="1"/>
  <c r="P388" i="58" s="1"/>
  <c r="P389" i="58" l="1"/>
  <c r="Q316" i="58"/>
  <c r="Q357" i="58"/>
  <c r="Q361" i="58"/>
  <c r="Q338" i="58"/>
  <c r="Q329" i="58"/>
  <c r="Q387" i="58"/>
  <c r="Q401" i="58"/>
  <c r="Q395" i="58"/>
  <c r="Q393" i="58" l="1"/>
  <c r="Q394" i="58" s="1"/>
  <c r="Q388" i="58" s="1"/>
  <c r="Q358" i="58"/>
  <c r="R70" i="58"/>
  <c r="Q356" i="58"/>
  <c r="Q75" i="58"/>
  <c r="R395" i="58" l="1"/>
  <c r="R329" i="58"/>
  <c r="R316" i="58"/>
  <c r="R338" i="58"/>
  <c r="R357" i="58"/>
  <c r="R361" i="58"/>
  <c r="R387" i="58"/>
  <c r="R401" i="58"/>
  <c r="Q389" i="58"/>
  <c r="R393" i="58" l="1"/>
  <c r="R394" i="58" s="1"/>
  <c r="R388" i="58" s="1"/>
  <c r="S395" i="58" s="1"/>
  <c r="R358" i="58"/>
  <c r="R75" i="58"/>
  <c r="R356" i="58"/>
  <c r="S70" i="58"/>
  <c r="S316" i="58" l="1"/>
  <c r="S401" i="58"/>
  <c r="S387" i="58"/>
  <c r="S338" i="58"/>
  <c r="S361" i="58"/>
  <c r="S357" i="58"/>
  <c r="S329" i="58"/>
  <c r="R389" i="58"/>
  <c r="T70" i="58" l="1"/>
  <c r="S358" i="58"/>
  <c r="S393" i="58"/>
  <c r="S394" i="58" s="1"/>
  <c r="S388" i="58" s="1"/>
  <c r="S389" i="58" s="1"/>
  <c r="S356" i="58"/>
  <c r="S75" i="58"/>
  <c r="T401" i="58" l="1"/>
  <c r="T357" i="58"/>
  <c r="T387" i="58"/>
  <c r="T338" i="58"/>
  <c r="T361" i="58"/>
  <c r="T316" i="58"/>
  <c r="T329" i="58"/>
  <c r="T395" i="58"/>
  <c r="T393" i="58" l="1"/>
  <c r="T358" i="58"/>
  <c r="T356" i="58"/>
  <c r="T75" i="58"/>
  <c r="T394" i="58" l="1"/>
  <c r="T388" i="58" l="1"/>
  <c r="T389" i="58" l="1"/>
  <c r="C1" i="48" l="1"/>
  <c r="D7" i="59" l="1"/>
  <c r="D8" i="59" s="1"/>
  <c r="E7" i="59"/>
  <c r="E8" i="59" s="1"/>
  <c r="G7" i="58"/>
  <c r="G8" i="58" s="1"/>
  <c r="J7" i="58"/>
  <c r="J8" i="58" s="1"/>
  <c r="F7" i="58"/>
  <c r="F8" i="58" s="1"/>
  <c r="E7" i="58"/>
  <c r="E8" i="58" s="1"/>
  <c r="I7" i="58"/>
  <c r="I8" i="58" s="1"/>
  <c r="D7" i="58"/>
  <c r="D8" i="58" s="1"/>
  <c r="H7" i="58"/>
  <c r="H8" i="58" s="1"/>
  <c r="D223" i="32" l="1"/>
  <c r="E223" i="32"/>
  <c r="F223" i="32"/>
  <c r="G223" i="32"/>
  <c r="H223" i="32"/>
  <c r="I223" i="32"/>
  <c r="J223" i="32"/>
  <c r="K223" i="32"/>
  <c r="L223" i="32"/>
  <c r="M223" i="32"/>
  <c r="N223" i="32"/>
  <c r="O223" i="32"/>
  <c r="P223" i="32"/>
  <c r="Q223" i="32"/>
  <c r="R223" i="32"/>
  <c r="S223" i="32"/>
  <c r="T223" i="32"/>
  <c r="U223" i="32"/>
  <c r="V223" i="32"/>
  <c r="W223" i="32"/>
  <c r="X223" i="32"/>
  <c r="Y223" i="32"/>
  <c r="Z223" i="32"/>
  <c r="AA223" i="32"/>
  <c r="AB223" i="32"/>
  <c r="AC223" i="32"/>
  <c r="AD223" i="32"/>
  <c r="AE223" i="32"/>
  <c r="AF223" i="32"/>
  <c r="AG223" i="32"/>
  <c r="AH223" i="32"/>
  <c r="AI223" i="32"/>
  <c r="AJ223" i="32"/>
  <c r="AK223" i="32"/>
  <c r="AL223" i="32"/>
  <c r="AM223" i="32"/>
  <c r="AN223" i="32"/>
  <c r="AO223" i="32"/>
  <c r="AP223" i="32"/>
  <c r="AQ223" i="32"/>
  <c r="AR223" i="32"/>
  <c r="AS223" i="32"/>
  <c r="AT223" i="32"/>
  <c r="AU223" i="32"/>
  <c r="AV223" i="32"/>
  <c r="AW223" i="32"/>
  <c r="AX223" i="32"/>
  <c r="AY223" i="32"/>
  <c r="AZ223" i="32"/>
  <c r="BA223" i="32"/>
  <c r="BB223" i="32"/>
  <c r="BC223" i="32"/>
  <c r="BD223" i="32"/>
  <c r="BE223" i="32"/>
  <c r="BF223" i="32"/>
  <c r="BG223" i="32"/>
  <c r="BH223" i="32"/>
  <c r="BI223" i="32"/>
  <c r="BJ223" i="32"/>
  <c r="BK223" i="32"/>
  <c r="BL223" i="32"/>
  <c r="C223" i="32"/>
  <c r="C29" i="23" l="1"/>
  <c r="E127" i="7"/>
  <c r="F127" i="7"/>
  <c r="G127" i="7"/>
  <c r="H127" i="7"/>
  <c r="H137" i="7" s="1"/>
  <c r="I127" i="7"/>
  <c r="J127" i="7"/>
  <c r="F135" i="7"/>
  <c r="G135" i="7"/>
  <c r="H135" i="7"/>
  <c r="I135" i="7"/>
  <c r="J135" i="7"/>
  <c r="F368" i="7"/>
  <c r="G368" i="7"/>
  <c r="H368" i="7"/>
  <c r="I368" i="7"/>
  <c r="J368" i="7"/>
  <c r="F374" i="7"/>
  <c r="G374" i="7"/>
  <c r="G375" i="7" s="1"/>
  <c r="H374" i="7"/>
  <c r="I374" i="7"/>
  <c r="J374" i="7"/>
  <c r="C9" i="17"/>
  <c r="D9" i="17"/>
  <c r="D10" i="17" s="1"/>
  <c r="E9" i="17"/>
  <c r="F9" i="17"/>
  <c r="G9" i="17"/>
  <c r="H9" i="17"/>
  <c r="I9" i="17"/>
  <c r="J9" i="17"/>
  <c r="K9" i="17"/>
  <c r="L9" i="17"/>
  <c r="M9" i="17"/>
  <c r="B9" i="17"/>
  <c r="Y15" i="3"/>
  <c r="X15" i="3"/>
  <c r="S15" i="3"/>
  <c r="R15" i="3"/>
  <c r="G353" i="59"/>
  <c r="H353" i="59"/>
  <c r="I353" i="59"/>
  <c r="J353" i="59"/>
  <c r="F353" i="59"/>
  <c r="L348" i="59"/>
  <c r="M348" i="59"/>
  <c r="N348" i="59"/>
  <c r="O348" i="59"/>
  <c r="P348" i="59"/>
  <c r="Q348" i="59"/>
  <c r="R348" i="59"/>
  <c r="S348" i="59"/>
  <c r="T348" i="59"/>
  <c r="K348" i="59"/>
  <c r="G348" i="59"/>
  <c r="H348" i="59"/>
  <c r="I348" i="59"/>
  <c r="J348" i="59"/>
  <c r="F348" i="59"/>
  <c r="L352" i="59"/>
  <c r="L467" i="59" s="1"/>
  <c r="M352" i="59"/>
  <c r="M467" i="59" s="1"/>
  <c r="N352" i="59"/>
  <c r="N467" i="59" s="1"/>
  <c r="O352" i="59"/>
  <c r="O467" i="59" s="1"/>
  <c r="P352" i="59"/>
  <c r="P467" i="59" s="1"/>
  <c r="Q352" i="59"/>
  <c r="Q467" i="59" s="1"/>
  <c r="R352" i="59"/>
  <c r="R467" i="59" s="1"/>
  <c r="S352" i="59"/>
  <c r="S467" i="59" s="1"/>
  <c r="T352" i="59"/>
  <c r="T467" i="59" s="1"/>
  <c r="K352" i="59"/>
  <c r="K467" i="59" s="1"/>
  <c r="G352" i="59"/>
  <c r="G467" i="59" s="1"/>
  <c r="G469" i="59" s="1"/>
  <c r="H352" i="59"/>
  <c r="H467" i="59" s="1"/>
  <c r="H469" i="59" s="1"/>
  <c r="I352" i="59"/>
  <c r="I467" i="59" s="1"/>
  <c r="I469" i="59" s="1"/>
  <c r="J352" i="59"/>
  <c r="J467" i="59" s="1"/>
  <c r="J469" i="59" s="1"/>
  <c r="F352" i="59"/>
  <c r="F467" i="59" s="1"/>
  <c r="F469" i="59" s="1"/>
  <c r="G163" i="7"/>
  <c r="H163" i="7"/>
  <c r="I163" i="7"/>
  <c r="J163" i="7"/>
  <c r="E163" i="7"/>
  <c r="F163" i="7"/>
  <c r="D163" i="7"/>
  <c r="J142" i="7"/>
  <c r="G234" i="7"/>
  <c r="H234" i="7"/>
  <c r="I234" i="7"/>
  <c r="J234" i="7"/>
  <c r="E234" i="7"/>
  <c r="F234" i="7"/>
  <c r="D234" i="7"/>
  <c r="C327" i="7"/>
  <c r="C321" i="7"/>
  <c r="G10" i="41"/>
  <c r="H10" i="41"/>
  <c r="I10" i="41"/>
  <c r="J10" i="41"/>
  <c r="K10" i="41"/>
  <c r="L10" i="41"/>
  <c r="M10" i="41"/>
  <c r="N10" i="41"/>
  <c r="O10" i="41"/>
  <c r="P10" i="41"/>
  <c r="Q10" i="41"/>
  <c r="R10" i="41"/>
  <c r="S10" i="41"/>
  <c r="T10" i="41"/>
  <c r="U10" i="41"/>
  <c r="V10" i="41"/>
  <c r="W10" i="41"/>
  <c r="X10" i="41"/>
  <c r="Y10" i="41"/>
  <c r="Z10" i="41"/>
  <c r="AA10" i="41"/>
  <c r="AB10" i="41"/>
  <c r="AC10" i="41"/>
  <c r="AD10" i="41"/>
  <c r="AE10" i="41"/>
  <c r="AF10" i="41"/>
  <c r="AG10" i="41"/>
  <c r="AH10" i="41"/>
  <c r="AI10" i="41"/>
  <c r="AJ10" i="41"/>
  <c r="AK10" i="41"/>
  <c r="AL10" i="41"/>
  <c r="AM10" i="41"/>
  <c r="AN10" i="41"/>
  <c r="AO10" i="41"/>
  <c r="AP10" i="41"/>
  <c r="AQ10" i="41"/>
  <c r="AR10" i="41"/>
  <c r="AS10" i="41"/>
  <c r="AT10" i="41"/>
  <c r="AU10" i="41"/>
  <c r="AV10" i="41"/>
  <c r="AW10" i="41"/>
  <c r="AX10" i="41"/>
  <c r="AY10" i="41"/>
  <c r="AZ10" i="41"/>
  <c r="BA10" i="41"/>
  <c r="BB10" i="41"/>
  <c r="BC10" i="41"/>
  <c r="BD10" i="41"/>
  <c r="BE10" i="41"/>
  <c r="BF10" i="41"/>
  <c r="BG10" i="41"/>
  <c r="G11" i="41"/>
  <c r="H11" i="41"/>
  <c r="I11" i="41"/>
  <c r="J11" i="41"/>
  <c r="K11" i="41"/>
  <c r="L11" i="41"/>
  <c r="M11" i="41"/>
  <c r="N11" i="41"/>
  <c r="O11" i="41"/>
  <c r="P11" i="41"/>
  <c r="Q11" i="41"/>
  <c r="R11" i="41"/>
  <c r="S11" i="41"/>
  <c r="T11" i="41"/>
  <c r="U11" i="41"/>
  <c r="V11" i="41"/>
  <c r="W11" i="41"/>
  <c r="X11" i="41"/>
  <c r="Y11" i="41"/>
  <c r="Z11" i="41"/>
  <c r="AA11" i="41"/>
  <c r="AB11" i="41"/>
  <c r="AC11" i="41"/>
  <c r="AD11" i="41"/>
  <c r="AE11" i="41"/>
  <c r="AF11" i="41"/>
  <c r="AG11" i="41"/>
  <c r="AH11" i="41"/>
  <c r="AI11" i="41"/>
  <c r="AJ11" i="41"/>
  <c r="AK11" i="41"/>
  <c r="AL11" i="41"/>
  <c r="AM11" i="41"/>
  <c r="AN11" i="41"/>
  <c r="AO11" i="41"/>
  <c r="AP11" i="41"/>
  <c r="AQ11" i="41"/>
  <c r="AR11" i="41"/>
  <c r="AS11" i="41"/>
  <c r="AT11" i="41"/>
  <c r="AU11" i="41"/>
  <c r="AV11" i="41"/>
  <c r="AW11" i="41"/>
  <c r="AX11" i="41"/>
  <c r="AY11" i="41"/>
  <c r="AZ11" i="41"/>
  <c r="BA11" i="41"/>
  <c r="BB11" i="41"/>
  <c r="BC11" i="41"/>
  <c r="BD11" i="41"/>
  <c r="BE11" i="41"/>
  <c r="BF11" i="41"/>
  <c r="BG11" i="41"/>
  <c r="G12" i="41"/>
  <c r="H12" i="41"/>
  <c r="I12" i="41"/>
  <c r="J12" i="41"/>
  <c r="K12" i="41"/>
  <c r="L12" i="41"/>
  <c r="M12" i="41"/>
  <c r="N12" i="41"/>
  <c r="O12" i="41"/>
  <c r="P12" i="41"/>
  <c r="Q12" i="41"/>
  <c r="R12" i="41"/>
  <c r="S12" i="41"/>
  <c r="T12" i="41"/>
  <c r="U12" i="41"/>
  <c r="V12" i="41"/>
  <c r="W12" i="41"/>
  <c r="X12" i="41"/>
  <c r="Y12" i="41"/>
  <c r="Z12" i="41"/>
  <c r="AA12" i="41"/>
  <c r="AB12" i="41"/>
  <c r="AC12" i="41"/>
  <c r="AD12" i="41"/>
  <c r="AE12" i="41"/>
  <c r="AF12" i="41"/>
  <c r="AG12" i="41"/>
  <c r="AH12" i="41"/>
  <c r="AI12" i="41"/>
  <c r="AJ12" i="41"/>
  <c r="AK12" i="41"/>
  <c r="AL12" i="41"/>
  <c r="AM12" i="41"/>
  <c r="AN12" i="41"/>
  <c r="AO12" i="41"/>
  <c r="AP12" i="41"/>
  <c r="AQ12" i="41"/>
  <c r="AR12" i="41"/>
  <c r="AS12" i="41"/>
  <c r="AT12" i="41"/>
  <c r="AU12" i="41"/>
  <c r="AV12" i="41"/>
  <c r="AW12" i="41"/>
  <c r="AX12" i="41"/>
  <c r="AY12" i="41"/>
  <c r="AZ12" i="41"/>
  <c r="BA12" i="41"/>
  <c r="BB12" i="41"/>
  <c r="BC12" i="41"/>
  <c r="BD12" i="41"/>
  <c r="BE12" i="41"/>
  <c r="BF12" i="41"/>
  <c r="BG12" i="41"/>
  <c r="G13" i="41"/>
  <c r="H13" i="41"/>
  <c r="I13" i="41"/>
  <c r="J13" i="41"/>
  <c r="K13" i="41"/>
  <c r="L13" i="41"/>
  <c r="M13" i="41"/>
  <c r="N13" i="41"/>
  <c r="O13" i="41"/>
  <c r="P13" i="41"/>
  <c r="Q13" i="41"/>
  <c r="R13" i="41"/>
  <c r="S13" i="41"/>
  <c r="T13" i="41"/>
  <c r="U13" i="41"/>
  <c r="V13" i="41"/>
  <c r="W13" i="41"/>
  <c r="X13" i="41"/>
  <c r="Y13" i="41"/>
  <c r="Z13" i="41"/>
  <c r="AA13" i="41"/>
  <c r="AB13" i="41"/>
  <c r="AC13" i="41"/>
  <c r="AD13" i="41"/>
  <c r="AE13" i="41"/>
  <c r="AF13" i="41"/>
  <c r="AG13" i="41"/>
  <c r="AH13" i="41"/>
  <c r="AI13" i="41"/>
  <c r="AJ13" i="41"/>
  <c r="AK13" i="41"/>
  <c r="AL13" i="41"/>
  <c r="AM13" i="41"/>
  <c r="AN13" i="41"/>
  <c r="AO13" i="41"/>
  <c r="AP13" i="41"/>
  <c r="AQ13" i="41"/>
  <c r="AR13" i="41"/>
  <c r="AS13" i="41"/>
  <c r="AT13" i="41"/>
  <c r="AU13" i="41"/>
  <c r="AV13" i="41"/>
  <c r="AW13" i="41"/>
  <c r="AX13" i="41"/>
  <c r="AY13" i="41"/>
  <c r="AZ13" i="41"/>
  <c r="BA13" i="41"/>
  <c r="BB13" i="41"/>
  <c r="BC13" i="41"/>
  <c r="BD13" i="41"/>
  <c r="BE13" i="41"/>
  <c r="BF13" i="41"/>
  <c r="BG13" i="41"/>
  <c r="G14" i="41"/>
  <c r="H14" i="41"/>
  <c r="I14" i="41"/>
  <c r="J14" i="41"/>
  <c r="K14" i="41"/>
  <c r="L14" i="41"/>
  <c r="M14" i="41"/>
  <c r="N14" i="41"/>
  <c r="O14" i="41"/>
  <c r="P14" i="41"/>
  <c r="Q14" i="41"/>
  <c r="R14" i="41"/>
  <c r="S14" i="41"/>
  <c r="T14" i="41"/>
  <c r="U14" i="41"/>
  <c r="V14" i="41"/>
  <c r="W14" i="41"/>
  <c r="X14" i="41"/>
  <c r="Y14" i="41"/>
  <c r="Z14" i="41"/>
  <c r="AA14" i="41"/>
  <c r="AB14" i="41"/>
  <c r="AC14" i="41"/>
  <c r="AD14" i="41"/>
  <c r="AE14" i="41"/>
  <c r="AF14" i="41"/>
  <c r="AG14" i="41"/>
  <c r="AH14" i="41"/>
  <c r="AI14" i="41"/>
  <c r="AJ14" i="41"/>
  <c r="AK14" i="41"/>
  <c r="AL14" i="41"/>
  <c r="AM14" i="41"/>
  <c r="AN14" i="41"/>
  <c r="AO14" i="41"/>
  <c r="AP14" i="41"/>
  <c r="AQ14" i="41"/>
  <c r="AR14" i="41"/>
  <c r="AS14" i="41"/>
  <c r="AT14" i="41"/>
  <c r="AU14" i="41"/>
  <c r="AV14" i="41"/>
  <c r="AW14" i="41"/>
  <c r="AX14" i="41"/>
  <c r="AY14" i="41"/>
  <c r="AZ14" i="41"/>
  <c r="BA14" i="41"/>
  <c r="BB14" i="41"/>
  <c r="BC14" i="41"/>
  <c r="BD14" i="41"/>
  <c r="BE14" i="41"/>
  <c r="BF14" i="41"/>
  <c r="BG14" i="41"/>
  <c r="G15" i="41"/>
  <c r="H15" i="41"/>
  <c r="I15" i="41"/>
  <c r="J15" i="41"/>
  <c r="K15" i="41"/>
  <c r="L15" i="41"/>
  <c r="M15" i="41"/>
  <c r="N15" i="41"/>
  <c r="O15" i="41"/>
  <c r="P15" i="41"/>
  <c r="Q15" i="41"/>
  <c r="R15" i="41"/>
  <c r="S15" i="41"/>
  <c r="T15" i="41"/>
  <c r="U15" i="41"/>
  <c r="V15" i="41"/>
  <c r="W15" i="41"/>
  <c r="X15" i="41"/>
  <c r="Y15" i="41"/>
  <c r="Z15" i="41"/>
  <c r="AA15" i="41"/>
  <c r="AB15" i="41"/>
  <c r="AC15" i="41"/>
  <c r="AD15" i="41"/>
  <c r="AE15" i="41"/>
  <c r="AF15" i="41"/>
  <c r="AG15" i="41"/>
  <c r="AH15" i="41"/>
  <c r="AI15" i="41"/>
  <c r="AJ15" i="41"/>
  <c r="AK15" i="41"/>
  <c r="AL15" i="41"/>
  <c r="AM15" i="41"/>
  <c r="AN15" i="41"/>
  <c r="AO15" i="41"/>
  <c r="AP15" i="41"/>
  <c r="AQ15" i="41"/>
  <c r="AR15" i="41"/>
  <c r="AS15" i="41"/>
  <c r="AT15" i="41"/>
  <c r="AU15" i="41"/>
  <c r="AV15" i="41"/>
  <c r="AW15" i="41"/>
  <c r="AX15" i="41"/>
  <c r="AY15" i="41"/>
  <c r="AZ15" i="41"/>
  <c r="BA15" i="41"/>
  <c r="BB15" i="41"/>
  <c r="BC15" i="41"/>
  <c r="BD15" i="41"/>
  <c r="BE15" i="41"/>
  <c r="BF15" i="41"/>
  <c r="BG15" i="41"/>
  <c r="G16" i="41"/>
  <c r="H16" i="41"/>
  <c r="I16" i="41"/>
  <c r="J16" i="41"/>
  <c r="K16" i="41"/>
  <c r="L16" i="41"/>
  <c r="M16" i="41"/>
  <c r="N16" i="41"/>
  <c r="O16" i="41"/>
  <c r="P16" i="41"/>
  <c r="Q16" i="41"/>
  <c r="R16" i="41"/>
  <c r="S16" i="41"/>
  <c r="T16" i="41"/>
  <c r="U16" i="41"/>
  <c r="V16" i="41"/>
  <c r="W16" i="41"/>
  <c r="X16" i="41"/>
  <c r="Y16" i="41"/>
  <c r="Z16" i="41"/>
  <c r="AA16" i="41"/>
  <c r="AB16" i="41"/>
  <c r="AC16" i="41"/>
  <c r="AD16" i="41"/>
  <c r="AE16" i="41"/>
  <c r="AF16" i="41"/>
  <c r="AG16" i="41"/>
  <c r="AH16" i="41"/>
  <c r="AI16" i="41"/>
  <c r="AJ16" i="41"/>
  <c r="AK16" i="41"/>
  <c r="AL16" i="41"/>
  <c r="AM16" i="41"/>
  <c r="AN16" i="41"/>
  <c r="AO16" i="41"/>
  <c r="AP16" i="41"/>
  <c r="AQ16" i="41"/>
  <c r="AR16" i="41"/>
  <c r="AS16" i="41"/>
  <c r="AT16" i="41"/>
  <c r="AU16" i="41"/>
  <c r="AV16" i="41"/>
  <c r="AW16" i="41"/>
  <c r="AX16" i="41"/>
  <c r="AY16" i="41"/>
  <c r="AZ16" i="41"/>
  <c r="BA16" i="41"/>
  <c r="BB16" i="41"/>
  <c r="BC16" i="41"/>
  <c r="BD16" i="41"/>
  <c r="BE16" i="41"/>
  <c r="BF16" i="41"/>
  <c r="BG16" i="41"/>
  <c r="G17" i="41"/>
  <c r="H17" i="41"/>
  <c r="I17" i="41"/>
  <c r="J17" i="41"/>
  <c r="K17" i="41"/>
  <c r="L17" i="41"/>
  <c r="M17" i="41"/>
  <c r="N17" i="41"/>
  <c r="O17" i="41"/>
  <c r="P17" i="41"/>
  <c r="Q17" i="41"/>
  <c r="R17" i="41"/>
  <c r="S17" i="41"/>
  <c r="T17" i="41"/>
  <c r="U17" i="41"/>
  <c r="V17" i="41"/>
  <c r="W17" i="41"/>
  <c r="X17" i="41"/>
  <c r="Y17" i="41"/>
  <c r="Z17" i="41"/>
  <c r="AA17" i="41"/>
  <c r="AB17" i="41"/>
  <c r="AC17" i="41"/>
  <c r="AD17" i="41"/>
  <c r="AE17" i="41"/>
  <c r="AF17" i="41"/>
  <c r="AG17" i="41"/>
  <c r="AH17" i="41"/>
  <c r="AI17" i="41"/>
  <c r="AJ17" i="41"/>
  <c r="AK17" i="41"/>
  <c r="AL17" i="41"/>
  <c r="AM17" i="41"/>
  <c r="AN17" i="41"/>
  <c r="AO17" i="41"/>
  <c r="AP17" i="41"/>
  <c r="AQ17" i="41"/>
  <c r="AR17" i="41"/>
  <c r="AS17" i="41"/>
  <c r="AT17" i="41"/>
  <c r="AU17" i="41"/>
  <c r="AV17" i="41"/>
  <c r="AW17" i="41"/>
  <c r="AX17" i="41"/>
  <c r="AY17" i="41"/>
  <c r="AZ17" i="41"/>
  <c r="BA17" i="41"/>
  <c r="BB17" i="41"/>
  <c r="BC17" i="41"/>
  <c r="BD17" i="41"/>
  <c r="BE17" i="41"/>
  <c r="BF17" i="41"/>
  <c r="BG17" i="41"/>
  <c r="G18" i="41"/>
  <c r="H18" i="41"/>
  <c r="I18" i="41"/>
  <c r="J18" i="41"/>
  <c r="K18" i="41"/>
  <c r="L18" i="41"/>
  <c r="M18" i="41"/>
  <c r="N18" i="41"/>
  <c r="O18" i="41"/>
  <c r="P18" i="41"/>
  <c r="Q18" i="41"/>
  <c r="R18" i="41"/>
  <c r="S18" i="41"/>
  <c r="T18" i="41"/>
  <c r="U18" i="41"/>
  <c r="V18" i="41"/>
  <c r="W18" i="41"/>
  <c r="X18" i="41"/>
  <c r="Y18" i="41"/>
  <c r="Z18" i="41"/>
  <c r="AA18" i="41"/>
  <c r="AB18" i="41"/>
  <c r="AC18" i="41"/>
  <c r="AD18" i="41"/>
  <c r="AE18" i="41"/>
  <c r="AF18" i="41"/>
  <c r="AG18" i="41"/>
  <c r="AH18" i="41"/>
  <c r="AI18" i="41"/>
  <c r="AJ18" i="41"/>
  <c r="AK18" i="41"/>
  <c r="AL18" i="41"/>
  <c r="AM18" i="41"/>
  <c r="AN18" i="41"/>
  <c r="AO18" i="41"/>
  <c r="AP18" i="41"/>
  <c r="AQ18" i="41"/>
  <c r="AR18" i="41"/>
  <c r="AS18" i="41"/>
  <c r="AT18" i="41"/>
  <c r="AU18" i="41"/>
  <c r="AV18" i="41"/>
  <c r="AW18" i="41"/>
  <c r="AX18" i="41"/>
  <c r="AY18" i="41"/>
  <c r="AZ18" i="41"/>
  <c r="BA18" i="41"/>
  <c r="BB18" i="41"/>
  <c r="BC18" i="41"/>
  <c r="BD18" i="41"/>
  <c r="BE18" i="41"/>
  <c r="BF18" i="41"/>
  <c r="BG18"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AH19" i="41"/>
  <c r="AI19" i="41"/>
  <c r="AJ19" i="41"/>
  <c r="AK19" i="41"/>
  <c r="AL19" i="41"/>
  <c r="AM19" i="41"/>
  <c r="AN19" i="41"/>
  <c r="AO19" i="41"/>
  <c r="AP19" i="41"/>
  <c r="AQ19" i="41"/>
  <c r="AR19" i="41"/>
  <c r="AS19" i="41"/>
  <c r="AT19" i="41"/>
  <c r="AU19" i="41"/>
  <c r="AV19" i="41"/>
  <c r="AW19" i="41"/>
  <c r="AX19" i="41"/>
  <c r="AY19" i="41"/>
  <c r="AZ19" i="41"/>
  <c r="BA19" i="41"/>
  <c r="BB19" i="41"/>
  <c r="BC19" i="41"/>
  <c r="BD19" i="41"/>
  <c r="BE19" i="41"/>
  <c r="BF19" i="41"/>
  <c r="BG19"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AH20" i="41"/>
  <c r="AI20" i="41"/>
  <c r="AJ20" i="41"/>
  <c r="AK20" i="41"/>
  <c r="AL20" i="41"/>
  <c r="AM20" i="41"/>
  <c r="AN20" i="41"/>
  <c r="AO20" i="41"/>
  <c r="AP20" i="41"/>
  <c r="AQ20" i="41"/>
  <c r="AR20" i="41"/>
  <c r="AS20" i="41"/>
  <c r="AT20" i="41"/>
  <c r="AU20" i="41"/>
  <c r="AV20" i="41"/>
  <c r="AW20" i="41"/>
  <c r="AX20" i="41"/>
  <c r="AY20" i="41"/>
  <c r="AZ20" i="41"/>
  <c r="BA20" i="41"/>
  <c r="BB20" i="41"/>
  <c r="BC20" i="41"/>
  <c r="BD20" i="41"/>
  <c r="BE20" i="41"/>
  <c r="BF20" i="41"/>
  <c r="BG20"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AH21" i="41"/>
  <c r="AI21" i="41"/>
  <c r="AJ21" i="41"/>
  <c r="AK21" i="41"/>
  <c r="AL21" i="41"/>
  <c r="AM21" i="41"/>
  <c r="AN21" i="41"/>
  <c r="AO21" i="41"/>
  <c r="AP21" i="41"/>
  <c r="AQ21" i="41"/>
  <c r="AR21" i="41"/>
  <c r="AS21" i="41"/>
  <c r="AT21" i="41"/>
  <c r="AU21" i="41"/>
  <c r="AV21" i="41"/>
  <c r="AW21" i="41"/>
  <c r="AX21" i="41"/>
  <c r="AY21" i="41"/>
  <c r="AZ21" i="41"/>
  <c r="BA21" i="41"/>
  <c r="BB21" i="41"/>
  <c r="BC21" i="41"/>
  <c r="BD21" i="41"/>
  <c r="BE21" i="41"/>
  <c r="BF21" i="41"/>
  <c r="BG21"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AH22" i="41"/>
  <c r="AI22" i="41"/>
  <c r="AJ22" i="41"/>
  <c r="AK22" i="41"/>
  <c r="AL22" i="41"/>
  <c r="AM22" i="41"/>
  <c r="AN22" i="41"/>
  <c r="AO22" i="41"/>
  <c r="AP22" i="41"/>
  <c r="AQ22" i="41"/>
  <c r="AR22" i="41"/>
  <c r="AS22" i="41"/>
  <c r="AT22" i="41"/>
  <c r="AU22" i="41"/>
  <c r="AV22" i="41"/>
  <c r="AW22" i="41"/>
  <c r="AX22" i="41"/>
  <c r="AY22" i="41"/>
  <c r="AZ22" i="41"/>
  <c r="BA22" i="41"/>
  <c r="BB22" i="41"/>
  <c r="BC22" i="41"/>
  <c r="BD22" i="41"/>
  <c r="BE22" i="41"/>
  <c r="BF22" i="41"/>
  <c r="BG22"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AH23" i="41"/>
  <c r="AI23" i="41"/>
  <c r="AJ23" i="41"/>
  <c r="AK23" i="41"/>
  <c r="AL23" i="41"/>
  <c r="AM23" i="41"/>
  <c r="AN23" i="41"/>
  <c r="AO23" i="41"/>
  <c r="AP23" i="41"/>
  <c r="AQ23" i="41"/>
  <c r="AR23" i="41"/>
  <c r="AS23" i="41"/>
  <c r="AT23" i="41"/>
  <c r="AU23" i="41"/>
  <c r="AV23" i="41"/>
  <c r="AW23" i="41"/>
  <c r="AX23" i="41"/>
  <c r="AY23" i="41"/>
  <c r="AZ23" i="41"/>
  <c r="BA23" i="41"/>
  <c r="BB23" i="41"/>
  <c r="BC23" i="41"/>
  <c r="BD23" i="41"/>
  <c r="BE23" i="41"/>
  <c r="BF23" i="41"/>
  <c r="BG23"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AH24" i="41"/>
  <c r="AI24" i="41"/>
  <c r="AJ24" i="41"/>
  <c r="AK24" i="41"/>
  <c r="AL24" i="41"/>
  <c r="AM24" i="41"/>
  <c r="AN24" i="41"/>
  <c r="AO24" i="41"/>
  <c r="AP24" i="41"/>
  <c r="AQ24" i="41"/>
  <c r="AR24" i="41"/>
  <c r="AS24" i="41"/>
  <c r="AT24" i="41"/>
  <c r="AU24" i="41"/>
  <c r="AV24" i="41"/>
  <c r="AW24" i="41"/>
  <c r="AX24" i="41"/>
  <c r="AY24" i="41"/>
  <c r="AZ24" i="41"/>
  <c r="BA24" i="41"/>
  <c r="BB24" i="41"/>
  <c r="BC24" i="41"/>
  <c r="BD24" i="41"/>
  <c r="BE24" i="41"/>
  <c r="BF24" i="41"/>
  <c r="BG24"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AH25" i="41"/>
  <c r="AI25" i="41"/>
  <c r="AJ25" i="41"/>
  <c r="AK25" i="41"/>
  <c r="AL25" i="41"/>
  <c r="AM25" i="41"/>
  <c r="AN25" i="41"/>
  <c r="AO25" i="41"/>
  <c r="AP25" i="41"/>
  <c r="AQ25" i="41"/>
  <c r="AR25" i="41"/>
  <c r="AS25" i="41"/>
  <c r="AT25" i="41"/>
  <c r="AU25" i="41"/>
  <c r="AV25" i="41"/>
  <c r="AW25" i="41"/>
  <c r="AX25" i="41"/>
  <c r="AY25" i="41"/>
  <c r="AZ25" i="41"/>
  <c r="BA25" i="41"/>
  <c r="BB25" i="41"/>
  <c r="BC25" i="41"/>
  <c r="BD25" i="41"/>
  <c r="BD76" i="41" s="1"/>
  <c r="BE25" i="41"/>
  <c r="BF25" i="41"/>
  <c r="BG25"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AH26" i="41"/>
  <c r="AI26" i="41"/>
  <c r="AJ26" i="41"/>
  <c r="AK26" i="41"/>
  <c r="AL26" i="41"/>
  <c r="AM26" i="41"/>
  <c r="AN26" i="41"/>
  <c r="AO26" i="41"/>
  <c r="AP26" i="41"/>
  <c r="AQ26" i="41"/>
  <c r="AR26" i="41"/>
  <c r="AS26" i="41"/>
  <c r="AT26" i="41"/>
  <c r="AU26" i="41"/>
  <c r="AV26" i="41"/>
  <c r="AW26" i="41"/>
  <c r="AX26" i="41"/>
  <c r="AY26" i="41"/>
  <c r="AZ26" i="41"/>
  <c r="BA26" i="41"/>
  <c r="BB26" i="41"/>
  <c r="BC26" i="41"/>
  <c r="BD26" i="41"/>
  <c r="BE26" i="41"/>
  <c r="BF26" i="41"/>
  <c r="BG26"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AH27" i="41"/>
  <c r="AI27" i="41"/>
  <c r="AJ27" i="41"/>
  <c r="AK27" i="41"/>
  <c r="AL27" i="41"/>
  <c r="AM27" i="41"/>
  <c r="AN27" i="41"/>
  <c r="AO27" i="41"/>
  <c r="AP27" i="41"/>
  <c r="AQ27" i="41"/>
  <c r="AR27" i="41"/>
  <c r="AS27" i="41"/>
  <c r="AT27" i="41"/>
  <c r="AU27" i="41"/>
  <c r="AV27" i="41"/>
  <c r="AW27" i="41"/>
  <c r="AX27" i="41"/>
  <c r="AY27" i="41"/>
  <c r="AZ27" i="41"/>
  <c r="BA27" i="41"/>
  <c r="BB27" i="41"/>
  <c r="BC27" i="41"/>
  <c r="BD27" i="41"/>
  <c r="BE27" i="41"/>
  <c r="BF27" i="41"/>
  <c r="BG27"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AH28" i="41"/>
  <c r="AI28" i="41"/>
  <c r="AJ28" i="41"/>
  <c r="AK28" i="41"/>
  <c r="AL28" i="41"/>
  <c r="AM28" i="41"/>
  <c r="AN28" i="41"/>
  <c r="AO28" i="41"/>
  <c r="AP28" i="41"/>
  <c r="AQ28" i="41"/>
  <c r="AR28" i="41"/>
  <c r="AS28" i="41"/>
  <c r="AT28" i="41"/>
  <c r="AU28" i="41"/>
  <c r="AV28" i="41"/>
  <c r="AW28" i="41"/>
  <c r="AX28" i="41"/>
  <c r="AY28" i="41"/>
  <c r="AZ28" i="41"/>
  <c r="BA28" i="41"/>
  <c r="BB28" i="41"/>
  <c r="BC28" i="41"/>
  <c r="BD28" i="41"/>
  <c r="BE28" i="41"/>
  <c r="BF28" i="41"/>
  <c r="BG28" i="41"/>
  <c r="G29" i="41"/>
  <c r="H29" i="41"/>
  <c r="I29" i="41"/>
  <c r="J29" i="41"/>
  <c r="K29" i="41"/>
  <c r="L29" i="41"/>
  <c r="M29" i="41"/>
  <c r="N29" i="41"/>
  <c r="O29" i="41"/>
  <c r="P29" i="41"/>
  <c r="Q29" i="41"/>
  <c r="R29" i="41"/>
  <c r="S29" i="41"/>
  <c r="T29" i="41"/>
  <c r="U29" i="41"/>
  <c r="V29" i="41"/>
  <c r="W29" i="41"/>
  <c r="X29" i="41"/>
  <c r="Y29" i="41"/>
  <c r="Z29" i="41"/>
  <c r="AA29" i="41"/>
  <c r="AB29" i="41"/>
  <c r="AC29" i="41"/>
  <c r="AD29" i="41"/>
  <c r="AE29" i="41"/>
  <c r="AF29" i="41"/>
  <c r="AG29" i="41"/>
  <c r="AH29" i="41"/>
  <c r="AI29" i="41"/>
  <c r="AJ29" i="41"/>
  <c r="AK29" i="41"/>
  <c r="AL29" i="41"/>
  <c r="AM29" i="41"/>
  <c r="AN29" i="41"/>
  <c r="AO29" i="41"/>
  <c r="AP29" i="41"/>
  <c r="AQ29" i="41"/>
  <c r="AR29" i="41"/>
  <c r="AS29" i="41"/>
  <c r="AT29" i="41"/>
  <c r="AU29" i="41"/>
  <c r="AV29" i="41"/>
  <c r="AW29" i="41"/>
  <c r="AX29" i="41"/>
  <c r="AY29" i="41"/>
  <c r="AZ29" i="41"/>
  <c r="BA29" i="41"/>
  <c r="BB29" i="41"/>
  <c r="BC29" i="41"/>
  <c r="BD29" i="41"/>
  <c r="BE29" i="41"/>
  <c r="BF29" i="41"/>
  <c r="BG29"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AH30" i="41"/>
  <c r="AI30" i="41"/>
  <c r="AJ30" i="41"/>
  <c r="AK30" i="41"/>
  <c r="AL30" i="41"/>
  <c r="AM30" i="41"/>
  <c r="AN30" i="41"/>
  <c r="AO30" i="41"/>
  <c r="AP30" i="41"/>
  <c r="AQ30" i="41"/>
  <c r="AR30" i="41"/>
  <c r="AS30" i="41"/>
  <c r="AT30" i="41"/>
  <c r="AU30" i="41"/>
  <c r="AV30" i="41"/>
  <c r="AW30" i="41"/>
  <c r="AX30" i="41"/>
  <c r="AY30" i="41"/>
  <c r="AZ30" i="41"/>
  <c r="BA30" i="41"/>
  <c r="BB30" i="41"/>
  <c r="BC30" i="41"/>
  <c r="BD30" i="41"/>
  <c r="BE30" i="41"/>
  <c r="BF30" i="41"/>
  <c r="BG30"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AH31" i="41"/>
  <c r="AI31" i="41"/>
  <c r="AJ31" i="41"/>
  <c r="AK31" i="41"/>
  <c r="AL31" i="41"/>
  <c r="AM31" i="41"/>
  <c r="AN31" i="41"/>
  <c r="AO31" i="41"/>
  <c r="AP31" i="41"/>
  <c r="AQ31" i="41"/>
  <c r="AR31" i="41"/>
  <c r="AS31" i="41"/>
  <c r="AT31" i="41"/>
  <c r="AU31" i="41"/>
  <c r="AV31" i="41"/>
  <c r="AW31" i="41"/>
  <c r="AX31" i="41"/>
  <c r="AY31" i="41"/>
  <c r="AZ31" i="41"/>
  <c r="BA31" i="41"/>
  <c r="BB31" i="41"/>
  <c r="BC31" i="41"/>
  <c r="BD31" i="41"/>
  <c r="BE31" i="41"/>
  <c r="BF31" i="41"/>
  <c r="BG31"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AH32" i="41"/>
  <c r="AI32" i="41"/>
  <c r="AJ32" i="41"/>
  <c r="AK32" i="41"/>
  <c r="AL32" i="41"/>
  <c r="AM32" i="41"/>
  <c r="AN32" i="41"/>
  <c r="AO32" i="41"/>
  <c r="AP32" i="41"/>
  <c r="AQ32" i="41"/>
  <c r="AR32" i="41"/>
  <c r="AS32" i="41"/>
  <c r="AT32" i="41"/>
  <c r="AU32" i="41"/>
  <c r="AV32" i="41"/>
  <c r="AW32" i="41"/>
  <c r="AX32" i="41"/>
  <c r="AY32" i="41"/>
  <c r="AZ32" i="41"/>
  <c r="BA32" i="41"/>
  <c r="BB32" i="41"/>
  <c r="BC32" i="41"/>
  <c r="BD32" i="41"/>
  <c r="BE32" i="41"/>
  <c r="BF32" i="41"/>
  <c r="BG32"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AH33" i="41"/>
  <c r="AI33" i="41"/>
  <c r="AJ33" i="41"/>
  <c r="AK33" i="41"/>
  <c r="AL33" i="41"/>
  <c r="AM33" i="41"/>
  <c r="AN33" i="41"/>
  <c r="AO33" i="41"/>
  <c r="AP33" i="41"/>
  <c r="AQ33" i="41"/>
  <c r="AR33" i="41"/>
  <c r="AS33" i="41"/>
  <c r="AT33" i="41"/>
  <c r="AU33" i="41"/>
  <c r="AV33" i="41"/>
  <c r="AW33" i="41"/>
  <c r="AX33" i="41"/>
  <c r="AY33" i="41"/>
  <c r="AZ33" i="41"/>
  <c r="BA33" i="41"/>
  <c r="BB33" i="41"/>
  <c r="BC33" i="41"/>
  <c r="BD33" i="41"/>
  <c r="BE33" i="41"/>
  <c r="BF33" i="41"/>
  <c r="BG33"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AH34" i="41"/>
  <c r="AI34" i="41"/>
  <c r="AJ34" i="41"/>
  <c r="AK34" i="41"/>
  <c r="AL34" i="41"/>
  <c r="AM34" i="41"/>
  <c r="AN34" i="41"/>
  <c r="AO34" i="41"/>
  <c r="AP34" i="41"/>
  <c r="AQ34" i="41"/>
  <c r="AR34" i="41"/>
  <c r="AS34" i="41"/>
  <c r="AT34" i="41"/>
  <c r="AU34" i="41"/>
  <c r="AV34" i="41"/>
  <c r="AW34" i="41"/>
  <c r="AX34" i="41"/>
  <c r="AY34" i="41"/>
  <c r="AZ34" i="41"/>
  <c r="BA34" i="41"/>
  <c r="BB34" i="41"/>
  <c r="BC34" i="41"/>
  <c r="BD34" i="41"/>
  <c r="BE34" i="41"/>
  <c r="BF34" i="41"/>
  <c r="BG34"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AH35" i="41"/>
  <c r="AI35" i="41"/>
  <c r="AJ35" i="41"/>
  <c r="AK35" i="41"/>
  <c r="AL35" i="41"/>
  <c r="AM35" i="41"/>
  <c r="AN35" i="41"/>
  <c r="AO35" i="41"/>
  <c r="AP35" i="41"/>
  <c r="AQ35" i="41"/>
  <c r="AR35" i="41"/>
  <c r="AS35" i="41"/>
  <c r="AT35" i="41"/>
  <c r="AU35" i="41"/>
  <c r="AV35" i="41"/>
  <c r="AW35" i="41"/>
  <c r="AX35" i="41"/>
  <c r="AY35" i="41"/>
  <c r="AZ35" i="41"/>
  <c r="BA35" i="41"/>
  <c r="BB35" i="41"/>
  <c r="BC35" i="41"/>
  <c r="BD35" i="41"/>
  <c r="BE35" i="41"/>
  <c r="BF35" i="41"/>
  <c r="BG35"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AH36" i="41"/>
  <c r="AI36" i="41"/>
  <c r="AJ36" i="41"/>
  <c r="AK36" i="41"/>
  <c r="AL36" i="41"/>
  <c r="AM36" i="41"/>
  <c r="AN36" i="41"/>
  <c r="AO36" i="41"/>
  <c r="AP36" i="41"/>
  <c r="AQ36" i="41"/>
  <c r="AR36" i="41"/>
  <c r="AS36" i="41"/>
  <c r="AT36" i="41"/>
  <c r="AU36" i="41"/>
  <c r="AV36" i="41"/>
  <c r="AW36" i="41"/>
  <c r="AX36" i="41"/>
  <c r="AY36" i="41"/>
  <c r="AZ36" i="41"/>
  <c r="BA36" i="41"/>
  <c r="BB36" i="41"/>
  <c r="BC36" i="41"/>
  <c r="BD36" i="41"/>
  <c r="BE36" i="41"/>
  <c r="BF36" i="41"/>
  <c r="BG36"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AH37" i="41"/>
  <c r="AI37" i="41"/>
  <c r="AJ37" i="41"/>
  <c r="AK37" i="41"/>
  <c r="AL37" i="41"/>
  <c r="AM37" i="41"/>
  <c r="AN37" i="41"/>
  <c r="AO37" i="41"/>
  <c r="AP37" i="41"/>
  <c r="AQ37" i="41"/>
  <c r="AR37" i="41"/>
  <c r="AS37" i="41"/>
  <c r="AT37" i="41"/>
  <c r="AU37" i="41"/>
  <c r="AV37" i="41"/>
  <c r="AW37" i="41"/>
  <c r="AX37" i="41"/>
  <c r="AY37" i="41"/>
  <c r="AZ37" i="41"/>
  <c r="BA37" i="41"/>
  <c r="BB37" i="41"/>
  <c r="BC37" i="41"/>
  <c r="BD37" i="41"/>
  <c r="BE37" i="41"/>
  <c r="BF37" i="41"/>
  <c r="BG37"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AH38" i="41"/>
  <c r="AI38" i="41"/>
  <c r="AJ38" i="41"/>
  <c r="AK38" i="41"/>
  <c r="AL38" i="41"/>
  <c r="AM38" i="41"/>
  <c r="AN38" i="41"/>
  <c r="AO38" i="41"/>
  <c r="AP38" i="41"/>
  <c r="AQ38" i="41"/>
  <c r="AR38" i="41"/>
  <c r="AS38" i="41"/>
  <c r="AT38" i="41"/>
  <c r="AU38" i="41"/>
  <c r="AV38" i="41"/>
  <c r="AW38" i="41"/>
  <c r="AX38" i="41"/>
  <c r="AY38" i="41"/>
  <c r="AZ38" i="41"/>
  <c r="BA38" i="41"/>
  <c r="BB38" i="41"/>
  <c r="BC38" i="41"/>
  <c r="BD38" i="41"/>
  <c r="BE38" i="41"/>
  <c r="BF38" i="41"/>
  <c r="BG38"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AH39" i="41"/>
  <c r="AI39" i="41"/>
  <c r="AJ39" i="41"/>
  <c r="AK39" i="41"/>
  <c r="AL39" i="41"/>
  <c r="AM39" i="41"/>
  <c r="AN39" i="41"/>
  <c r="AO39" i="41"/>
  <c r="AP39" i="41"/>
  <c r="AQ39" i="41"/>
  <c r="AR39" i="41"/>
  <c r="AS39" i="41"/>
  <c r="AT39" i="41"/>
  <c r="AU39" i="41"/>
  <c r="AV39" i="41"/>
  <c r="AW39" i="41"/>
  <c r="AX39" i="41"/>
  <c r="AY39" i="41"/>
  <c r="AZ39" i="41"/>
  <c r="BA39" i="41"/>
  <c r="BB39" i="41"/>
  <c r="BC39" i="41"/>
  <c r="BD39" i="41"/>
  <c r="BE39" i="41"/>
  <c r="BF39" i="41"/>
  <c r="BG39" i="41"/>
  <c r="G40" i="41"/>
  <c r="H40" i="41"/>
  <c r="I40" i="41"/>
  <c r="J40" i="41"/>
  <c r="K40" i="41"/>
  <c r="L40" i="41"/>
  <c r="M40" i="41"/>
  <c r="N40" i="41"/>
  <c r="O40" i="41"/>
  <c r="P40" i="41"/>
  <c r="Q40" i="41"/>
  <c r="R40" i="41"/>
  <c r="S40" i="41"/>
  <c r="T40" i="41"/>
  <c r="U40" i="41"/>
  <c r="V40" i="41"/>
  <c r="W40" i="41"/>
  <c r="X40" i="41"/>
  <c r="Y40" i="41"/>
  <c r="Z40" i="41"/>
  <c r="AA40" i="41"/>
  <c r="AB40" i="41"/>
  <c r="AC40" i="41"/>
  <c r="AD40" i="41"/>
  <c r="AE40" i="41"/>
  <c r="AF40" i="41"/>
  <c r="AG40" i="41"/>
  <c r="AH40" i="41"/>
  <c r="AI40" i="41"/>
  <c r="AJ40" i="41"/>
  <c r="AK40" i="41"/>
  <c r="AL40" i="41"/>
  <c r="AM40" i="41"/>
  <c r="AN40" i="41"/>
  <c r="AO40" i="41"/>
  <c r="AP40" i="41"/>
  <c r="AQ40" i="41"/>
  <c r="AR40" i="41"/>
  <c r="AS40" i="41"/>
  <c r="AT40" i="41"/>
  <c r="AU40" i="41"/>
  <c r="AV40" i="41"/>
  <c r="AW40" i="41"/>
  <c r="AX40" i="41"/>
  <c r="AY40" i="41"/>
  <c r="AZ40" i="41"/>
  <c r="BA40" i="41"/>
  <c r="BB40" i="41"/>
  <c r="BC40" i="41"/>
  <c r="BD40" i="41"/>
  <c r="BE40" i="41"/>
  <c r="BF40" i="41"/>
  <c r="BG40"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AH41" i="41"/>
  <c r="AI41" i="41"/>
  <c r="AJ41" i="41"/>
  <c r="AK41" i="41"/>
  <c r="AL41" i="41"/>
  <c r="AM41" i="41"/>
  <c r="AN41" i="41"/>
  <c r="AO41" i="41"/>
  <c r="AP41" i="41"/>
  <c r="AQ41" i="41"/>
  <c r="AR41" i="41"/>
  <c r="AS41" i="41"/>
  <c r="AT41" i="41"/>
  <c r="AU41" i="41"/>
  <c r="AV41" i="41"/>
  <c r="AW41" i="41"/>
  <c r="AX41" i="41"/>
  <c r="AY41" i="41"/>
  <c r="AZ41" i="41"/>
  <c r="BA41" i="41"/>
  <c r="BB41" i="41"/>
  <c r="BC41" i="41"/>
  <c r="BD41" i="41"/>
  <c r="BE41" i="41"/>
  <c r="BF41" i="41"/>
  <c r="BG41"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AH42" i="41"/>
  <c r="AI42" i="41"/>
  <c r="AJ42" i="41"/>
  <c r="AK42" i="41"/>
  <c r="AL42" i="41"/>
  <c r="AM42" i="41"/>
  <c r="AN42" i="41"/>
  <c r="AO42" i="41"/>
  <c r="AP42" i="41"/>
  <c r="AQ42" i="41"/>
  <c r="AR42" i="41"/>
  <c r="AS42" i="41"/>
  <c r="AT42" i="41"/>
  <c r="AU42" i="41"/>
  <c r="AV42" i="41"/>
  <c r="AW42" i="41"/>
  <c r="AX42" i="41"/>
  <c r="AY42" i="41"/>
  <c r="AZ42" i="41"/>
  <c r="BA42" i="41"/>
  <c r="BB42" i="41"/>
  <c r="BC42" i="41"/>
  <c r="BD42" i="41"/>
  <c r="BE42" i="41"/>
  <c r="BF42" i="41"/>
  <c r="BG42"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AH43" i="41"/>
  <c r="AI43" i="41"/>
  <c r="AJ43" i="41"/>
  <c r="AK43" i="41"/>
  <c r="AL43" i="41"/>
  <c r="AM43" i="41"/>
  <c r="AN43" i="41"/>
  <c r="AO43" i="41"/>
  <c r="AP43" i="41"/>
  <c r="AQ43" i="41"/>
  <c r="AR43" i="41"/>
  <c r="AS43" i="41"/>
  <c r="AT43" i="41"/>
  <c r="AU43" i="41"/>
  <c r="AV43" i="41"/>
  <c r="AW43" i="41"/>
  <c r="AX43" i="41"/>
  <c r="AY43" i="41"/>
  <c r="AZ43" i="41"/>
  <c r="BA43" i="41"/>
  <c r="BB43" i="41"/>
  <c r="BC43" i="41"/>
  <c r="BD43" i="41"/>
  <c r="BE43" i="41"/>
  <c r="BF43" i="41"/>
  <c r="BG43"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AH44" i="41"/>
  <c r="AI44" i="41"/>
  <c r="AJ44" i="41"/>
  <c r="AK44" i="41"/>
  <c r="AL44" i="41"/>
  <c r="AM44" i="41"/>
  <c r="AN44" i="41"/>
  <c r="AO44" i="41"/>
  <c r="AP44" i="41"/>
  <c r="AQ44" i="41"/>
  <c r="AR44" i="41"/>
  <c r="AS44" i="41"/>
  <c r="AT44" i="41"/>
  <c r="AU44" i="41"/>
  <c r="AV44" i="41"/>
  <c r="AW44" i="41"/>
  <c r="AX44" i="41"/>
  <c r="AY44" i="41"/>
  <c r="AZ44" i="41"/>
  <c r="BA44" i="41"/>
  <c r="BB44" i="41"/>
  <c r="BC44" i="41"/>
  <c r="BD44" i="41"/>
  <c r="BE44" i="41"/>
  <c r="BF44" i="41"/>
  <c r="BG44"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AH45" i="41"/>
  <c r="AI45" i="41"/>
  <c r="AJ45" i="41"/>
  <c r="AK45" i="41"/>
  <c r="AL45" i="41"/>
  <c r="AM45" i="41"/>
  <c r="AN45" i="41"/>
  <c r="AO45" i="41"/>
  <c r="AP45" i="41"/>
  <c r="AQ45" i="41"/>
  <c r="AR45" i="41"/>
  <c r="AS45" i="41"/>
  <c r="AT45" i="41"/>
  <c r="AU45" i="41"/>
  <c r="AV45" i="41"/>
  <c r="AW45" i="41"/>
  <c r="AX45" i="41"/>
  <c r="AY45" i="41"/>
  <c r="AZ45" i="41"/>
  <c r="BA45" i="41"/>
  <c r="BB45" i="41"/>
  <c r="BC45" i="41"/>
  <c r="BD45" i="41"/>
  <c r="BE45" i="41"/>
  <c r="BF45" i="41"/>
  <c r="BG45"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AH46" i="41"/>
  <c r="AI46" i="41"/>
  <c r="AJ46" i="41"/>
  <c r="AK46" i="41"/>
  <c r="AL46" i="41"/>
  <c r="AM46" i="41"/>
  <c r="AN46" i="41"/>
  <c r="AO46" i="41"/>
  <c r="AP46" i="41"/>
  <c r="AQ46" i="41"/>
  <c r="AR46" i="41"/>
  <c r="AS46" i="41"/>
  <c r="AT46" i="41"/>
  <c r="AU46" i="41"/>
  <c r="AV46" i="41"/>
  <c r="AW46" i="41"/>
  <c r="AX46" i="41"/>
  <c r="AY46" i="41"/>
  <c r="AZ46" i="41"/>
  <c r="BA46" i="41"/>
  <c r="BB46" i="41"/>
  <c r="BC46" i="41"/>
  <c r="BD46" i="41"/>
  <c r="BE46" i="41"/>
  <c r="BF46" i="41"/>
  <c r="BG46"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AH47" i="41"/>
  <c r="AI47" i="41"/>
  <c r="AJ47" i="41"/>
  <c r="AK47" i="41"/>
  <c r="AL47" i="41"/>
  <c r="AM47" i="41"/>
  <c r="AN47" i="41"/>
  <c r="AO47" i="41"/>
  <c r="AP47" i="41"/>
  <c r="AQ47" i="41"/>
  <c r="AR47" i="41"/>
  <c r="AS47" i="41"/>
  <c r="AT47" i="41"/>
  <c r="AU47" i="41"/>
  <c r="AV47" i="41"/>
  <c r="AW47" i="41"/>
  <c r="AX47" i="41"/>
  <c r="AY47" i="41"/>
  <c r="AZ47" i="41"/>
  <c r="BA47" i="41"/>
  <c r="BB47" i="41"/>
  <c r="BC47" i="41"/>
  <c r="BD47" i="41"/>
  <c r="BE47" i="41"/>
  <c r="BF47" i="41"/>
  <c r="BG47"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AH48" i="41"/>
  <c r="AI48" i="41"/>
  <c r="AJ48" i="41"/>
  <c r="AK48" i="41"/>
  <c r="AL48" i="41"/>
  <c r="AM48" i="41"/>
  <c r="AN48" i="41"/>
  <c r="AO48" i="41"/>
  <c r="AP48" i="41"/>
  <c r="AQ48" i="41"/>
  <c r="AR48" i="41"/>
  <c r="AS48" i="41"/>
  <c r="AT48" i="41"/>
  <c r="AU48" i="41"/>
  <c r="AV48" i="41"/>
  <c r="AW48" i="41"/>
  <c r="AX48" i="41"/>
  <c r="AY48" i="41"/>
  <c r="AZ48" i="41"/>
  <c r="BA48" i="41"/>
  <c r="BB48" i="41"/>
  <c r="BC48" i="41"/>
  <c r="BD48" i="41"/>
  <c r="BE48" i="41"/>
  <c r="BF48" i="41"/>
  <c r="BG48"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AH49" i="41"/>
  <c r="AI49" i="41"/>
  <c r="AJ49" i="41"/>
  <c r="AK49" i="41"/>
  <c r="AL49" i="41"/>
  <c r="AM49" i="41"/>
  <c r="AN49" i="41"/>
  <c r="AO49" i="41"/>
  <c r="AP49" i="41"/>
  <c r="AQ49" i="41"/>
  <c r="AR49" i="41"/>
  <c r="AS49" i="41"/>
  <c r="AT49" i="41"/>
  <c r="AU49" i="41"/>
  <c r="AV49" i="41"/>
  <c r="AW49" i="41"/>
  <c r="AX49" i="41"/>
  <c r="AY49" i="41"/>
  <c r="AZ49" i="41"/>
  <c r="BA49" i="41"/>
  <c r="BB49" i="41"/>
  <c r="BC49" i="41"/>
  <c r="BD49" i="41"/>
  <c r="BE49" i="41"/>
  <c r="BF49" i="41"/>
  <c r="BG49"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AH50" i="41"/>
  <c r="AI50" i="41"/>
  <c r="AJ50" i="41"/>
  <c r="AK50" i="41"/>
  <c r="AL50" i="41"/>
  <c r="AM50" i="41"/>
  <c r="AN50" i="41"/>
  <c r="AO50" i="41"/>
  <c r="AP50" i="41"/>
  <c r="AQ50" i="41"/>
  <c r="AR50" i="41"/>
  <c r="AS50" i="41"/>
  <c r="AT50" i="41"/>
  <c r="AU50" i="41"/>
  <c r="AV50" i="41"/>
  <c r="AW50" i="41"/>
  <c r="AX50" i="41"/>
  <c r="AY50" i="41"/>
  <c r="AZ50" i="41"/>
  <c r="BA50" i="41"/>
  <c r="BB50" i="41"/>
  <c r="BC50" i="41"/>
  <c r="BD50" i="41"/>
  <c r="BE50" i="41"/>
  <c r="BF50" i="41"/>
  <c r="BG50"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AH51" i="41"/>
  <c r="AI51" i="41"/>
  <c r="AJ51" i="41"/>
  <c r="AK51" i="41"/>
  <c r="AL51" i="41"/>
  <c r="AM51" i="41"/>
  <c r="AN51" i="41"/>
  <c r="AO51" i="41"/>
  <c r="AP51" i="41"/>
  <c r="AQ51" i="41"/>
  <c r="AR51" i="41"/>
  <c r="AS51" i="41"/>
  <c r="AT51" i="41"/>
  <c r="AU51" i="41"/>
  <c r="AV51" i="41"/>
  <c r="AW51" i="41"/>
  <c r="AX51" i="41"/>
  <c r="AY51" i="41"/>
  <c r="AZ51" i="41"/>
  <c r="BA51" i="41"/>
  <c r="BB51" i="41"/>
  <c r="BC51" i="41"/>
  <c r="BD51" i="41"/>
  <c r="BE51" i="41"/>
  <c r="BF51" i="41"/>
  <c r="BG51" i="41"/>
  <c r="G52" i="41"/>
  <c r="H52" i="41"/>
  <c r="I52" i="41"/>
  <c r="J52" i="41"/>
  <c r="K52" i="41"/>
  <c r="L52" i="41"/>
  <c r="M52" i="41"/>
  <c r="N52" i="41"/>
  <c r="O52" i="41"/>
  <c r="P52" i="41"/>
  <c r="Q52" i="41"/>
  <c r="R52" i="41"/>
  <c r="S52" i="41"/>
  <c r="T52" i="41"/>
  <c r="U52" i="41"/>
  <c r="V52" i="41"/>
  <c r="W52" i="41"/>
  <c r="X52" i="41"/>
  <c r="Y52" i="41"/>
  <c r="Z52" i="41"/>
  <c r="AA52" i="41"/>
  <c r="AB52" i="41"/>
  <c r="AC52" i="41"/>
  <c r="AD52" i="41"/>
  <c r="AE52" i="41"/>
  <c r="AF52" i="41"/>
  <c r="AG52" i="41"/>
  <c r="AH52" i="41"/>
  <c r="AI52" i="41"/>
  <c r="AJ52" i="41"/>
  <c r="AK52" i="41"/>
  <c r="AL52" i="41"/>
  <c r="AM52" i="41"/>
  <c r="AN52" i="41"/>
  <c r="AO52" i="41"/>
  <c r="AP52" i="41"/>
  <c r="AQ52" i="41"/>
  <c r="AR52" i="41"/>
  <c r="AS52" i="41"/>
  <c r="AT52" i="41"/>
  <c r="AU52" i="41"/>
  <c r="AV52" i="41"/>
  <c r="AW52" i="41"/>
  <c r="AX52" i="41"/>
  <c r="AY52" i="41"/>
  <c r="AZ52" i="41"/>
  <c r="BA52" i="41"/>
  <c r="BB52" i="41"/>
  <c r="BC52" i="41"/>
  <c r="BD52" i="41"/>
  <c r="BE52" i="41"/>
  <c r="BF52" i="41"/>
  <c r="BG52" i="41"/>
  <c r="G53" i="41"/>
  <c r="H53" i="41"/>
  <c r="I53" i="41"/>
  <c r="J53" i="41"/>
  <c r="K53" i="41"/>
  <c r="L53" i="41"/>
  <c r="M53" i="41"/>
  <c r="N53" i="41"/>
  <c r="O53" i="41"/>
  <c r="P53" i="41"/>
  <c r="Q53" i="41"/>
  <c r="R53" i="41"/>
  <c r="S53" i="41"/>
  <c r="T53" i="41"/>
  <c r="U53" i="41"/>
  <c r="V53" i="41"/>
  <c r="W53" i="41"/>
  <c r="X53" i="41"/>
  <c r="Y53" i="41"/>
  <c r="Z53" i="41"/>
  <c r="AA53" i="41"/>
  <c r="AB53" i="41"/>
  <c r="AC53" i="41"/>
  <c r="AD53" i="41"/>
  <c r="AE53" i="41"/>
  <c r="AF53" i="41"/>
  <c r="AG53" i="41"/>
  <c r="AH53" i="41"/>
  <c r="AI53" i="41"/>
  <c r="AJ53" i="41"/>
  <c r="AK53" i="41"/>
  <c r="AL53" i="41"/>
  <c r="AM53" i="41"/>
  <c r="AN53" i="41"/>
  <c r="AO53" i="41"/>
  <c r="AP53" i="41"/>
  <c r="AQ53" i="41"/>
  <c r="AR53" i="41"/>
  <c r="AS53" i="41"/>
  <c r="AT53" i="41"/>
  <c r="AU53" i="41"/>
  <c r="AV53" i="41"/>
  <c r="AW53" i="41"/>
  <c r="AX53" i="41"/>
  <c r="AY53" i="41"/>
  <c r="AZ53" i="41"/>
  <c r="BA53" i="41"/>
  <c r="BB53" i="41"/>
  <c r="BC53" i="41"/>
  <c r="BD53" i="41"/>
  <c r="BE53" i="41"/>
  <c r="BF53" i="41"/>
  <c r="BG53" i="41"/>
  <c r="G54" i="41"/>
  <c r="H54" i="41"/>
  <c r="I54" i="41"/>
  <c r="J54" i="41"/>
  <c r="K54" i="41"/>
  <c r="L54" i="41"/>
  <c r="M54" i="41"/>
  <c r="N54" i="41"/>
  <c r="O54" i="41"/>
  <c r="P54" i="41"/>
  <c r="Q54" i="41"/>
  <c r="R54" i="41"/>
  <c r="S54" i="41"/>
  <c r="T54" i="41"/>
  <c r="U54" i="41"/>
  <c r="V54" i="41"/>
  <c r="W54" i="41"/>
  <c r="X54" i="41"/>
  <c r="Y54" i="41"/>
  <c r="Z54" i="41"/>
  <c r="AA54" i="41"/>
  <c r="AB54" i="41"/>
  <c r="AC54" i="41"/>
  <c r="AD54" i="41"/>
  <c r="AE54" i="41"/>
  <c r="AF54" i="41"/>
  <c r="AG54" i="41"/>
  <c r="AH54" i="41"/>
  <c r="AI54" i="41"/>
  <c r="AJ54" i="41"/>
  <c r="AK54" i="41"/>
  <c r="AL54" i="41"/>
  <c r="AM54" i="41"/>
  <c r="AN54" i="41"/>
  <c r="AO54" i="41"/>
  <c r="AP54" i="41"/>
  <c r="AQ54" i="41"/>
  <c r="AR54" i="41"/>
  <c r="AS54" i="41"/>
  <c r="AT54" i="41"/>
  <c r="AU54" i="41"/>
  <c r="AV54" i="41"/>
  <c r="AW54" i="41"/>
  <c r="AX54" i="41"/>
  <c r="AY54" i="41"/>
  <c r="AZ54" i="41"/>
  <c r="BA54" i="41"/>
  <c r="BB54" i="41"/>
  <c r="BC54" i="41"/>
  <c r="BD54" i="41"/>
  <c r="BE54" i="41"/>
  <c r="BF54" i="41"/>
  <c r="BG54"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AH55" i="41"/>
  <c r="AI55" i="41"/>
  <c r="AJ55" i="41"/>
  <c r="AK55" i="41"/>
  <c r="AL55" i="41"/>
  <c r="AM55" i="41"/>
  <c r="AN55" i="41"/>
  <c r="AO55" i="41"/>
  <c r="AP55" i="41"/>
  <c r="AQ55" i="41"/>
  <c r="AR55" i="41"/>
  <c r="AS55" i="41"/>
  <c r="AT55" i="41"/>
  <c r="AU55" i="41"/>
  <c r="AV55" i="41"/>
  <c r="AW55" i="41"/>
  <c r="AX55" i="41"/>
  <c r="AY55" i="41"/>
  <c r="AZ55" i="41"/>
  <c r="BA55" i="41"/>
  <c r="BB55" i="41"/>
  <c r="BC55" i="41"/>
  <c r="BD55" i="41"/>
  <c r="BE55" i="41"/>
  <c r="BF55" i="41"/>
  <c r="BG55"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AH56" i="41"/>
  <c r="AI56" i="41"/>
  <c r="AJ56" i="41"/>
  <c r="AK56" i="41"/>
  <c r="AL56" i="41"/>
  <c r="AM56" i="41"/>
  <c r="AN56" i="41"/>
  <c r="AO56" i="41"/>
  <c r="AP56" i="41"/>
  <c r="AQ56" i="41"/>
  <c r="AR56" i="41"/>
  <c r="AS56" i="41"/>
  <c r="AT56" i="41"/>
  <c r="AU56" i="41"/>
  <c r="AV56" i="41"/>
  <c r="AW56" i="41"/>
  <c r="AX56" i="41"/>
  <c r="AY56" i="41"/>
  <c r="AZ56" i="41"/>
  <c r="BA56" i="41"/>
  <c r="BB56" i="41"/>
  <c r="BC56" i="41"/>
  <c r="BD56" i="41"/>
  <c r="BE56" i="41"/>
  <c r="BF56" i="41"/>
  <c r="BG56"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AH57" i="41"/>
  <c r="AI57" i="41"/>
  <c r="AJ57" i="41"/>
  <c r="AK57" i="41"/>
  <c r="AL57" i="41"/>
  <c r="AM57" i="41"/>
  <c r="AN57" i="41"/>
  <c r="AO57" i="41"/>
  <c r="AP57" i="41"/>
  <c r="AQ57" i="41"/>
  <c r="AR57" i="41"/>
  <c r="AS57" i="41"/>
  <c r="AT57" i="41"/>
  <c r="AU57" i="41"/>
  <c r="AV57" i="41"/>
  <c r="AW57" i="41"/>
  <c r="AX57" i="41"/>
  <c r="AY57" i="41"/>
  <c r="AZ57" i="41"/>
  <c r="BA57" i="41"/>
  <c r="BB57" i="41"/>
  <c r="BC57" i="41"/>
  <c r="BD57" i="41"/>
  <c r="BE57" i="41"/>
  <c r="BF57" i="41"/>
  <c r="BG57"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AH58" i="41"/>
  <c r="AI58" i="41"/>
  <c r="AJ58" i="41"/>
  <c r="AK58" i="41"/>
  <c r="AL58" i="41"/>
  <c r="AM58" i="41"/>
  <c r="AN58" i="41"/>
  <c r="AO58" i="41"/>
  <c r="AP58" i="41"/>
  <c r="AQ58" i="41"/>
  <c r="AR58" i="41"/>
  <c r="AS58" i="41"/>
  <c r="AT58" i="41"/>
  <c r="AU58" i="41"/>
  <c r="AV58" i="41"/>
  <c r="AW58" i="41"/>
  <c r="AX58" i="41"/>
  <c r="AY58" i="41"/>
  <c r="AZ58" i="41"/>
  <c r="BA58" i="41"/>
  <c r="BB58" i="41"/>
  <c r="BC58" i="41"/>
  <c r="BD58" i="41"/>
  <c r="BE58" i="41"/>
  <c r="BF58" i="41"/>
  <c r="BG58"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AH59" i="41"/>
  <c r="AI59" i="41"/>
  <c r="AJ59" i="41"/>
  <c r="AK59" i="41"/>
  <c r="AL59" i="41"/>
  <c r="AM59" i="41"/>
  <c r="AN59" i="41"/>
  <c r="AO59" i="41"/>
  <c r="AP59" i="41"/>
  <c r="AQ59" i="41"/>
  <c r="AR59" i="41"/>
  <c r="AS59" i="41"/>
  <c r="AT59" i="41"/>
  <c r="AU59" i="41"/>
  <c r="AV59" i="41"/>
  <c r="AW59" i="41"/>
  <c r="AX59" i="41"/>
  <c r="AY59" i="41"/>
  <c r="AZ59" i="41"/>
  <c r="BA59" i="41"/>
  <c r="BB59" i="41"/>
  <c r="BC59" i="41"/>
  <c r="BD59" i="41"/>
  <c r="BE59" i="41"/>
  <c r="BF59" i="41"/>
  <c r="BG59"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AH60" i="41"/>
  <c r="AI60" i="41"/>
  <c r="AJ60" i="41"/>
  <c r="AK60" i="41"/>
  <c r="AL60" i="41"/>
  <c r="AM60" i="41"/>
  <c r="AN60" i="41"/>
  <c r="AO60" i="41"/>
  <c r="AP60" i="41"/>
  <c r="AQ60" i="41"/>
  <c r="AR60" i="41"/>
  <c r="AS60" i="41"/>
  <c r="AT60" i="41"/>
  <c r="AU60" i="41"/>
  <c r="AV60" i="41"/>
  <c r="AW60" i="41"/>
  <c r="AX60" i="41"/>
  <c r="AY60" i="41"/>
  <c r="AZ60" i="41"/>
  <c r="BA60" i="41"/>
  <c r="BB60" i="41"/>
  <c r="BC60" i="41"/>
  <c r="BD60" i="41"/>
  <c r="BE60" i="41"/>
  <c r="BF60" i="41"/>
  <c r="BG60"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AH61" i="41"/>
  <c r="AI61" i="41"/>
  <c r="AJ61" i="41"/>
  <c r="AK61" i="41"/>
  <c r="AL61" i="41"/>
  <c r="AM61" i="41"/>
  <c r="AN61" i="41"/>
  <c r="AO61" i="41"/>
  <c r="AP61" i="41"/>
  <c r="AQ61" i="41"/>
  <c r="AR61" i="41"/>
  <c r="AS61" i="41"/>
  <c r="AT61" i="41"/>
  <c r="AU61" i="41"/>
  <c r="AV61" i="41"/>
  <c r="AW61" i="41"/>
  <c r="AX61" i="41"/>
  <c r="AY61" i="41"/>
  <c r="AZ61" i="41"/>
  <c r="BA61" i="41"/>
  <c r="BB61" i="41"/>
  <c r="BC61" i="41"/>
  <c r="BD61" i="41"/>
  <c r="BE61" i="41"/>
  <c r="BF61" i="41"/>
  <c r="BG61"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AH62" i="41"/>
  <c r="AI62" i="41"/>
  <c r="AJ62" i="41"/>
  <c r="AK62" i="41"/>
  <c r="AL62" i="41"/>
  <c r="AM62" i="41"/>
  <c r="AN62" i="41"/>
  <c r="AO62" i="41"/>
  <c r="AP62" i="41"/>
  <c r="AQ62" i="41"/>
  <c r="AR62" i="41"/>
  <c r="AS62" i="41"/>
  <c r="AT62" i="41"/>
  <c r="AU62" i="41"/>
  <c r="AV62" i="41"/>
  <c r="AW62" i="41"/>
  <c r="AX62" i="41"/>
  <c r="AY62" i="41"/>
  <c r="AZ62" i="41"/>
  <c r="BA62" i="41"/>
  <c r="BB62" i="41"/>
  <c r="BC62" i="41"/>
  <c r="BD62" i="41"/>
  <c r="BE62" i="41"/>
  <c r="BF62" i="41"/>
  <c r="BG62"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AH63" i="41"/>
  <c r="AI63" i="41"/>
  <c r="AJ63" i="41"/>
  <c r="AK63" i="41"/>
  <c r="AL63" i="41"/>
  <c r="AM63" i="41"/>
  <c r="AN63" i="41"/>
  <c r="AO63" i="41"/>
  <c r="AP63" i="41"/>
  <c r="AQ63" i="41"/>
  <c r="AR63" i="41"/>
  <c r="AS63" i="41"/>
  <c r="AT63" i="41"/>
  <c r="AU63" i="41"/>
  <c r="AV63" i="41"/>
  <c r="AW63" i="41"/>
  <c r="AX63" i="41"/>
  <c r="AY63" i="41"/>
  <c r="AZ63" i="41"/>
  <c r="BA63" i="41"/>
  <c r="BB63" i="41"/>
  <c r="BC63" i="41"/>
  <c r="BD63" i="41"/>
  <c r="BE63" i="41"/>
  <c r="BF63" i="41"/>
  <c r="BG63"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AH64" i="41"/>
  <c r="AI64" i="41"/>
  <c r="AJ64" i="41"/>
  <c r="AK64" i="41"/>
  <c r="AL64" i="41"/>
  <c r="AM64" i="41"/>
  <c r="AN64" i="41"/>
  <c r="AO64" i="41"/>
  <c r="AP64" i="41"/>
  <c r="AQ64" i="41"/>
  <c r="AR64" i="41"/>
  <c r="AS64" i="41"/>
  <c r="AT64" i="41"/>
  <c r="AU64" i="41"/>
  <c r="AV64" i="41"/>
  <c r="AW64" i="41"/>
  <c r="AX64" i="41"/>
  <c r="AY64" i="41"/>
  <c r="AZ64" i="41"/>
  <c r="BA64" i="41"/>
  <c r="BB64" i="41"/>
  <c r="BC64" i="41"/>
  <c r="BD64" i="41"/>
  <c r="BE64" i="41"/>
  <c r="BF64" i="41"/>
  <c r="BG64" i="41"/>
  <c r="G65" i="41"/>
  <c r="H65" i="41"/>
  <c r="I65" i="41"/>
  <c r="J65" i="41"/>
  <c r="K65" i="41"/>
  <c r="L65" i="41"/>
  <c r="M65" i="41"/>
  <c r="N65" i="41"/>
  <c r="O65" i="41"/>
  <c r="P65" i="41"/>
  <c r="Q65" i="41"/>
  <c r="R65" i="41"/>
  <c r="S65" i="41"/>
  <c r="T65" i="41"/>
  <c r="U65" i="41"/>
  <c r="V65" i="41"/>
  <c r="W65" i="41"/>
  <c r="X65" i="41"/>
  <c r="Y65" i="41"/>
  <c r="Z65" i="41"/>
  <c r="AA65" i="41"/>
  <c r="AB65" i="41"/>
  <c r="AC65" i="41"/>
  <c r="AD65" i="41"/>
  <c r="AE65" i="41"/>
  <c r="AF65" i="41"/>
  <c r="AG65" i="41"/>
  <c r="AH65" i="41"/>
  <c r="AI65" i="41"/>
  <c r="AJ65" i="41"/>
  <c r="AK65" i="41"/>
  <c r="AL65" i="41"/>
  <c r="AM65" i="41"/>
  <c r="AN65" i="41"/>
  <c r="AO65" i="41"/>
  <c r="AP65" i="41"/>
  <c r="AQ65" i="41"/>
  <c r="AR65" i="41"/>
  <c r="AS65" i="41"/>
  <c r="AT65" i="41"/>
  <c r="AU65" i="41"/>
  <c r="AV65" i="41"/>
  <c r="AW65" i="41"/>
  <c r="AX65" i="41"/>
  <c r="AY65" i="41"/>
  <c r="AZ65" i="41"/>
  <c r="BA65" i="41"/>
  <c r="BB65" i="41"/>
  <c r="BC65" i="41"/>
  <c r="BD65" i="41"/>
  <c r="BE65" i="41"/>
  <c r="BF65" i="41"/>
  <c r="BG65"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AH66" i="41"/>
  <c r="AI66" i="41"/>
  <c r="AJ66" i="41"/>
  <c r="AK66" i="41"/>
  <c r="AL66" i="41"/>
  <c r="AM66" i="41"/>
  <c r="AN66" i="41"/>
  <c r="AO66" i="41"/>
  <c r="AP66" i="41"/>
  <c r="AQ66" i="41"/>
  <c r="AR66" i="41"/>
  <c r="AS66" i="41"/>
  <c r="AT66" i="41"/>
  <c r="AU66" i="41"/>
  <c r="AV66" i="41"/>
  <c r="AW66" i="41"/>
  <c r="AX66" i="41"/>
  <c r="AY66" i="41"/>
  <c r="AZ66" i="41"/>
  <c r="BA66" i="41"/>
  <c r="BB66" i="41"/>
  <c r="BC66" i="41"/>
  <c r="BD66" i="41"/>
  <c r="BE66" i="41"/>
  <c r="BF66" i="41"/>
  <c r="BG66"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AH67" i="41"/>
  <c r="AI67" i="41"/>
  <c r="AJ67" i="41"/>
  <c r="AK67" i="41"/>
  <c r="AL67" i="41"/>
  <c r="AM67" i="41"/>
  <c r="AN67" i="41"/>
  <c r="AO67" i="41"/>
  <c r="AP67" i="41"/>
  <c r="AQ67" i="41"/>
  <c r="AR67" i="41"/>
  <c r="AS67" i="41"/>
  <c r="AT67" i="41"/>
  <c r="AU67" i="41"/>
  <c r="AV67" i="41"/>
  <c r="AW67" i="41"/>
  <c r="AX67" i="41"/>
  <c r="AY67" i="41"/>
  <c r="AZ67" i="41"/>
  <c r="BA67" i="41"/>
  <c r="BB67" i="41"/>
  <c r="BC67" i="41"/>
  <c r="BD67" i="41"/>
  <c r="BE67" i="41"/>
  <c r="BF67" i="41"/>
  <c r="BG67"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AH68" i="41"/>
  <c r="AI68" i="41"/>
  <c r="AJ68" i="41"/>
  <c r="AK68" i="41"/>
  <c r="AL68" i="41"/>
  <c r="AM68" i="41"/>
  <c r="AN68" i="41"/>
  <c r="AO68" i="41"/>
  <c r="AP68" i="41"/>
  <c r="AQ68" i="41"/>
  <c r="AR68" i="41"/>
  <c r="AS68" i="41"/>
  <c r="AT68" i="41"/>
  <c r="AU68" i="41"/>
  <c r="AV68" i="41"/>
  <c r="AW68" i="41"/>
  <c r="AX68" i="41"/>
  <c r="AY68" i="41"/>
  <c r="AZ68" i="41"/>
  <c r="BA68" i="41"/>
  <c r="BB68" i="41"/>
  <c r="BC68" i="41"/>
  <c r="BD68" i="41"/>
  <c r="BE68" i="41"/>
  <c r="BF68" i="41"/>
  <c r="BG68"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AH69" i="41"/>
  <c r="AI69" i="41"/>
  <c r="AJ69" i="41"/>
  <c r="AK69" i="41"/>
  <c r="AL69" i="41"/>
  <c r="AM69" i="41"/>
  <c r="AN69" i="41"/>
  <c r="AO69" i="41"/>
  <c r="AP69" i="41"/>
  <c r="AQ69" i="41"/>
  <c r="AR69" i="41"/>
  <c r="AS69" i="41"/>
  <c r="AT69" i="41"/>
  <c r="AU69" i="41"/>
  <c r="AV69" i="41"/>
  <c r="AW69" i="41"/>
  <c r="AX69" i="41"/>
  <c r="AY69" i="41"/>
  <c r="AZ69" i="41"/>
  <c r="BA69" i="41"/>
  <c r="BB69" i="41"/>
  <c r="BC69" i="41"/>
  <c r="BD69" i="41"/>
  <c r="BE69" i="41"/>
  <c r="BF69" i="41"/>
  <c r="BG69"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AH70" i="41"/>
  <c r="AI70" i="41"/>
  <c r="AJ70" i="41"/>
  <c r="AK70" i="41"/>
  <c r="AL70" i="41"/>
  <c r="AM70" i="41"/>
  <c r="AN70" i="41"/>
  <c r="AO70" i="41"/>
  <c r="AP70" i="41"/>
  <c r="AQ70" i="41"/>
  <c r="AR70" i="41"/>
  <c r="AS70" i="41"/>
  <c r="AT70" i="41"/>
  <c r="AU70" i="41"/>
  <c r="AV70" i="41"/>
  <c r="AW70" i="41"/>
  <c r="AX70" i="41"/>
  <c r="AY70" i="41"/>
  <c r="AZ70" i="41"/>
  <c r="BA70" i="41"/>
  <c r="BB70" i="41"/>
  <c r="BC70" i="41"/>
  <c r="BD70" i="41"/>
  <c r="BE70" i="41"/>
  <c r="BF70" i="41"/>
  <c r="BG70"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AH71" i="41"/>
  <c r="AI71" i="41"/>
  <c r="AJ71" i="41"/>
  <c r="AK71" i="41"/>
  <c r="AL71" i="41"/>
  <c r="AM71" i="41"/>
  <c r="AN71" i="41"/>
  <c r="AO71" i="41"/>
  <c r="AP71" i="41"/>
  <c r="AQ71" i="41"/>
  <c r="AR71" i="41"/>
  <c r="AS71" i="41"/>
  <c r="AT71" i="41"/>
  <c r="AU71" i="41"/>
  <c r="AV71" i="41"/>
  <c r="AW71" i="41"/>
  <c r="AX71" i="41"/>
  <c r="AY71" i="41"/>
  <c r="AZ71" i="41"/>
  <c r="BA71" i="41"/>
  <c r="BB71" i="41"/>
  <c r="BC71" i="41"/>
  <c r="BD71" i="41"/>
  <c r="BE71" i="41"/>
  <c r="BF71" i="41"/>
  <c r="BG71"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AH72" i="41"/>
  <c r="AI72" i="41"/>
  <c r="AJ72" i="41"/>
  <c r="AK72" i="41"/>
  <c r="AL72" i="41"/>
  <c r="AM72" i="41"/>
  <c r="AN72" i="41"/>
  <c r="AO72" i="41"/>
  <c r="AP72" i="41"/>
  <c r="AQ72" i="41"/>
  <c r="AR72" i="41"/>
  <c r="AS72" i="41"/>
  <c r="AT72" i="41"/>
  <c r="AU72" i="41"/>
  <c r="AV72" i="41"/>
  <c r="AW72" i="41"/>
  <c r="AX72" i="41"/>
  <c r="AY72" i="41"/>
  <c r="AZ72" i="41"/>
  <c r="BA72" i="41"/>
  <c r="BB72" i="41"/>
  <c r="BC72" i="41"/>
  <c r="BD72" i="41"/>
  <c r="BE72" i="41"/>
  <c r="BF72" i="41"/>
  <c r="BG72"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AH73" i="41"/>
  <c r="AI73" i="41"/>
  <c r="AJ73" i="41"/>
  <c r="AK73" i="41"/>
  <c r="AL73" i="41"/>
  <c r="AM73" i="41"/>
  <c r="AN73" i="41"/>
  <c r="AO73" i="41"/>
  <c r="AP73" i="41"/>
  <c r="AQ73" i="41"/>
  <c r="AR73" i="41"/>
  <c r="AS73" i="41"/>
  <c r="AT73" i="41"/>
  <c r="AU73" i="41"/>
  <c r="AV73" i="41"/>
  <c r="AW73" i="41"/>
  <c r="AX73" i="41"/>
  <c r="AY73" i="41"/>
  <c r="AZ73" i="41"/>
  <c r="BA73" i="41"/>
  <c r="BB73" i="41"/>
  <c r="BC73" i="41"/>
  <c r="BD73" i="41"/>
  <c r="BE73" i="41"/>
  <c r="BF73" i="41"/>
  <c r="BG73"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AH74" i="41"/>
  <c r="AI74" i="41"/>
  <c r="AJ74" i="41"/>
  <c r="AK74" i="41"/>
  <c r="AL74" i="41"/>
  <c r="AM74" i="41"/>
  <c r="AN74" i="41"/>
  <c r="AO74" i="41"/>
  <c r="AP74" i="41"/>
  <c r="AQ74" i="41"/>
  <c r="AR74" i="41"/>
  <c r="AS74" i="41"/>
  <c r="AT74" i="41"/>
  <c r="AU74" i="41"/>
  <c r="AV74" i="41"/>
  <c r="AW74" i="41"/>
  <c r="AX74" i="41"/>
  <c r="AY74" i="41"/>
  <c r="AZ74" i="41"/>
  <c r="BA74" i="41"/>
  <c r="BB74" i="41"/>
  <c r="BC74" i="41"/>
  <c r="BD74" i="41"/>
  <c r="BE74" i="41"/>
  <c r="BF74" i="41"/>
  <c r="BG74" i="41"/>
  <c r="G75" i="41"/>
  <c r="G76" i="41"/>
  <c r="H75" i="41"/>
  <c r="I75" i="41"/>
  <c r="I76" i="41"/>
  <c r="J75" i="41"/>
  <c r="J76" i="41" s="1"/>
  <c r="K75" i="41"/>
  <c r="L75" i="41"/>
  <c r="M75" i="41"/>
  <c r="N75" i="41"/>
  <c r="N76" i="41"/>
  <c r="O75" i="41"/>
  <c r="P75" i="41"/>
  <c r="Q75" i="41"/>
  <c r="R75" i="41"/>
  <c r="S75" i="41"/>
  <c r="S76" i="41" s="1"/>
  <c r="T75" i="41"/>
  <c r="U75" i="41"/>
  <c r="V75" i="41"/>
  <c r="W75" i="41"/>
  <c r="X75" i="41"/>
  <c r="Y75" i="41"/>
  <c r="Z75" i="41"/>
  <c r="AA75" i="41"/>
  <c r="AA76" i="41" s="1"/>
  <c r="AB75" i="41"/>
  <c r="AC75" i="41"/>
  <c r="AD75" i="41"/>
  <c r="AE75" i="41"/>
  <c r="AE76" i="41"/>
  <c r="AF75" i="41"/>
  <c r="AG75" i="41"/>
  <c r="AH75" i="41"/>
  <c r="AI75" i="41"/>
  <c r="AI76" i="41" s="1"/>
  <c r="AJ75" i="41"/>
  <c r="AK75" i="41"/>
  <c r="AL75" i="41"/>
  <c r="AM75" i="41"/>
  <c r="AM76" i="41"/>
  <c r="AN75" i="41"/>
  <c r="AO75" i="41"/>
  <c r="AP75" i="41"/>
  <c r="AQ75" i="41"/>
  <c r="AQ76" i="41" s="1"/>
  <c r="AR75" i="41"/>
  <c r="AS75" i="41"/>
  <c r="AT75" i="41"/>
  <c r="AT76" i="41" s="1"/>
  <c r="AU75" i="41"/>
  <c r="AU76" i="41" s="1"/>
  <c r="AV75" i="41"/>
  <c r="AW75" i="41"/>
  <c r="AX75" i="41"/>
  <c r="AY75" i="41"/>
  <c r="AY76" i="41"/>
  <c r="AZ75" i="41"/>
  <c r="AZ76" i="41"/>
  <c r="BA75" i="41"/>
  <c r="BB75" i="41"/>
  <c r="BC75" i="41"/>
  <c r="BD75" i="41"/>
  <c r="BE75" i="41"/>
  <c r="BF75" i="41"/>
  <c r="BG75" i="41"/>
  <c r="F7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AH145" i="41"/>
  <c r="AI145" i="41"/>
  <c r="AJ145" i="41"/>
  <c r="AK145" i="41"/>
  <c r="AL145" i="41"/>
  <c r="AM145" i="41"/>
  <c r="AN145" i="41"/>
  <c r="AO145" i="41"/>
  <c r="AP145" i="41"/>
  <c r="AQ145" i="41"/>
  <c r="AR145" i="41"/>
  <c r="AS145" i="41"/>
  <c r="AT145" i="41"/>
  <c r="AU145" i="41"/>
  <c r="AV145" i="41"/>
  <c r="AW145" i="41"/>
  <c r="AX145" i="41"/>
  <c r="AY145" i="41"/>
  <c r="AZ145" i="41"/>
  <c r="BA145" i="41"/>
  <c r="BB145" i="41"/>
  <c r="BC145" i="41"/>
  <c r="BD145" i="41"/>
  <c r="BE145" i="41"/>
  <c r="BF145" i="41"/>
  <c r="BG145" i="41"/>
  <c r="F145" i="41"/>
  <c r="G80" i="41"/>
  <c r="G146" i="41" s="1"/>
  <c r="H80" i="41"/>
  <c r="I80" i="41"/>
  <c r="J80" i="41"/>
  <c r="J6" i="41" s="1"/>
  <c r="K80" i="41"/>
  <c r="K6" i="41" s="1"/>
  <c r="K8" i="41" s="1"/>
  <c r="L80" i="41"/>
  <c r="M80" i="41"/>
  <c r="N80" i="41"/>
  <c r="N146" i="41" s="1"/>
  <c r="O80" i="41"/>
  <c r="O6" i="41" s="1"/>
  <c r="O7" i="41" s="1"/>
  <c r="P80" i="41"/>
  <c r="Q80" i="41"/>
  <c r="R80" i="41"/>
  <c r="R146" i="41" s="1"/>
  <c r="S80" i="41"/>
  <c r="T80" i="41"/>
  <c r="U80" i="41"/>
  <c r="U6" i="41" s="1"/>
  <c r="V80" i="41"/>
  <c r="V6" i="41" s="1"/>
  <c r="W80" i="41"/>
  <c r="W6" i="41" s="1"/>
  <c r="W8" i="41" s="1"/>
  <c r="X80" i="41"/>
  <c r="Y80" i="41"/>
  <c r="Z80" i="41"/>
  <c r="Z146" i="41" s="1"/>
  <c r="AA80" i="41"/>
  <c r="AB80" i="41"/>
  <c r="AC80" i="41"/>
  <c r="AD80" i="41"/>
  <c r="AE80" i="41"/>
  <c r="AF80" i="41"/>
  <c r="AG80" i="41"/>
  <c r="AH80" i="41"/>
  <c r="AH6" i="41" s="1"/>
  <c r="AI80" i="41"/>
  <c r="AJ80" i="41"/>
  <c r="AK80" i="41"/>
  <c r="AL80" i="41"/>
  <c r="AL146" i="41" s="1"/>
  <c r="AM80" i="41"/>
  <c r="AN80" i="41"/>
  <c r="AO80" i="41"/>
  <c r="AP80" i="41"/>
  <c r="AP146" i="41" s="1"/>
  <c r="AQ80" i="41"/>
  <c r="AR80" i="41"/>
  <c r="AS80" i="41"/>
  <c r="AT80" i="41"/>
  <c r="AT6" i="41" s="1"/>
  <c r="AU80" i="41"/>
  <c r="AV80" i="41"/>
  <c r="AW80" i="41"/>
  <c r="AX80" i="41"/>
  <c r="AX6" i="41" s="1"/>
  <c r="AY80" i="41"/>
  <c r="AZ80" i="41"/>
  <c r="BA80" i="41"/>
  <c r="BB80" i="41"/>
  <c r="BB146" i="41" s="1"/>
  <c r="BC80" i="41"/>
  <c r="BD80" i="41"/>
  <c r="BE80" i="41"/>
  <c r="BF80" i="41"/>
  <c r="BF146" i="41" s="1"/>
  <c r="BG80" i="41"/>
  <c r="BG6" i="41" s="1"/>
  <c r="BG7" i="41" s="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AH81" i="41"/>
  <c r="AI81" i="41"/>
  <c r="AJ81" i="41"/>
  <c r="AK81" i="41"/>
  <c r="AL81" i="41"/>
  <c r="AM81" i="41"/>
  <c r="AN81" i="41"/>
  <c r="AO81" i="41"/>
  <c r="AP81" i="41"/>
  <c r="AQ81" i="41"/>
  <c r="AR81" i="41"/>
  <c r="AS81" i="41"/>
  <c r="AT81" i="41"/>
  <c r="AU81" i="41"/>
  <c r="AV81" i="41"/>
  <c r="AW81" i="41"/>
  <c r="AX81" i="41"/>
  <c r="AY81" i="41"/>
  <c r="AY146" i="41" s="1"/>
  <c r="AZ81" i="41"/>
  <c r="BA81" i="41"/>
  <c r="BB81" i="41"/>
  <c r="BC81" i="41"/>
  <c r="BD81" i="41"/>
  <c r="BE81" i="41"/>
  <c r="BF81" i="41"/>
  <c r="BG81" i="41"/>
  <c r="G82" i="41"/>
  <c r="H82" i="41"/>
  <c r="I82" i="41"/>
  <c r="J82" i="41"/>
  <c r="K82" i="41"/>
  <c r="L82" i="41"/>
  <c r="M82" i="41"/>
  <c r="N82" i="41"/>
  <c r="O82" i="41"/>
  <c r="P82" i="41"/>
  <c r="Q82" i="41"/>
  <c r="R82" i="41"/>
  <c r="S82" i="41"/>
  <c r="T82" i="41"/>
  <c r="U82" i="41"/>
  <c r="V82" i="41"/>
  <c r="W82" i="41"/>
  <c r="X82" i="41"/>
  <c r="Y82" i="41"/>
  <c r="Z82" i="41"/>
  <c r="AA82" i="41"/>
  <c r="AA146" i="41" s="1"/>
  <c r="AB82" i="41"/>
  <c r="AC82" i="41"/>
  <c r="AD82" i="41"/>
  <c r="AE82" i="41"/>
  <c r="AF82" i="41"/>
  <c r="AG82" i="41"/>
  <c r="AH82" i="41"/>
  <c r="AI82" i="41"/>
  <c r="AJ82" i="41"/>
  <c r="AK82" i="41"/>
  <c r="AL82" i="41"/>
  <c r="AM82" i="41"/>
  <c r="AN82" i="41"/>
  <c r="AO82" i="41"/>
  <c r="AP82" i="41"/>
  <c r="AQ82" i="41"/>
  <c r="AR82" i="41"/>
  <c r="AS82" i="41"/>
  <c r="AT82" i="41"/>
  <c r="AU82" i="41"/>
  <c r="AV82" i="41"/>
  <c r="AW82" i="41"/>
  <c r="AX82" i="41"/>
  <c r="AY82" i="41"/>
  <c r="AZ82" i="41"/>
  <c r="BA82" i="41"/>
  <c r="BA6" i="41" s="1"/>
  <c r="BB82" i="41"/>
  <c r="BC82" i="41"/>
  <c r="BD82" i="41"/>
  <c r="BE82" i="41"/>
  <c r="BF82" i="41"/>
  <c r="BG82" i="41"/>
  <c r="G83" i="41"/>
  <c r="H83" i="41"/>
  <c r="H146" i="41" s="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AH83" i="41"/>
  <c r="AI83" i="41"/>
  <c r="AJ83" i="41"/>
  <c r="AK83" i="41"/>
  <c r="AL83" i="41"/>
  <c r="AM83" i="41"/>
  <c r="AN83" i="41"/>
  <c r="AO83" i="41"/>
  <c r="AP83" i="41"/>
  <c r="AQ83" i="41"/>
  <c r="AR83" i="41"/>
  <c r="AS83" i="41"/>
  <c r="AT83" i="41"/>
  <c r="AU83" i="41"/>
  <c r="AV83" i="41"/>
  <c r="AW83" i="41"/>
  <c r="AX83" i="41"/>
  <c r="AY83" i="41"/>
  <c r="AZ83" i="41"/>
  <c r="BA83" i="41"/>
  <c r="BB83" i="41"/>
  <c r="BC83" i="41"/>
  <c r="BD83" i="41"/>
  <c r="BE83" i="41"/>
  <c r="BF83" i="41"/>
  <c r="BG83"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AH84" i="41"/>
  <c r="AI84" i="41"/>
  <c r="AJ84" i="41"/>
  <c r="AK84" i="41"/>
  <c r="AL84" i="41"/>
  <c r="AM84" i="41"/>
  <c r="AN84" i="41"/>
  <c r="AO84" i="41"/>
  <c r="AP84" i="41"/>
  <c r="AQ84" i="41"/>
  <c r="AR84" i="41"/>
  <c r="AS84" i="41"/>
  <c r="AT84" i="41"/>
  <c r="AU84" i="41"/>
  <c r="AV84" i="41"/>
  <c r="AW84" i="41"/>
  <c r="AX84" i="41"/>
  <c r="AY84" i="41"/>
  <c r="AZ84" i="41"/>
  <c r="BA84" i="41"/>
  <c r="BB84" i="41"/>
  <c r="BC84" i="41"/>
  <c r="BD84" i="41"/>
  <c r="BE84" i="41"/>
  <c r="BF84" i="41"/>
  <c r="BG84"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AH85" i="41"/>
  <c r="AI85" i="41"/>
  <c r="AJ85" i="41"/>
  <c r="AK85" i="41"/>
  <c r="AL85" i="41"/>
  <c r="AM85" i="41"/>
  <c r="AN85" i="41"/>
  <c r="AO85" i="41"/>
  <c r="AP85" i="41"/>
  <c r="AQ85" i="41"/>
  <c r="AR85" i="41"/>
  <c r="AS85" i="41"/>
  <c r="AS146" i="41" s="1"/>
  <c r="AT85" i="41"/>
  <c r="AU85" i="41"/>
  <c r="AV85" i="41"/>
  <c r="AW85" i="41"/>
  <c r="AX85" i="41"/>
  <c r="AY85" i="41"/>
  <c r="AZ85" i="41"/>
  <c r="BA85" i="41"/>
  <c r="BB85" i="41"/>
  <c r="BC85" i="41"/>
  <c r="BD85" i="41"/>
  <c r="BE85" i="41"/>
  <c r="BF85" i="41"/>
  <c r="BG85" i="41"/>
  <c r="BG146" i="41" s="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AH86" i="41"/>
  <c r="AI86" i="41"/>
  <c r="AJ86" i="41"/>
  <c r="AK86" i="41"/>
  <c r="AL86" i="41"/>
  <c r="AM86" i="41"/>
  <c r="AN86" i="41"/>
  <c r="AO86" i="41"/>
  <c r="AP86" i="41"/>
  <c r="AQ86" i="41"/>
  <c r="AR86" i="41"/>
  <c r="AS86" i="41"/>
  <c r="AT86" i="41"/>
  <c r="AU86" i="41"/>
  <c r="AV86" i="41"/>
  <c r="AW86" i="41"/>
  <c r="AX86" i="41"/>
  <c r="AY86" i="41"/>
  <c r="AZ86" i="41"/>
  <c r="BA86" i="41"/>
  <c r="BB86" i="41"/>
  <c r="BC86" i="41"/>
  <c r="BD86" i="41"/>
  <c r="BE86" i="41"/>
  <c r="BF86" i="41"/>
  <c r="BG86" i="41"/>
  <c r="G87" i="41"/>
  <c r="H87" i="41"/>
  <c r="I87" i="41"/>
  <c r="J87" i="41"/>
  <c r="K87" i="41"/>
  <c r="L87" i="41"/>
  <c r="M87" i="41"/>
  <c r="N87" i="41"/>
  <c r="O87" i="41"/>
  <c r="P87" i="41"/>
  <c r="Q87" i="41"/>
  <c r="R87" i="41"/>
  <c r="S87" i="41"/>
  <c r="T87" i="41"/>
  <c r="U87" i="41"/>
  <c r="V87" i="41"/>
  <c r="W87" i="41"/>
  <c r="X87" i="41"/>
  <c r="Y87" i="41"/>
  <c r="Z87" i="41"/>
  <c r="AA87" i="41"/>
  <c r="AB87" i="41"/>
  <c r="AC87" i="41"/>
  <c r="AD87" i="41"/>
  <c r="AE87" i="41"/>
  <c r="AF87" i="41"/>
  <c r="AG87" i="41"/>
  <c r="AH87" i="41"/>
  <c r="AI87" i="41"/>
  <c r="AJ87" i="41"/>
  <c r="AK87" i="41"/>
  <c r="AL87" i="41"/>
  <c r="AM87" i="41"/>
  <c r="AN87" i="41"/>
  <c r="AO87" i="41"/>
  <c r="AP87" i="41"/>
  <c r="AQ87" i="41"/>
  <c r="AR87" i="41"/>
  <c r="AS87" i="41"/>
  <c r="AT87" i="41"/>
  <c r="AU87" i="41"/>
  <c r="AV87" i="41"/>
  <c r="AW87" i="41"/>
  <c r="AX87" i="41"/>
  <c r="AY87" i="41"/>
  <c r="AZ87" i="41"/>
  <c r="BA87" i="41"/>
  <c r="BB87" i="41"/>
  <c r="BC87" i="41"/>
  <c r="BD87" i="41"/>
  <c r="BE87" i="41"/>
  <c r="BF87" i="41"/>
  <c r="BG87"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AH88" i="41"/>
  <c r="AI88" i="41"/>
  <c r="AI146" i="41" s="1"/>
  <c r="AJ88" i="41"/>
  <c r="AK88" i="41"/>
  <c r="AL88" i="41"/>
  <c r="AM88" i="41"/>
  <c r="AN88" i="41"/>
  <c r="AO88" i="41"/>
  <c r="AP88" i="41"/>
  <c r="AQ88" i="41"/>
  <c r="AR88" i="41"/>
  <c r="AS88" i="41"/>
  <c r="AT88" i="41"/>
  <c r="AU88" i="41"/>
  <c r="AV88" i="41"/>
  <c r="AW88" i="41"/>
  <c r="AX88" i="41"/>
  <c r="AY88" i="41"/>
  <c r="AZ88" i="41"/>
  <c r="BA88" i="41"/>
  <c r="BB88" i="41"/>
  <c r="BC88" i="41"/>
  <c r="BD88" i="41"/>
  <c r="BE88" i="41"/>
  <c r="BF88" i="41"/>
  <c r="BG88"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AH89" i="41"/>
  <c r="AI89" i="41"/>
  <c r="AJ89" i="41"/>
  <c r="AK89" i="41"/>
  <c r="AL89" i="41"/>
  <c r="AM89" i="41"/>
  <c r="AN89" i="41"/>
  <c r="AO89" i="41"/>
  <c r="AP89" i="41"/>
  <c r="AQ89" i="41"/>
  <c r="AR89" i="41"/>
  <c r="AS89" i="41"/>
  <c r="AT89" i="41"/>
  <c r="AU89" i="41"/>
  <c r="AV89" i="41"/>
  <c r="AW89" i="41"/>
  <c r="AX89" i="41"/>
  <c r="AY89" i="41"/>
  <c r="AZ89" i="41"/>
  <c r="BA89" i="41"/>
  <c r="BB89" i="41"/>
  <c r="BC89" i="41"/>
  <c r="BD89" i="41"/>
  <c r="BE89" i="41"/>
  <c r="BF89" i="41"/>
  <c r="BG89" i="41"/>
  <c r="G90" i="41"/>
  <c r="H90" i="41"/>
  <c r="I90" i="41"/>
  <c r="J90" i="41"/>
  <c r="K90" i="41"/>
  <c r="K146" i="41" s="1"/>
  <c r="L90" i="41"/>
  <c r="M90" i="41"/>
  <c r="N90" i="41"/>
  <c r="O90" i="41"/>
  <c r="P90" i="41"/>
  <c r="Q90" i="41"/>
  <c r="R90" i="41"/>
  <c r="S90" i="41"/>
  <c r="T90" i="41"/>
  <c r="U90" i="41"/>
  <c r="V90" i="41"/>
  <c r="W90" i="41"/>
  <c r="X90" i="41"/>
  <c r="Y90" i="41"/>
  <c r="Z90" i="41"/>
  <c r="AA90" i="41"/>
  <c r="AB90" i="41"/>
  <c r="AC90" i="41"/>
  <c r="AD90" i="41"/>
  <c r="AE90" i="41"/>
  <c r="AF90" i="41"/>
  <c r="AG90" i="41"/>
  <c r="AH90" i="41"/>
  <c r="AI90" i="41"/>
  <c r="AJ90" i="41"/>
  <c r="AK90" i="41"/>
  <c r="AL90" i="41"/>
  <c r="AM90" i="41"/>
  <c r="AN90" i="41"/>
  <c r="AO90" i="41"/>
  <c r="AP90" i="41"/>
  <c r="AQ90" i="41"/>
  <c r="AR90" i="41"/>
  <c r="AS90" i="41"/>
  <c r="AT90" i="41"/>
  <c r="AU90" i="41"/>
  <c r="AV90" i="41"/>
  <c r="AW90" i="41"/>
  <c r="AX90" i="41"/>
  <c r="AY90" i="41"/>
  <c r="AZ90" i="41"/>
  <c r="BA90" i="41"/>
  <c r="BB90" i="41"/>
  <c r="BC90" i="41"/>
  <c r="BD90" i="41"/>
  <c r="BE90" i="41"/>
  <c r="BF90" i="41"/>
  <c r="BG90"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AH91" i="41"/>
  <c r="AI91" i="41"/>
  <c r="AJ91" i="41"/>
  <c r="AK91" i="41"/>
  <c r="AL91" i="41"/>
  <c r="AM91" i="41"/>
  <c r="AN91" i="41"/>
  <c r="AO91" i="41"/>
  <c r="AP91" i="41"/>
  <c r="AQ91" i="41"/>
  <c r="AR91" i="41"/>
  <c r="AS91" i="41"/>
  <c r="AT91" i="41"/>
  <c r="AU91" i="41"/>
  <c r="AV91" i="41"/>
  <c r="AW91" i="41"/>
  <c r="AX91" i="41"/>
  <c r="AY91" i="41"/>
  <c r="AZ91" i="41"/>
  <c r="BA91" i="41"/>
  <c r="BB91" i="41"/>
  <c r="BC91" i="41"/>
  <c r="BD91" i="41"/>
  <c r="BE91" i="41"/>
  <c r="BF91" i="41"/>
  <c r="BG91"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AH92" i="41"/>
  <c r="AI92" i="41"/>
  <c r="AJ92" i="41"/>
  <c r="AK92" i="41"/>
  <c r="AL92" i="41"/>
  <c r="AM92" i="41"/>
  <c r="AN92" i="41"/>
  <c r="AO92" i="41"/>
  <c r="AP92" i="41"/>
  <c r="AQ92" i="41"/>
  <c r="AR92" i="41"/>
  <c r="AS92" i="41"/>
  <c r="AT92" i="41"/>
  <c r="AU92" i="41"/>
  <c r="AV92" i="41"/>
  <c r="AW92" i="41"/>
  <c r="AX92" i="41"/>
  <c r="AY92" i="41"/>
  <c r="AZ92" i="41"/>
  <c r="BA92" i="41"/>
  <c r="BB92" i="41"/>
  <c r="BC92" i="41"/>
  <c r="BD92" i="41"/>
  <c r="BE92" i="41"/>
  <c r="BF92" i="41"/>
  <c r="BG92"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AH93" i="41"/>
  <c r="AI93" i="41"/>
  <c r="AJ93" i="41"/>
  <c r="AK93" i="41"/>
  <c r="AL93" i="41"/>
  <c r="AM93" i="41"/>
  <c r="AN93" i="41"/>
  <c r="AO93" i="41"/>
  <c r="AP93" i="41"/>
  <c r="AQ93" i="41"/>
  <c r="AR93" i="41"/>
  <c r="AS93" i="41"/>
  <c r="AT93" i="41"/>
  <c r="AU93" i="41"/>
  <c r="AV93" i="41"/>
  <c r="AW93" i="41"/>
  <c r="AX93" i="41"/>
  <c r="AY93" i="41"/>
  <c r="AZ93" i="41"/>
  <c r="BA93" i="41"/>
  <c r="BB93" i="41"/>
  <c r="BC93" i="41"/>
  <c r="BD93" i="41"/>
  <c r="BE93" i="41"/>
  <c r="BF93" i="41"/>
  <c r="BG93"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AH94" i="41"/>
  <c r="AI94" i="41"/>
  <c r="AJ94" i="41"/>
  <c r="AK94" i="41"/>
  <c r="AL94" i="41"/>
  <c r="AM94" i="41"/>
  <c r="AN94" i="41"/>
  <c r="AO94" i="41"/>
  <c r="AP94" i="41"/>
  <c r="AQ94" i="41"/>
  <c r="AR94" i="41"/>
  <c r="AS94" i="41"/>
  <c r="AT94" i="41"/>
  <c r="AU94" i="41"/>
  <c r="AV94" i="41"/>
  <c r="AW94" i="41"/>
  <c r="AX94" i="41"/>
  <c r="AY94" i="41"/>
  <c r="AZ94" i="41"/>
  <c r="BA94" i="41"/>
  <c r="BB94" i="41"/>
  <c r="BC94" i="41"/>
  <c r="BD94" i="41"/>
  <c r="BE94" i="41"/>
  <c r="BF94" i="41"/>
  <c r="BG94"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AH95" i="41"/>
  <c r="AI95" i="41"/>
  <c r="AJ95" i="41"/>
  <c r="AK95" i="41"/>
  <c r="AL95" i="41"/>
  <c r="AM95" i="41"/>
  <c r="AN95" i="41"/>
  <c r="AO95" i="41"/>
  <c r="AP95" i="41"/>
  <c r="AQ95" i="41"/>
  <c r="AR95" i="41"/>
  <c r="AS95" i="41"/>
  <c r="AT95" i="41"/>
  <c r="AU95" i="41"/>
  <c r="AV95" i="41"/>
  <c r="AW95" i="41"/>
  <c r="AX95" i="41"/>
  <c r="AY95" i="41"/>
  <c r="AZ95" i="41"/>
  <c r="BA95" i="41"/>
  <c r="BB95" i="41"/>
  <c r="BC95" i="41"/>
  <c r="BD95" i="41"/>
  <c r="BE95" i="41"/>
  <c r="BF95" i="41"/>
  <c r="BG95" i="41"/>
  <c r="G96" i="41"/>
  <c r="H96" i="41"/>
  <c r="I96" i="41"/>
  <c r="J96" i="41"/>
  <c r="K96" i="41"/>
  <c r="L96" i="41"/>
  <c r="M96" i="41"/>
  <c r="N96" i="41"/>
  <c r="O96" i="41"/>
  <c r="P96" i="41"/>
  <c r="Q96" i="41"/>
  <c r="R96" i="41"/>
  <c r="S96" i="41"/>
  <c r="T96" i="41"/>
  <c r="U96" i="41"/>
  <c r="V96" i="41"/>
  <c r="W96" i="41"/>
  <c r="X96" i="41"/>
  <c r="Y96" i="41"/>
  <c r="Z96" i="41"/>
  <c r="AA96" i="41"/>
  <c r="AB96" i="41"/>
  <c r="AC96" i="41"/>
  <c r="AC146" i="41" s="1"/>
  <c r="AD96" i="41"/>
  <c r="AE96" i="41"/>
  <c r="AF96" i="41"/>
  <c r="AG96" i="41"/>
  <c r="AH96" i="41"/>
  <c r="AI96" i="41"/>
  <c r="AJ96" i="41"/>
  <c r="AK96" i="41"/>
  <c r="AL96" i="41"/>
  <c r="AM96" i="41"/>
  <c r="AN96" i="41"/>
  <c r="AO96" i="41"/>
  <c r="AP96" i="41"/>
  <c r="AQ96" i="41"/>
  <c r="AR96" i="41"/>
  <c r="AS96" i="41"/>
  <c r="AT96" i="41"/>
  <c r="AU96" i="41"/>
  <c r="AV96" i="41"/>
  <c r="AW96" i="41"/>
  <c r="AX96" i="41"/>
  <c r="AY96" i="41"/>
  <c r="AZ96" i="41"/>
  <c r="BA96" i="41"/>
  <c r="BB96" i="41"/>
  <c r="BC96" i="41"/>
  <c r="BD96" i="41"/>
  <c r="BE96" i="41"/>
  <c r="BF96" i="41"/>
  <c r="BG96"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AH97" i="41"/>
  <c r="AI97" i="41"/>
  <c r="AJ97" i="41"/>
  <c r="AK97" i="41"/>
  <c r="AL97" i="41"/>
  <c r="AM97" i="41"/>
  <c r="AN97" i="41"/>
  <c r="AO97" i="41"/>
  <c r="AP97" i="41"/>
  <c r="AQ97" i="41"/>
  <c r="AR97" i="41"/>
  <c r="AS97" i="41"/>
  <c r="AT97" i="41"/>
  <c r="AU97" i="41"/>
  <c r="AV97" i="41"/>
  <c r="AW97" i="41"/>
  <c r="AX97" i="41"/>
  <c r="AY97" i="41"/>
  <c r="AZ97" i="41"/>
  <c r="BA97" i="41"/>
  <c r="BB97" i="41"/>
  <c r="BC97" i="41"/>
  <c r="BD97" i="41"/>
  <c r="BE97" i="41"/>
  <c r="BF97" i="41"/>
  <c r="BG97" i="41"/>
  <c r="G98" i="41"/>
  <c r="H98" i="41"/>
  <c r="I98" i="41"/>
  <c r="J98" i="41"/>
  <c r="K98" i="41"/>
  <c r="L98" i="41"/>
  <c r="M98" i="41"/>
  <c r="N98" i="41"/>
  <c r="O98" i="41"/>
  <c r="P98" i="41"/>
  <c r="Q98" i="41"/>
  <c r="R98" i="41"/>
  <c r="R6" i="41" s="1"/>
  <c r="S98" i="41"/>
  <c r="T98" i="41"/>
  <c r="U98" i="41"/>
  <c r="V98" i="41"/>
  <c r="W98" i="41"/>
  <c r="X98" i="41"/>
  <c r="Y98" i="41"/>
  <c r="Z98" i="41"/>
  <c r="AA98" i="41"/>
  <c r="AB98" i="41"/>
  <c r="AC98" i="41"/>
  <c r="AD98" i="41"/>
  <c r="AE98" i="41"/>
  <c r="AF98" i="41"/>
  <c r="AG98" i="41"/>
  <c r="AH98" i="41"/>
  <c r="AI98" i="41"/>
  <c r="AJ98" i="41"/>
  <c r="AK98" i="41"/>
  <c r="AL98" i="41"/>
  <c r="AM98" i="41"/>
  <c r="AN98" i="41"/>
  <c r="AO98" i="41"/>
  <c r="AP98" i="41"/>
  <c r="AQ98" i="41"/>
  <c r="AR98" i="41"/>
  <c r="AS98" i="41"/>
  <c r="AT98" i="41"/>
  <c r="AU98" i="41"/>
  <c r="AV98" i="41"/>
  <c r="AW98" i="41"/>
  <c r="AX98" i="41"/>
  <c r="AY98" i="41"/>
  <c r="AZ98" i="41"/>
  <c r="BA98" i="41"/>
  <c r="BB98" i="41"/>
  <c r="BC98" i="41"/>
  <c r="BD98" i="41"/>
  <c r="BE98" i="41"/>
  <c r="BF98" i="41"/>
  <c r="BG98" i="41"/>
  <c r="G99" i="41"/>
  <c r="H99" i="41"/>
  <c r="I99" i="41"/>
  <c r="J99" i="41"/>
  <c r="K99" i="41"/>
  <c r="L99" i="41"/>
  <c r="M99" i="41"/>
  <c r="M146" i="41" s="1"/>
  <c r="N99" i="41"/>
  <c r="O99" i="41"/>
  <c r="P99" i="41"/>
  <c r="Q99" i="41"/>
  <c r="R99" i="41"/>
  <c r="S99" i="41"/>
  <c r="T99" i="41"/>
  <c r="U99" i="41"/>
  <c r="V99" i="41"/>
  <c r="W99" i="41"/>
  <c r="X99" i="41"/>
  <c r="Y99" i="41"/>
  <c r="Z99" i="41"/>
  <c r="AA99" i="41"/>
  <c r="AB99" i="41"/>
  <c r="AC99" i="41"/>
  <c r="AD99" i="41"/>
  <c r="AE99" i="41"/>
  <c r="AF99" i="41"/>
  <c r="AG99" i="41"/>
  <c r="AH99" i="41"/>
  <c r="AI99" i="41"/>
  <c r="AJ99" i="41"/>
  <c r="AK99" i="41"/>
  <c r="AL99" i="41"/>
  <c r="AM99" i="41"/>
  <c r="AN99" i="41"/>
  <c r="AO99" i="41"/>
  <c r="AP99" i="41"/>
  <c r="AQ99" i="41"/>
  <c r="AR99" i="41"/>
  <c r="AS99" i="41"/>
  <c r="AT99" i="41"/>
  <c r="AU99" i="41"/>
  <c r="AV99" i="41"/>
  <c r="AW99" i="41"/>
  <c r="AX99" i="41"/>
  <c r="AY99" i="41"/>
  <c r="AZ99" i="41"/>
  <c r="BA99" i="41"/>
  <c r="BB99" i="41"/>
  <c r="BC99" i="41"/>
  <c r="BC6" i="41" s="1"/>
  <c r="BD99" i="41"/>
  <c r="BE99" i="41"/>
  <c r="BF99" i="41"/>
  <c r="BG99" i="41"/>
  <c r="G100" i="41"/>
  <c r="H100" i="41"/>
  <c r="I100" i="41"/>
  <c r="J100" i="41"/>
  <c r="K100" i="41"/>
  <c r="L100" i="41"/>
  <c r="M100" i="41"/>
  <c r="N100" i="41"/>
  <c r="O100" i="41"/>
  <c r="P100" i="41"/>
  <c r="Q100" i="41"/>
  <c r="R100" i="41"/>
  <c r="S100" i="41"/>
  <c r="T100" i="41"/>
  <c r="U100" i="41"/>
  <c r="V100" i="41"/>
  <c r="W100" i="41"/>
  <c r="X100" i="41"/>
  <c r="Y100" i="41"/>
  <c r="Z100" i="41"/>
  <c r="AA100" i="41"/>
  <c r="AB100" i="41"/>
  <c r="AC100" i="41"/>
  <c r="AD100" i="41"/>
  <c r="AE100" i="41"/>
  <c r="AF100" i="41"/>
  <c r="AG100" i="41"/>
  <c r="AH100" i="41"/>
  <c r="AI100" i="41"/>
  <c r="AJ100" i="41"/>
  <c r="AK100" i="41"/>
  <c r="AL100" i="41"/>
  <c r="AM100" i="41"/>
  <c r="AN100" i="41"/>
  <c r="AO100" i="41"/>
  <c r="AP100" i="41"/>
  <c r="AQ100" i="41"/>
  <c r="AR100" i="41"/>
  <c r="AS100" i="41"/>
  <c r="AT100" i="41"/>
  <c r="AU100" i="41"/>
  <c r="AV100" i="41"/>
  <c r="AW100" i="41"/>
  <c r="AX100" i="41"/>
  <c r="AY100" i="41"/>
  <c r="AZ100" i="41"/>
  <c r="BA100" i="41"/>
  <c r="BB100" i="41"/>
  <c r="BC100" i="41"/>
  <c r="BD100" i="41"/>
  <c r="BE100" i="41"/>
  <c r="BF100" i="41"/>
  <c r="BG100"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AH101" i="41"/>
  <c r="AI101" i="41"/>
  <c r="AJ101" i="41"/>
  <c r="AK101" i="41"/>
  <c r="AL101" i="41"/>
  <c r="AM101" i="41"/>
  <c r="AN101" i="41"/>
  <c r="AO101" i="41"/>
  <c r="AP101" i="41"/>
  <c r="AQ101" i="41"/>
  <c r="AR101" i="41"/>
  <c r="AS101" i="41"/>
  <c r="AT101" i="41"/>
  <c r="AU101" i="41"/>
  <c r="AV101" i="41"/>
  <c r="AW101" i="41"/>
  <c r="AX101" i="41"/>
  <c r="AY101" i="41"/>
  <c r="AZ101" i="41"/>
  <c r="BA101" i="41"/>
  <c r="BB101" i="41"/>
  <c r="BC101" i="41"/>
  <c r="BD101" i="41"/>
  <c r="BE101" i="41"/>
  <c r="BF101" i="41"/>
  <c r="BG101"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AH102" i="41"/>
  <c r="AI102" i="41"/>
  <c r="AJ102" i="41"/>
  <c r="AK102" i="41"/>
  <c r="AL102" i="41"/>
  <c r="AM102" i="41"/>
  <c r="AN102" i="41"/>
  <c r="AO102" i="41"/>
  <c r="AP102" i="41"/>
  <c r="AQ102" i="41"/>
  <c r="AR102" i="41"/>
  <c r="AS102" i="41"/>
  <c r="AT102" i="41"/>
  <c r="AU102" i="41"/>
  <c r="AV102" i="41"/>
  <c r="AW102" i="41"/>
  <c r="AX102" i="41"/>
  <c r="AY102" i="41"/>
  <c r="AZ102" i="41"/>
  <c r="BA102" i="41"/>
  <c r="BB102" i="41"/>
  <c r="BC102" i="41"/>
  <c r="BD102" i="41"/>
  <c r="BE102" i="41"/>
  <c r="BF102" i="41"/>
  <c r="BG102"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AH103" i="41"/>
  <c r="AI103" i="41"/>
  <c r="AJ103" i="41"/>
  <c r="AK103" i="41"/>
  <c r="AL103" i="41"/>
  <c r="AM103" i="41"/>
  <c r="AN103" i="41"/>
  <c r="AO103" i="41"/>
  <c r="AP103" i="41"/>
  <c r="AQ103" i="41"/>
  <c r="AR103" i="41"/>
  <c r="AS103" i="41"/>
  <c r="AT103" i="41"/>
  <c r="AU103" i="41"/>
  <c r="AV103" i="41"/>
  <c r="AW103" i="41"/>
  <c r="AX103" i="41"/>
  <c r="AY103" i="41"/>
  <c r="AZ103" i="41"/>
  <c r="BA103" i="41"/>
  <c r="BB103" i="41"/>
  <c r="BC103" i="41"/>
  <c r="BD103" i="41"/>
  <c r="BE103" i="41"/>
  <c r="BF103" i="41"/>
  <c r="BG103"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AH104" i="41"/>
  <c r="AI104" i="41"/>
  <c r="AJ104" i="41"/>
  <c r="AK104" i="41"/>
  <c r="AL104" i="41"/>
  <c r="AM104" i="41"/>
  <c r="AN104" i="41"/>
  <c r="AO104" i="41"/>
  <c r="AP104" i="41"/>
  <c r="AQ104" i="41"/>
  <c r="AR104" i="41"/>
  <c r="AS104" i="41"/>
  <c r="AT104" i="41"/>
  <c r="AU104" i="41"/>
  <c r="AV104" i="41"/>
  <c r="AW104" i="41"/>
  <c r="AX104" i="41"/>
  <c r="AY104" i="41"/>
  <c r="AZ104" i="41"/>
  <c r="BA104" i="41"/>
  <c r="BB104" i="41"/>
  <c r="BC104" i="41"/>
  <c r="BD104" i="41"/>
  <c r="BE104" i="41"/>
  <c r="BF104" i="41"/>
  <c r="BG104"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AH105" i="41"/>
  <c r="AI105" i="41"/>
  <c r="AJ105" i="41"/>
  <c r="AK105" i="41"/>
  <c r="AL105" i="41"/>
  <c r="AM105" i="41"/>
  <c r="AN105" i="41"/>
  <c r="AO105" i="41"/>
  <c r="AP105" i="41"/>
  <c r="AQ105" i="41"/>
  <c r="AR105" i="41"/>
  <c r="AS105" i="41"/>
  <c r="AT105" i="41"/>
  <c r="AU105" i="41"/>
  <c r="AV105" i="41"/>
  <c r="AW105" i="41"/>
  <c r="AX105" i="41"/>
  <c r="AY105" i="41"/>
  <c r="AZ105" i="41"/>
  <c r="BA105" i="41"/>
  <c r="BB105" i="41"/>
  <c r="BC105" i="41"/>
  <c r="BD105" i="41"/>
  <c r="BE105" i="41"/>
  <c r="BF105" i="41"/>
  <c r="BG105"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AH106" i="41"/>
  <c r="AI106" i="41"/>
  <c r="AJ106" i="41"/>
  <c r="AK106" i="41"/>
  <c r="AL106" i="41"/>
  <c r="AM106" i="41"/>
  <c r="AN106" i="41"/>
  <c r="AO106" i="41"/>
  <c r="AP106" i="41"/>
  <c r="AQ106" i="41"/>
  <c r="AR106" i="41"/>
  <c r="AS106" i="41"/>
  <c r="AT106" i="41"/>
  <c r="AU106" i="41"/>
  <c r="AV106" i="41"/>
  <c r="AW106" i="41"/>
  <c r="AX106" i="41"/>
  <c r="AY106" i="41"/>
  <c r="AZ106" i="41"/>
  <c r="BA106" i="41"/>
  <c r="BB106" i="41"/>
  <c r="BC106" i="41"/>
  <c r="BD106" i="41"/>
  <c r="BE106" i="41"/>
  <c r="BF106" i="41"/>
  <c r="BG106"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AH107" i="41"/>
  <c r="AI107" i="41"/>
  <c r="AJ107" i="41"/>
  <c r="AK107" i="41"/>
  <c r="AL107" i="41"/>
  <c r="AM107" i="41"/>
  <c r="AN107" i="41"/>
  <c r="AO107" i="41"/>
  <c r="AP107" i="41"/>
  <c r="AQ107" i="41"/>
  <c r="AR107" i="41"/>
  <c r="AS107" i="41"/>
  <c r="AT107" i="41"/>
  <c r="AU107" i="41"/>
  <c r="AV107" i="41"/>
  <c r="AW107" i="41"/>
  <c r="AX107" i="41"/>
  <c r="AY107" i="41"/>
  <c r="AZ107" i="41"/>
  <c r="BA107" i="41"/>
  <c r="BB107" i="41"/>
  <c r="BC107" i="41"/>
  <c r="BD107" i="41"/>
  <c r="BE107" i="41"/>
  <c r="BF107" i="41"/>
  <c r="BG107"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AH108" i="41"/>
  <c r="AI108" i="41"/>
  <c r="AJ108" i="41"/>
  <c r="AK108" i="41"/>
  <c r="AL108" i="41"/>
  <c r="AM108" i="41"/>
  <c r="AN108" i="41"/>
  <c r="AO108" i="41"/>
  <c r="AP108" i="41"/>
  <c r="AQ108" i="41"/>
  <c r="AR108" i="41"/>
  <c r="AS108" i="41"/>
  <c r="AT108" i="41"/>
  <c r="AU108" i="41"/>
  <c r="AV108" i="41"/>
  <c r="AW108" i="41"/>
  <c r="AX108" i="41"/>
  <c r="AY108" i="41"/>
  <c r="AZ108" i="41"/>
  <c r="BA108" i="41"/>
  <c r="BB108" i="41"/>
  <c r="BC108" i="41"/>
  <c r="BD108" i="41"/>
  <c r="BE108" i="41"/>
  <c r="BF108" i="41"/>
  <c r="BG108"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AH109" i="41"/>
  <c r="AI109" i="41"/>
  <c r="AJ109" i="41"/>
  <c r="AK109" i="41"/>
  <c r="AL109" i="41"/>
  <c r="AM109" i="41"/>
  <c r="AN109" i="41"/>
  <c r="AO109" i="41"/>
  <c r="AP109" i="41"/>
  <c r="AQ109" i="41"/>
  <c r="AR109" i="41"/>
  <c r="AS109" i="41"/>
  <c r="AT109" i="41"/>
  <c r="AU109" i="41"/>
  <c r="AV109" i="41"/>
  <c r="AW109" i="41"/>
  <c r="AX109" i="41"/>
  <c r="AY109" i="41"/>
  <c r="AZ109" i="41"/>
  <c r="BA109" i="41"/>
  <c r="BB109" i="41"/>
  <c r="BC109" i="41"/>
  <c r="BD109" i="41"/>
  <c r="BE109" i="41"/>
  <c r="BF109" i="41"/>
  <c r="BG109"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AH110" i="41"/>
  <c r="AI110" i="41"/>
  <c r="AJ110" i="41"/>
  <c r="AK110" i="41"/>
  <c r="AL110" i="41"/>
  <c r="AM110" i="41"/>
  <c r="AN110" i="41"/>
  <c r="AO110" i="41"/>
  <c r="AP110" i="41"/>
  <c r="AQ110" i="41"/>
  <c r="AR110" i="41"/>
  <c r="AS110" i="41"/>
  <c r="AT110" i="41"/>
  <c r="AU110" i="41"/>
  <c r="AV110" i="41"/>
  <c r="AW110" i="41"/>
  <c r="AX110" i="41"/>
  <c r="AY110" i="41"/>
  <c r="AZ110" i="41"/>
  <c r="BA110" i="41"/>
  <c r="BB110" i="41"/>
  <c r="BC110" i="41"/>
  <c r="BD110" i="41"/>
  <c r="BE110" i="41"/>
  <c r="BF110" i="41"/>
  <c r="BG110" i="41"/>
  <c r="G111" i="41"/>
  <c r="H111" i="41"/>
  <c r="I111" i="41"/>
  <c r="J111" i="41"/>
  <c r="K111" i="41"/>
  <c r="L111" i="41"/>
  <c r="M111" i="41"/>
  <c r="N111" i="41"/>
  <c r="O111" i="41"/>
  <c r="P111" i="41"/>
  <c r="Q111" i="41"/>
  <c r="R111" i="41"/>
  <c r="S111" i="41"/>
  <c r="T111" i="41"/>
  <c r="U111" i="41"/>
  <c r="V111" i="41"/>
  <c r="W111" i="41"/>
  <c r="X111" i="41"/>
  <c r="Y111" i="41"/>
  <c r="Z111" i="41"/>
  <c r="AA111" i="41"/>
  <c r="AB111" i="41"/>
  <c r="AC111" i="41"/>
  <c r="AD111" i="41"/>
  <c r="AE111" i="41"/>
  <c r="AF111" i="41"/>
  <c r="AG111" i="41"/>
  <c r="AH111" i="41"/>
  <c r="AI111" i="41"/>
  <c r="AJ111" i="41"/>
  <c r="AK111" i="41"/>
  <c r="AL111" i="41"/>
  <c r="AM111" i="41"/>
  <c r="AN111" i="41"/>
  <c r="AO111" i="41"/>
  <c r="AP111" i="41"/>
  <c r="AQ111" i="41"/>
  <c r="AR111" i="41"/>
  <c r="AS111" i="41"/>
  <c r="AT111" i="41"/>
  <c r="AU111" i="41"/>
  <c r="AV111" i="41"/>
  <c r="AW111" i="41"/>
  <c r="AX111" i="41"/>
  <c r="AY111" i="41"/>
  <c r="AZ111" i="41"/>
  <c r="BA111" i="41"/>
  <c r="BB111" i="41"/>
  <c r="BC111" i="41"/>
  <c r="BD111" i="41"/>
  <c r="BE111" i="41"/>
  <c r="BF111" i="41"/>
  <c r="BG111"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AH112" i="41"/>
  <c r="AI112" i="41"/>
  <c r="AJ112" i="41"/>
  <c r="AK112" i="41"/>
  <c r="AL112" i="41"/>
  <c r="AM112" i="41"/>
  <c r="AN112" i="41"/>
  <c r="AO112" i="41"/>
  <c r="AP112" i="41"/>
  <c r="AQ112" i="41"/>
  <c r="AR112" i="41"/>
  <c r="AS112" i="41"/>
  <c r="AT112" i="41"/>
  <c r="AU112" i="41"/>
  <c r="AV112" i="41"/>
  <c r="AW112" i="41"/>
  <c r="AX112" i="41"/>
  <c r="AY112" i="41"/>
  <c r="AZ112" i="41"/>
  <c r="BA112" i="41"/>
  <c r="BB112" i="41"/>
  <c r="BC112" i="41"/>
  <c r="BD112" i="41"/>
  <c r="BE112" i="41"/>
  <c r="BF112" i="41"/>
  <c r="BG112"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AH113" i="41"/>
  <c r="AI113" i="41"/>
  <c r="AJ113" i="41"/>
  <c r="AK113" i="41"/>
  <c r="AL113" i="41"/>
  <c r="AM113" i="41"/>
  <c r="AN113" i="41"/>
  <c r="AO113" i="41"/>
  <c r="AP113" i="41"/>
  <c r="AQ113" i="41"/>
  <c r="AR113" i="41"/>
  <c r="AS113" i="41"/>
  <c r="AT113" i="41"/>
  <c r="AU113" i="41"/>
  <c r="AV113" i="41"/>
  <c r="AW113" i="41"/>
  <c r="AX113" i="41"/>
  <c r="AY113" i="41"/>
  <c r="AZ113" i="41"/>
  <c r="BA113" i="41"/>
  <c r="BB113" i="41"/>
  <c r="BC113" i="41"/>
  <c r="BD113" i="41"/>
  <c r="BE113" i="41"/>
  <c r="BF113" i="41"/>
  <c r="BG113"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AH114" i="41"/>
  <c r="AI114" i="41"/>
  <c r="AJ114" i="41"/>
  <c r="AK114" i="41"/>
  <c r="AL114" i="41"/>
  <c r="AM114" i="41"/>
  <c r="AN114" i="41"/>
  <c r="AO114" i="41"/>
  <c r="AP114" i="41"/>
  <c r="AQ114" i="41"/>
  <c r="AR114" i="41"/>
  <c r="AS114" i="41"/>
  <c r="AT114" i="41"/>
  <c r="AU114" i="41"/>
  <c r="AV114" i="41"/>
  <c r="AW114" i="41"/>
  <c r="AX114" i="41"/>
  <c r="AY114" i="41"/>
  <c r="AZ114" i="41"/>
  <c r="BA114" i="41"/>
  <c r="BB114" i="41"/>
  <c r="BC114" i="41"/>
  <c r="BD114" i="41"/>
  <c r="BE114" i="41"/>
  <c r="BF114" i="41"/>
  <c r="BG114"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AH115" i="41"/>
  <c r="AI115" i="41"/>
  <c r="AJ115" i="41"/>
  <c r="AK115" i="41"/>
  <c r="AL115" i="41"/>
  <c r="AM115" i="41"/>
  <c r="AN115" i="41"/>
  <c r="AO115" i="41"/>
  <c r="AP115" i="41"/>
  <c r="AQ115" i="41"/>
  <c r="AR115" i="41"/>
  <c r="AS115" i="41"/>
  <c r="AT115" i="41"/>
  <c r="AU115" i="41"/>
  <c r="AV115" i="41"/>
  <c r="AW115" i="41"/>
  <c r="AX115" i="41"/>
  <c r="AY115" i="41"/>
  <c r="AZ115" i="41"/>
  <c r="BA115" i="41"/>
  <c r="BB115" i="41"/>
  <c r="BC115" i="41"/>
  <c r="BD115" i="41"/>
  <c r="BE115" i="41"/>
  <c r="BF115" i="41"/>
  <c r="BG115"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AH116" i="41"/>
  <c r="AI116" i="41"/>
  <c r="AJ116" i="41"/>
  <c r="AK116" i="41"/>
  <c r="AL116" i="41"/>
  <c r="AM116" i="41"/>
  <c r="AN116" i="41"/>
  <c r="AO116" i="41"/>
  <c r="AP116" i="41"/>
  <c r="AQ116" i="41"/>
  <c r="AR116" i="41"/>
  <c r="AS116" i="41"/>
  <c r="AT116" i="41"/>
  <c r="AU116" i="41"/>
  <c r="AV116" i="41"/>
  <c r="AW116" i="41"/>
  <c r="AX116" i="41"/>
  <c r="AY116" i="41"/>
  <c r="AZ116" i="41"/>
  <c r="BA116" i="41"/>
  <c r="BB116" i="41"/>
  <c r="BC116" i="41"/>
  <c r="BD116" i="41"/>
  <c r="BE116" i="41"/>
  <c r="BF116" i="41"/>
  <c r="BG116"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AH117" i="41"/>
  <c r="AI117" i="41"/>
  <c r="AJ117" i="41"/>
  <c r="AK117" i="41"/>
  <c r="AL117" i="41"/>
  <c r="AM117" i="41"/>
  <c r="AN117" i="41"/>
  <c r="AO117" i="41"/>
  <c r="AP117" i="41"/>
  <c r="AQ117" i="41"/>
  <c r="AR117" i="41"/>
  <c r="AS117" i="41"/>
  <c r="AT117" i="41"/>
  <c r="AU117" i="41"/>
  <c r="AV117" i="41"/>
  <c r="AW117" i="41"/>
  <c r="AX117" i="41"/>
  <c r="AY117" i="41"/>
  <c r="AZ117" i="41"/>
  <c r="BA117" i="41"/>
  <c r="BB117" i="41"/>
  <c r="BC117" i="41"/>
  <c r="BD117" i="41"/>
  <c r="BE117" i="41"/>
  <c r="BF117" i="41"/>
  <c r="BG117"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AH118" i="41"/>
  <c r="AI118" i="41"/>
  <c r="AJ118" i="41"/>
  <c r="AK118" i="41"/>
  <c r="AL118" i="41"/>
  <c r="AM118" i="41"/>
  <c r="AN118" i="41"/>
  <c r="AO118" i="41"/>
  <c r="AP118" i="41"/>
  <c r="AQ118" i="41"/>
  <c r="AR118" i="41"/>
  <c r="AS118" i="41"/>
  <c r="AT118" i="41"/>
  <c r="AU118" i="41"/>
  <c r="AV118" i="41"/>
  <c r="AW118" i="41"/>
  <c r="AX118" i="41"/>
  <c r="AY118" i="41"/>
  <c r="AZ118" i="41"/>
  <c r="BA118" i="41"/>
  <c r="BB118" i="41"/>
  <c r="BC118" i="41"/>
  <c r="BD118" i="41"/>
  <c r="BE118" i="41"/>
  <c r="BF118" i="41"/>
  <c r="BG118"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AH119" i="41"/>
  <c r="AI119" i="41"/>
  <c r="AJ119" i="41"/>
  <c r="AK119" i="41"/>
  <c r="AL119" i="41"/>
  <c r="AM119" i="41"/>
  <c r="AN119" i="41"/>
  <c r="AO119" i="41"/>
  <c r="AP119" i="41"/>
  <c r="AQ119" i="41"/>
  <c r="AR119" i="41"/>
  <c r="AS119" i="41"/>
  <c r="AT119" i="41"/>
  <c r="AU119" i="41"/>
  <c r="AV119" i="41"/>
  <c r="AW119" i="41"/>
  <c r="AX119" i="41"/>
  <c r="AY119" i="41"/>
  <c r="AZ119" i="41"/>
  <c r="BA119" i="41"/>
  <c r="BB119" i="41"/>
  <c r="BC119" i="41"/>
  <c r="BD119" i="41"/>
  <c r="BE119" i="41"/>
  <c r="BF119" i="41"/>
  <c r="BG119"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AH120" i="41"/>
  <c r="AI120" i="41"/>
  <c r="AJ120" i="41"/>
  <c r="AK120" i="41"/>
  <c r="AL120" i="41"/>
  <c r="AM120" i="41"/>
  <c r="AN120" i="41"/>
  <c r="AO120" i="41"/>
  <c r="AP120" i="41"/>
  <c r="AQ120" i="41"/>
  <c r="AR120" i="41"/>
  <c r="AS120" i="41"/>
  <c r="AT120" i="41"/>
  <c r="AU120" i="41"/>
  <c r="AV120" i="41"/>
  <c r="AW120" i="41"/>
  <c r="AX120" i="41"/>
  <c r="AY120" i="41"/>
  <c r="AZ120" i="41"/>
  <c r="BA120" i="41"/>
  <c r="BB120" i="41"/>
  <c r="BC120" i="41"/>
  <c r="BD120" i="41"/>
  <c r="BE120" i="41"/>
  <c r="BF120" i="41"/>
  <c r="BG120"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AH121" i="41"/>
  <c r="AI121" i="41"/>
  <c r="AJ121" i="41"/>
  <c r="AK121" i="41"/>
  <c r="AL121" i="41"/>
  <c r="AM121" i="41"/>
  <c r="AN121" i="41"/>
  <c r="AO121" i="41"/>
  <c r="AP121" i="41"/>
  <c r="AQ121" i="41"/>
  <c r="AR121" i="41"/>
  <c r="AS121" i="41"/>
  <c r="AT121" i="41"/>
  <c r="AU121" i="41"/>
  <c r="AV121" i="41"/>
  <c r="AW121" i="41"/>
  <c r="AX121" i="41"/>
  <c r="AY121" i="41"/>
  <c r="AZ121" i="41"/>
  <c r="BA121" i="41"/>
  <c r="BB121" i="41"/>
  <c r="BC121" i="41"/>
  <c r="BD121" i="41"/>
  <c r="BE121" i="41"/>
  <c r="BF121" i="41"/>
  <c r="BG121" i="41"/>
  <c r="G122" i="41"/>
  <c r="H122" i="41"/>
  <c r="I122" i="41"/>
  <c r="J122" i="41"/>
  <c r="K122" i="41"/>
  <c r="L122" i="41"/>
  <c r="M122" i="41"/>
  <c r="N122" i="41"/>
  <c r="O122" i="41"/>
  <c r="P122" i="41"/>
  <c r="Q122" i="41"/>
  <c r="R122" i="41"/>
  <c r="S122" i="41"/>
  <c r="T122" i="41"/>
  <c r="U122" i="41"/>
  <c r="V122" i="41"/>
  <c r="W122" i="41"/>
  <c r="X122" i="41"/>
  <c r="Y122" i="41"/>
  <c r="Z122" i="41"/>
  <c r="AA122" i="41"/>
  <c r="AB122" i="41"/>
  <c r="AC122" i="41"/>
  <c r="AD122" i="41"/>
  <c r="AE122" i="41"/>
  <c r="AF122" i="41"/>
  <c r="AG122" i="41"/>
  <c r="AH122" i="41"/>
  <c r="AI122" i="41"/>
  <c r="AJ122" i="41"/>
  <c r="AK122" i="41"/>
  <c r="AL122" i="41"/>
  <c r="AM122" i="41"/>
  <c r="AN122" i="41"/>
  <c r="AO122" i="41"/>
  <c r="AP122" i="41"/>
  <c r="AQ122" i="41"/>
  <c r="AR122" i="41"/>
  <c r="AS122" i="41"/>
  <c r="AT122" i="41"/>
  <c r="AU122" i="41"/>
  <c r="AV122" i="41"/>
  <c r="AW122" i="41"/>
  <c r="AX122" i="41"/>
  <c r="AY122" i="41"/>
  <c r="AZ122" i="41"/>
  <c r="BA122" i="41"/>
  <c r="BB122" i="41"/>
  <c r="BC122" i="41"/>
  <c r="BD122" i="41"/>
  <c r="BE122" i="41"/>
  <c r="BF122" i="41"/>
  <c r="BG122"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AH123" i="41"/>
  <c r="AI123" i="41"/>
  <c r="AJ123" i="41"/>
  <c r="AK123" i="41"/>
  <c r="AL123" i="41"/>
  <c r="AM123" i="41"/>
  <c r="AN123" i="41"/>
  <c r="AO123" i="41"/>
  <c r="AP123" i="41"/>
  <c r="AQ123" i="41"/>
  <c r="AR123" i="41"/>
  <c r="AS123" i="41"/>
  <c r="AT123" i="41"/>
  <c r="AU123" i="41"/>
  <c r="AV123" i="41"/>
  <c r="AW123" i="41"/>
  <c r="AX123" i="41"/>
  <c r="AY123" i="41"/>
  <c r="AZ123" i="41"/>
  <c r="BA123" i="41"/>
  <c r="BB123" i="41"/>
  <c r="BC123" i="41"/>
  <c r="BD123" i="41"/>
  <c r="BE123" i="41"/>
  <c r="BF123" i="41"/>
  <c r="BG123"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AH124" i="41"/>
  <c r="AI124" i="41"/>
  <c r="AJ124" i="41"/>
  <c r="AK124" i="41"/>
  <c r="AL124" i="41"/>
  <c r="AM124" i="41"/>
  <c r="AN124" i="41"/>
  <c r="AO124" i="41"/>
  <c r="AP124" i="41"/>
  <c r="AQ124" i="41"/>
  <c r="AR124" i="41"/>
  <c r="AS124" i="41"/>
  <c r="AT124" i="41"/>
  <c r="AU124" i="41"/>
  <c r="AV124" i="41"/>
  <c r="AW124" i="41"/>
  <c r="AX124" i="41"/>
  <c r="AY124" i="41"/>
  <c r="AZ124" i="41"/>
  <c r="BA124" i="41"/>
  <c r="BB124" i="41"/>
  <c r="BC124" i="41"/>
  <c r="BD124" i="41"/>
  <c r="BE124" i="41"/>
  <c r="BF124" i="41"/>
  <c r="BG124"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AH125" i="41"/>
  <c r="AI125" i="41"/>
  <c r="AJ125" i="41"/>
  <c r="AK125" i="41"/>
  <c r="AL125" i="41"/>
  <c r="AM125" i="41"/>
  <c r="AN125" i="41"/>
  <c r="AO125" i="41"/>
  <c r="AP125" i="41"/>
  <c r="AQ125" i="41"/>
  <c r="AR125" i="41"/>
  <c r="AS125" i="41"/>
  <c r="AT125" i="41"/>
  <c r="AU125" i="41"/>
  <c r="AV125" i="41"/>
  <c r="AW125" i="41"/>
  <c r="AX125" i="41"/>
  <c r="AY125" i="41"/>
  <c r="AZ125" i="41"/>
  <c r="BA125" i="41"/>
  <c r="BB125" i="41"/>
  <c r="BC125" i="41"/>
  <c r="BD125" i="41"/>
  <c r="BE125" i="41"/>
  <c r="BF125" i="41"/>
  <c r="BG125"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AH126" i="41"/>
  <c r="AI126" i="41"/>
  <c r="AJ126" i="41"/>
  <c r="AK126" i="41"/>
  <c r="AL126" i="41"/>
  <c r="AM126" i="41"/>
  <c r="AN126" i="41"/>
  <c r="AO126" i="41"/>
  <c r="AP126" i="41"/>
  <c r="AQ126" i="41"/>
  <c r="AR126" i="41"/>
  <c r="AS126" i="41"/>
  <c r="AT126" i="41"/>
  <c r="AU126" i="41"/>
  <c r="AV126" i="41"/>
  <c r="AW126" i="41"/>
  <c r="AX126" i="41"/>
  <c r="AY126" i="41"/>
  <c r="AZ126" i="41"/>
  <c r="BA126" i="41"/>
  <c r="BB126" i="41"/>
  <c r="BC126" i="41"/>
  <c r="BD126" i="41"/>
  <c r="BE126" i="41"/>
  <c r="BF126" i="41"/>
  <c r="BG126"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AH127" i="41"/>
  <c r="AI127" i="41"/>
  <c r="AJ127" i="41"/>
  <c r="AK127" i="41"/>
  <c r="AL127" i="41"/>
  <c r="AM127" i="41"/>
  <c r="AN127" i="41"/>
  <c r="AO127" i="41"/>
  <c r="AP127" i="41"/>
  <c r="AQ127" i="41"/>
  <c r="AR127" i="41"/>
  <c r="AS127" i="41"/>
  <c r="AT127" i="41"/>
  <c r="AU127" i="41"/>
  <c r="AV127" i="41"/>
  <c r="AW127" i="41"/>
  <c r="AX127" i="41"/>
  <c r="AY127" i="41"/>
  <c r="AZ127" i="41"/>
  <c r="BA127" i="41"/>
  <c r="BB127" i="41"/>
  <c r="BC127" i="41"/>
  <c r="BD127" i="41"/>
  <c r="BE127" i="41"/>
  <c r="BF127" i="41"/>
  <c r="BG127"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AH128" i="41"/>
  <c r="AI128" i="41"/>
  <c r="AJ128" i="41"/>
  <c r="AK128" i="41"/>
  <c r="AL128" i="41"/>
  <c r="AM128" i="41"/>
  <c r="AN128" i="41"/>
  <c r="AO128" i="41"/>
  <c r="AP128" i="41"/>
  <c r="AQ128" i="41"/>
  <c r="AR128" i="41"/>
  <c r="AS128" i="41"/>
  <c r="AT128" i="41"/>
  <c r="AU128" i="41"/>
  <c r="AV128" i="41"/>
  <c r="AW128" i="41"/>
  <c r="AX128" i="41"/>
  <c r="AY128" i="41"/>
  <c r="AZ128" i="41"/>
  <c r="BA128" i="41"/>
  <c r="BB128" i="41"/>
  <c r="BC128" i="41"/>
  <c r="BD128" i="41"/>
  <c r="BE128" i="41"/>
  <c r="BF128" i="41"/>
  <c r="BG128"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AH129" i="41"/>
  <c r="AI129" i="41"/>
  <c r="AJ129" i="41"/>
  <c r="AK129" i="41"/>
  <c r="AL129" i="41"/>
  <c r="AM129" i="41"/>
  <c r="AN129" i="41"/>
  <c r="AO129" i="41"/>
  <c r="AP129" i="41"/>
  <c r="AQ129" i="41"/>
  <c r="AR129" i="41"/>
  <c r="AS129" i="41"/>
  <c r="AT129" i="41"/>
  <c r="AU129" i="41"/>
  <c r="AV129" i="41"/>
  <c r="AW129" i="41"/>
  <c r="AX129" i="41"/>
  <c r="AY129" i="41"/>
  <c r="AZ129" i="41"/>
  <c r="BA129" i="41"/>
  <c r="BB129" i="41"/>
  <c r="BC129" i="41"/>
  <c r="BD129" i="41"/>
  <c r="BE129" i="41"/>
  <c r="BF129" i="41"/>
  <c r="BG129"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AH130" i="41"/>
  <c r="AI130" i="41"/>
  <c r="AJ130" i="41"/>
  <c r="AK130" i="41"/>
  <c r="AL130" i="41"/>
  <c r="AM130" i="41"/>
  <c r="AN130" i="41"/>
  <c r="AO130" i="41"/>
  <c r="AP130" i="41"/>
  <c r="AQ130" i="41"/>
  <c r="AR130" i="41"/>
  <c r="AS130" i="41"/>
  <c r="AT130" i="41"/>
  <c r="AU130" i="41"/>
  <c r="AV130" i="41"/>
  <c r="AW130" i="41"/>
  <c r="AX130" i="41"/>
  <c r="AY130" i="41"/>
  <c r="AZ130" i="41"/>
  <c r="BA130" i="41"/>
  <c r="BB130" i="41"/>
  <c r="BC130" i="41"/>
  <c r="BD130" i="41"/>
  <c r="BE130" i="41"/>
  <c r="BF130" i="41"/>
  <c r="BG130"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AH131" i="41"/>
  <c r="AI131" i="41"/>
  <c r="AJ131" i="41"/>
  <c r="AK131" i="41"/>
  <c r="AL131" i="41"/>
  <c r="AM131" i="41"/>
  <c r="AN131" i="41"/>
  <c r="AO131" i="41"/>
  <c r="AP131" i="41"/>
  <c r="AQ131" i="41"/>
  <c r="AR131" i="41"/>
  <c r="AS131" i="41"/>
  <c r="AT131" i="41"/>
  <c r="AU131" i="41"/>
  <c r="AV131" i="41"/>
  <c r="AW131" i="41"/>
  <c r="AX131" i="41"/>
  <c r="AY131" i="41"/>
  <c r="AZ131" i="41"/>
  <c r="BA131" i="41"/>
  <c r="BB131" i="41"/>
  <c r="BC131" i="41"/>
  <c r="BD131" i="41"/>
  <c r="BE131" i="41"/>
  <c r="BF131" i="41"/>
  <c r="BG131"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AH132" i="41"/>
  <c r="AI132" i="41"/>
  <c r="AJ132" i="41"/>
  <c r="AK132" i="41"/>
  <c r="AL132" i="41"/>
  <c r="AM132" i="41"/>
  <c r="AN132" i="41"/>
  <c r="AO132" i="41"/>
  <c r="AP132" i="41"/>
  <c r="AQ132" i="41"/>
  <c r="AR132" i="41"/>
  <c r="AS132" i="41"/>
  <c r="AT132" i="41"/>
  <c r="AU132" i="41"/>
  <c r="AV132" i="41"/>
  <c r="AW132" i="41"/>
  <c r="AX132" i="41"/>
  <c r="AY132" i="41"/>
  <c r="AZ132" i="41"/>
  <c r="BA132" i="41"/>
  <c r="BB132" i="41"/>
  <c r="BC132" i="41"/>
  <c r="BD132" i="41"/>
  <c r="BE132" i="41"/>
  <c r="BF132" i="41"/>
  <c r="BG132"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AH133" i="41"/>
  <c r="AI133" i="41"/>
  <c r="AJ133" i="41"/>
  <c r="AK133" i="41"/>
  <c r="AL133" i="41"/>
  <c r="AM133" i="41"/>
  <c r="AN133" i="41"/>
  <c r="AO133" i="41"/>
  <c r="AP133" i="41"/>
  <c r="AQ133" i="41"/>
  <c r="AR133" i="41"/>
  <c r="AS133" i="41"/>
  <c r="AT133" i="41"/>
  <c r="AU133" i="41"/>
  <c r="AV133" i="41"/>
  <c r="AW133" i="41"/>
  <c r="AX133" i="41"/>
  <c r="AY133" i="41"/>
  <c r="AZ133" i="41"/>
  <c r="BA133" i="41"/>
  <c r="BB133" i="41"/>
  <c r="BC133" i="41"/>
  <c r="BD133" i="41"/>
  <c r="BE133" i="41"/>
  <c r="BF133" i="41"/>
  <c r="BG133" i="41"/>
  <c r="G134" i="41"/>
  <c r="H134" i="41"/>
  <c r="I134" i="41"/>
  <c r="J134" i="41"/>
  <c r="K134" i="41"/>
  <c r="L134" i="41"/>
  <c r="M134" i="41"/>
  <c r="N134" i="41"/>
  <c r="O134" i="41"/>
  <c r="P134" i="41"/>
  <c r="Q134" i="41"/>
  <c r="R134" i="41"/>
  <c r="S134" i="41"/>
  <c r="T134" i="41"/>
  <c r="U134" i="41"/>
  <c r="V134" i="41"/>
  <c r="W134" i="41"/>
  <c r="X134" i="41"/>
  <c r="Y134" i="41"/>
  <c r="Z134" i="41"/>
  <c r="AA134" i="41"/>
  <c r="AB134" i="41"/>
  <c r="AC134" i="41"/>
  <c r="AD134" i="41"/>
  <c r="AE134" i="41"/>
  <c r="AF134" i="41"/>
  <c r="AG134" i="41"/>
  <c r="AH134" i="41"/>
  <c r="AI134" i="41"/>
  <c r="AJ134" i="41"/>
  <c r="AK134" i="41"/>
  <c r="AL134" i="41"/>
  <c r="AM134" i="41"/>
  <c r="AN134" i="41"/>
  <c r="AO134" i="41"/>
  <c r="AP134" i="41"/>
  <c r="AQ134" i="41"/>
  <c r="AR134" i="41"/>
  <c r="AS134" i="41"/>
  <c r="AT134" i="41"/>
  <c r="AU134" i="41"/>
  <c r="AV134" i="41"/>
  <c r="AW134" i="41"/>
  <c r="AX134" i="41"/>
  <c r="AY134" i="41"/>
  <c r="AZ134" i="41"/>
  <c r="BA134" i="41"/>
  <c r="BB134" i="41"/>
  <c r="BC134" i="41"/>
  <c r="BD134" i="41"/>
  <c r="BE134" i="41"/>
  <c r="BF134" i="41"/>
  <c r="BG134" i="41"/>
  <c r="G135" i="41"/>
  <c r="H135" i="41"/>
  <c r="I135" i="41"/>
  <c r="J135" i="41"/>
  <c r="K135" i="41"/>
  <c r="L135" i="41"/>
  <c r="M135" i="41"/>
  <c r="N135" i="41"/>
  <c r="O135" i="41"/>
  <c r="P135" i="41"/>
  <c r="Q135" i="41"/>
  <c r="R135" i="41"/>
  <c r="S135" i="41"/>
  <c r="T135" i="41"/>
  <c r="U135" i="41"/>
  <c r="V135" i="41"/>
  <c r="W135" i="41"/>
  <c r="X135" i="41"/>
  <c r="Y135" i="41"/>
  <c r="Z135" i="41"/>
  <c r="AA135" i="41"/>
  <c r="AB135" i="41"/>
  <c r="AC135" i="41"/>
  <c r="AD135" i="41"/>
  <c r="AE135" i="41"/>
  <c r="AF135" i="41"/>
  <c r="AG135" i="41"/>
  <c r="AH135" i="41"/>
  <c r="AI135" i="41"/>
  <c r="AJ135" i="41"/>
  <c r="AK135" i="41"/>
  <c r="AL135" i="41"/>
  <c r="AM135" i="41"/>
  <c r="AN135" i="41"/>
  <c r="AO135" i="41"/>
  <c r="AP135" i="41"/>
  <c r="AQ135" i="41"/>
  <c r="AR135" i="41"/>
  <c r="AS135" i="41"/>
  <c r="AT135" i="41"/>
  <c r="AU135" i="41"/>
  <c r="AV135" i="41"/>
  <c r="AW135" i="41"/>
  <c r="AX135" i="41"/>
  <c r="AY135" i="41"/>
  <c r="AZ135" i="41"/>
  <c r="BA135" i="41"/>
  <c r="BB135" i="41"/>
  <c r="BC135" i="41"/>
  <c r="BD135" i="41"/>
  <c r="BE135" i="41"/>
  <c r="BF135" i="41"/>
  <c r="BG135" i="41"/>
  <c r="G136" i="41"/>
  <c r="H136" i="41"/>
  <c r="I136" i="41"/>
  <c r="J136" i="41"/>
  <c r="K136" i="41"/>
  <c r="L136" i="41"/>
  <c r="M136" i="41"/>
  <c r="N136" i="41"/>
  <c r="O136" i="41"/>
  <c r="P136" i="41"/>
  <c r="Q136" i="41"/>
  <c r="R136" i="41"/>
  <c r="S136" i="41"/>
  <c r="T136" i="41"/>
  <c r="U136" i="41"/>
  <c r="V136" i="41"/>
  <c r="W136" i="41"/>
  <c r="X136" i="41"/>
  <c r="Y136" i="41"/>
  <c r="Z136" i="41"/>
  <c r="AA136" i="41"/>
  <c r="AB136" i="41"/>
  <c r="AC136" i="41"/>
  <c r="AD136" i="41"/>
  <c r="AE136" i="41"/>
  <c r="AF136" i="41"/>
  <c r="AG136" i="41"/>
  <c r="AH136" i="41"/>
  <c r="AI136" i="41"/>
  <c r="AJ136" i="41"/>
  <c r="AK136" i="41"/>
  <c r="AL136" i="41"/>
  <c r="AM136" i="41"/>
  <c r="AN136" i="41"/>
  <c r="AO136" i="41"/>
  <c r="AP136" i="41"/>
  <c r="AQ136" i="41"/>
  <c r="AR136" i="41"/>
  <c r="AS136" i="41"/>
  <c r="AT136" i="41"/>
  <c r="AU136" i="41"/>
  <c r="AV136" i="41"/>
  <c r="AW136" i="41"/>
  <c r="AX136" i="41"/>
  <c r="AY136" i="41"/>
  <c r="AZ136" i="41"/>
  <c r="BA136" i="41"/>
  <c r="BB136" i="41"/>
  <c r="BC136" i="41"/>
  <c r="BD136" i="41"/>
  <c r="BE136" i="41"/>
  <c r="BF136" i="41"/>
  <c r="BG136"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AH137" i="41"/>
  <c r="AI137" i="41"/>
  <c r="AJ137" i="41"/>
  <c r="AK137" i="41"/>
  <c r="AL137" i="41"/>
  <c r="AM137" i="41"/>
  <c r="AN137" i="41"/>
  <c r="AO137" i="41"/>
  <c r="AP137" i="41"/>
  <c r="AQ137" i="41"/>
  <c r="AR137" i="41"/>
  <c r="AS137" i="41"/>
  <c r="AT137" i="41"/>
  <c r="AU137" i="41"/>
  <c r="AV137" i="41"/>
  <c r="AW137" i="41"/>
  <c r="AX137" i="41"/>
  <c r="AY137" i="41"/>
  <c r="AZ137" i="41"/>
  <c r="BA137" i="41"/>
  <c r="BB137" i="41"/>
  <c r="BC137" i="41"/>
  <c r="BD137" i="41"/>
  <c r="BE137" i="41"/>
  <c r="BF137" i="41"/>
  <c r="BG137"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AH138" i="41"/>
  <c r="AI138" i="41"/>
  <c r="AJ138" i="41"/>
  <c r="AK138" i="41"/>
  <c r="AL138" i="41"/>
  <c r="AM138" i="41"/>
  <c r="AN138" i="41"/>
  <c r="AO138" i="41"/>
  <c r="AP138" i="41"/>
  <c r="AQ138" i="41"/>
  <c r="AR138" i="41"/>
  <c r="AS138" i="41"/>
  <c r="AT138" i="41"/>
  <c r="AU138" i="41"/>
  <c r="AV138" i="41"/>
  <c r="AW138" i="41"/>
  <c r="AX138" i="41"/>
  <c r="AY138" i="41"/>
  <c r="AZ138" i="41"/>
  <c r="BA138" i="41"/>
  <c r="BB138" i="41"/>
  <c r="BC138" i="41"/>
  <c r="BD138" i="41"/>
  <c r="BE138" i="41"/>
  <c r="BF138" i="41"/>
  <c r="BG138"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AH139" i="41"/>
  <c r="AI139" i="41"/>
  <c r="AJ139" i="41"/>
  <c r="AK139" i="41"/>
  <c r="AL139" i="41"/>
  <c r="AM139" i="41"/>
  <c r="AN139" i="41"/>
  <c r="AO139" i="41"/>
  <c r="AP139" i="41"/>
  <c r="AQ139" i="41"/>
  <c r="AR139" i="41"/>
  <c r="AS139" i="41"/>
  <c r="AT139" i="41"/>
  <c r="AU139" i="41"/>
  <c r="AV139" i="41"/>
  <c r="AW139" i="41"/>
  <c r="AX139" i="41"/>
  <c r="AY139" i="41"/>
  <c r="AZ139" i="41"/>
  <c r="BA139" i="41"/>
  <c r="BB139" i="41"/>
  <c r="BC139" i="41"/>
  <c r="BD139" i="41"/>
  <c r="BE139" i="41"/>
  <c r="BF139" i="41"/>
  <c r="BG139"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AH140" i="41"/>
  <c r="AI140" i="41"/>
  <c r="AJ140" i="41"/>
  <c r="AK140" i="41"/>
  <c r="AL140" i="41"/>
  <c r="AM140" i="41"/>
  <c r="AN140" i="41"/>
  <c r="AO140" i="41"/>
  <c r="AP140" i="41"/>
  <c r="AQ140" i="41"/>
  <c r="AR140" i="41"/>
  <c r="AS140" i="41"/>
  <c r="AT140" i="41"/>
  <c r="AU140" i="41"/>
  <c r="AV140" i="41"/>
  <c r="AW140" i="41"/>
  <c r="AX140" i="41"/>
  <c r="AY140" i="41"/>
  <c r="AZ140" i="41"/>
  <c r="BA140" i="41"/>
  <c r="BB140" i="41"/>
  <c r="BC140" i="41"/>
  <c r="BD140" i="41"/>
  <c r="BE140" i="41"/>
  <c r="BF140" i="41"/>
  <c r="BG140"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AH141" i="41"/>
  <c r="AI141" i="41"/>
  <c r="AJ141" i="41"/>
  <c r="AK141" i="41"/>
  <c r="AL141" i="41"/>
  <c r="AM141" i="41"/>
  <c r="AN141" i="41"/>
  <c r="AO141" i="41"/>
  <c r="AP141" i="41"/>
  <c r="AQ141" i="41"/>
  <c r="AR141" i="41"/>
  <c r="AS141" i="41"/>
  <c r="AT141" i="41"/>
  <c r="AU141" i="41"/>
  <c r="AV141" i="41"/>
  <c r="AW141" i="41"/>
  <c r="AX141" i="41"/>
  <c r="AY141" i="41"/>
  <c r="AZ141" i="41"/>
  <c r="BA141" i="41"/>
  <c r="BB141" i="41"/>
  <c r="BC141" i="41"/>
  <c r="BD141" i="41"/>
  <c r="BE141" i="41"/>
  <c r="BF141" i="41"/>
  <c r="BG141"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AH142" i="41"/>
  <c r="AI142" i="41"/>
  <c r="AJ142" i="41"/>
  <c r="AK142" i="41"/>
  <c r="AL142" i="41"/>
  <c r="AM142" i="41"/>
  <c r="AN142" i="41"/>
  <c r="AO142" i="41"/>
  <c r="AP142" i="41"/>
  <c r="AQ142" i="41"/>
  <c r="AR142" i="41"/>
  <c r="AS142" i="41"/>
  <c r="AT142" i="41"/>
  <c r="AU142" i="41"/>
  <c r="AV142" i="41"/>
  <c r="AW142" i="41"/>
  <c r="AX142" i="41"/>
  <c r="AY142" i="41"/>
  <c r="AZ142" i="41"/>
  <c r="BA142" i="41"/>
  <c r="BB142" i="41"/>
  <c r="BC142" i="41"/>
  <c r="BD142" i="41"/>
  <c r="BE142" i="41"/>
  <c r="BF142" i="41"/>
  <c r="BG142"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AH143" i="41"/>
  <c r="AI143" i="41"/>
  <c r="AJ143" i="41"/>
  <c r="AK143" i="41"/>
  <c r="AL143" i="41"/>
  <c r="AM143" i="41"/>
  <c r="AN143" i="41"/>
  <c r="AO143" i="41"/>
  <c r="AP143" i="41"/>
  <c r="AQ143" i="41"/>
  <c r="AR143" i="41"/>
  <c r="AS143" i="41"/>
  <c r="AT143" i="41"/>
  <c r="AU143" i="41"/>
  <c r="AV143" i="41"/>
  <c r="AW143" i="41"/>
  <c r="AX143" i="41"/>
  <c r="AY143" i="41"/>
  <c r="AZ143" i="41"/>
  <c r="BA143" i="41"/>
  <c r="BB143" i="41"/>
  <c r="BC143" i="41"/>
  <c r="BD143" i="41"/>
  <c r="BE143" i="41"/>
  <c r="BF143" i="41"/>
  <c r="BG143" i="41"/>
  <c r="G144" i="41"/>
  <c r="H144" i="41"/>
  <c r="I144" i="41"/>
  <c r="J144" i="41"/>
  <c r="K144" i="41"/>
  <c r="L144" i="41"/>
  <c r="M144" i="41"/>
  <c r="N144" i="41"/>
  <c r="O144" i="41"/>
  <c r="P144" i="41"/>
  <c r="P6" i="41" s="1"/>
  <c r="Q144" i="41"/>
  <c r="R144" i="41"/>
  <c r="S144" i="41"/>
  <c r="T144" i="41"/>
  <c r="U144" i="41"/>
  <c r="V144" i="41"/>
  <c r="W144" i="41"/>
  <c r="X144" i="41"/>
  <c r="X6" i="41" s="1"/>
  <c r="Y144" i="41"/>
  <c r="Z144" i="41"/>
  <c r="AA144" i="41"/>
  <c r="AB144" i="41"/>
  <c r="AC144" i="41"/>
  <c r="AD144" i="41"/>
  <c r="AE144" i="41"/>
  <c r="AF144" i="41"/>
  <c r="AG144" i="41"/>
  <c r="AH144" i="41"/>
  <c r="AI144" i="41"/>
  <c r="AJ144" i="41"/>
  <c r="AK144" i="41"/>
  <c r="AL144" i="41"/>
  <c r="AM144" i="41"/>
  <c r="AN144" i="41"/>
  <c r="AN146" i="41" s="1"/>
  <c r="AO144" i="41"/>
  <c r="AP144" i="41"/>
  <c r="AQ144" i="41"/>
  <c r="AR144" i="41"/>
  <c r="AS144" i="41"/>
  <c r="AT144" i="41"/>
  <c r="AU144" i="41"/>
  <c r="AV144" i="41"/>
  <c r="AV6" i="41"/>
  <c r="AV8" i="41" s="1"/>
  <c r="AW144" i="41"/>
  <c r="AX144" i="41"/>
  <c r="AY144" i="41"/>
  <c r="AZ144" i="41"/>
  <c r="BA144" i="41"/>
  <c r="BB144" i="41"/>
  <c r="BC144" i="41"/>
  <c r="BD144" i="41"/>
  <c r="BD6" i="41"/>
  <c r="BE144" i="41"/>
  <c r="BF144" i="41"/>
  <c r="BG144" i="41"/>
  <c r="F144" i="41"/>
  <c r="F143" i="41"/>
  <c r="F142" i="41"/>
  <c r="F141" i="41"/>
  <c r="F140" i="41"/>
  <c r="F139" i="41"/>
  <c r="F138" i="41"/>
  <c r="F137" i="41"/>
  <c r="F136" i="41"/>
  <c r="F135" i="41"/>
  <c r="F134" i="41"/>
  <c r="F133" i="41"/>
  <c r="F132" i="41"/>
  <c r="F131" i="41"/>
  <c r="F130" i="41"/>
  <c r="F129" i="41"/>
  <c r="F128" i="41"/>
  <c r="F127" i="41"/>
  <c r="F126" i="41"/>
  <c r="F125" i="41"/>
  <c r="F124" i="41"/>
  <c r="F123" i="41"/>
  <c r="F122" i="41"/>
  <c r="F121" i="41"/>
  <c r="F120" i="41"/>
  <c r="F119" i="41"/>
  <c r="F118" i="41"/>
  <c r="F117" i="41"/>
  <c r="F116" i="41"/>
  <c r="F115" i="41"/>
  <c r="F114" i="41"/>
  <c r="F113" i="41"/>
  <c r="F112" i="41"/>
  <c r="F111" i="41"/>
  <c r="F110" i="41"/>
  <c r="F109" i="41"/>
  <c r="F108" i="41"/>
  <c r="F107" i="41"/>
  <c r="F106" i="41"/>
  <c r="F105" i="41"/>
  <c r="F104" i="41"/>
  <c r="F103" i="41"/>
  <c r="F102" i="41"/>
  <c r="F101" i="41"/>
  <c r="F100" i="41"/>
  <c r="F99" i="41"/>
  <c r="F98" i="41"/>
  <c r="F97" i="41"/>
  <c r="F96" i="41"/>
  <c r="F95" i="41"/>
  <c r="F94" i="41"/>
  <c r="F93" i="41"/>
  <c r="F92" i="41"/>
  <c r="F91" i="41"/>
  <c r="F90" i="41"/>
  <c r="F89" i="41"/>
  <c r="F88" i="41"/>
  <c r="F87" i="41"/>
  <c r="F86" i="41"/>
  <c r="F85" i="41"/>
  <c r="F84" i="41"/>
  <c r="F83" i="41"/>
  <c r="F82" i="41"/>
  <c r="F81" i="41"/>
  <c r="F80" i="41"/>
  <c r="F146" i="41" s="1"/>
  <c r="F74" i="41"/>
  <c r="F73" i="41"/>
  <c r="F72" i="41"/>
  <c r="F71" i="41"/>
  <c r="F70" i="41"/>
  <c r="F69" i="41"/>
  <c r="F68" i="41"/>
  <c r="F67" i="41"/>
  <c r="F66" i="41"/>
  <c r="F65" i="41"/>
  <c r="F64" i="41"/>
  <c r="F63" i="41"/>
  <c r="F62" i="41"/>
  <c r="F61" i="41"/>
  <c r="F60" i="41"/>
  <c r="F59" i="41"/>
  <c r="F58" i="41"/>
  <c r="F57" i="41"/>
  <c r="F56" i="41"/>
  <c r="F55" i="41"/>
  <c r="F54" i="41"/>
  <c r="F53" i="41"/>
  <c r="F52" i="41"/>
  <c r="F51" i="41"/>
  <c r="F50"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F10" i="41"/>
  <c r="AQ146" i="41"/>
  <c r="AM146" i="41"/>
  <c r="W146" i="41"/>
  <c r="S146" i="41"/>
  <c r="AS6" i="41"/>
  <c r="AS8" i="41"/>
  <c r="AK6" i="41"/>
  <c r="AK8" i="41"/>
  <c r="M6" i="41"/>
  <c r="M8" i="41"/>
  <c r="BG76" i="41"/>
  <c r="BE76" i="41"/>
  <c r="BC76" i="41"/>
  <c r="BA76" i="41"/>
  <c r="AW76" i="41"/>
  <c r="AR76" i="41"/>
  <c r="AP6" i="41"/>
  <c r="AP8" i="41"/>
  <c r="AO76" i="41"/>
  <c r="AN76" i="41"/>
  <c r="AK76" i="41"/>
  <c r="AJ76" i="41"/>
  <c r="AG76" i="41"/>
  <c r="AB76" i="41"/>
  <c r="Y76" i="41"/>
  <c r="X76" i="41"/>
  <c r="W76" i="41"/>
  <c r="U76" i="41"/>
  <c r="T76" i="41"/>
  <c r="Q76" i="41"/>
  <c r="O76" i="41"/>
  <c r="L76" i="41"/>
  <c r="K76" i="41"/>
  <c r="H76" i="41"/>
  <c r="AA6" i="41"/>
  <c r="AA8" i="41"/>
  <c r="AI6" i="41"/>
  <c r="AD146" i="41"/>
  <c r="AF6" i="41"/>
  <c r="AF8" i="41"/>
  <c r="BD8" i="41"/>
  <c r="V76" i="41"/>
  <c r="AL76" i="41"/>
  <c r="AX76" i="41"/>
  <c r="Z76" i="41"/>
  <c r="AP76" i="41"/>
  <c r="BB76" i="41"/>
  <c r="R76" i="41"/>
  <c r="AD76" i="41"/>
  <c r="AH76" i="41"/>
  <c r="BF76" i="41"/>
  <c r="G310" i="7"/>
  <c r="H310" i="7"/>
  <c r="I310" i="7"/>
  <c r="J310" i="7"/>
  <c r="F310" i="7"/>
  <c r="E310" i="7"/>
  <c r="D310" i="7"/>
  <c r="L27" i="25"/>
  <c r="J375" i="7"/>
  <c r="J364" i="7"/>
  <c r="J354" i="7"/>
  <c r="J349" i="7"/>
  <c r="J333" i="7"/>
  <c r="J315" i="7"/>
  <c r="J299" i="7"/>
  <c r="J295" i="7"/>
  <c r="J289" i="7"/>
  <c r="J283" i="7"/>
  <c r="J276" i="7"/>
  <c r="J268" i="7"/>
  <c r="J261" i="7"/>
  <c r="J256" i="7"/>
  <c r="J251" i="7"/>
  <c r="J245" i="7"/>
  <c r="J239" i="7"/>
  <c r="J223" i="7"/>
  <c r="J218" i="7"/>
  <c r="J214" i="7"/>
  <c r="J193" i="7"/>
  <c r="J188" i="7"/>
  <c r="J187" i="7"/>
  <c r="J186" i="7"/>
  <c r="J178" i="7"/>
  <c r="J167" i="7"/>
  <c r="J156" i="7"/>
  <c r="J144" i="7"/>
  <c r="J148" i="7" s="1"/>
  <c r="J112" i="7"/>
  <c r="J105" i="7"/>
  <c r="J93" i="7"/>
  <c r="J86" i="7"/>
  <c r="J75" i="7"/>
  <c r="J68" i="7"/>
  <c r="J51" i="7"/>
  <c r="J28" i="7"/>
  <c r="J30" i="7"/>
  <c r="J23" i="7"/>
  <c r="J14" i="7"/>
  <c r="BL222" i="32"/>
  <c r="BK222" i="32"/>
  <c r="BJ222" i="32"/>
  <c r="BI222" i="32"/>
  <c r="BH222" i="32"/>
  <c r="BG222" i="32"/>
  <c r="BF222" i="32"/>
  <c r="BE222" i="32"/>
  <c r="BD222" i="32"/>
  <c r="BC222" i="32"/>
  <c r="BB222" i="32"/>
  <c r="BA222" i="32"/>
  <c r="AZ222" i="32"/>
  <c r="AY222" i="32"/>
  <c r="AX222" i="32"/>
  <c r="AW222" i="32"/>
  <c r="AV222" i="32"/>
  <c r="AU222" i="32"/>
  <c r="AT222" i="32"/>
  <c r="AS222" i="32"/>
  <c r="AR222" i="32"/>
  <c r="AQ222"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D222" i="32"/>
  <c r="C222" i="32"/>
  <c r="BL221" i="32"/>
  <c r="BK221" i="32"/>
  <c r="BJ221" i="32"/>
  <c r="BI221" i="32"/>
  <c r="BH221" i="32"/>
  <c r="BG221" i="32"/>
  <c r="BF221" i="32"/>
  <c r="BE221" i="32"/>
  <c r="BD221" i="32"/>
  <c r="BC221" i="32"/>
  <c r="BB221" i="32"/>
  <c r="BA221" i="32"/>
  <c r="AZ221" i="32"/>
  <c r="AY221" i="32"/>
  <c r="AX221" i="32"/>
  <c r="AW221" i="32"/>
  <c r="AV221" i="32"/>
  <c r="AU221" i="32"/>
  <c r="AT221" i="32"/>
  <c r="AS221" i="32"/>
  <c r="AR221" i="32"/>
  <c r="AQ221"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D221" i="32"/>
  <c r="C221" i="32"/>
  <c r="BL220" i="32"/>
  <c r="BK220" i="32"/>
  <c r="BJ220" i="32"/>
  <c r="BI220" i="32"/>
  <c r="BH220" i="32"/>
  <c r="BG220" i="32"/>
  <c r="BF220" i="32"/>
  <c r="BE220" i="32"/>
  <c r="BD220" i="32"/>
  <c r="BC220" i="32"/>
  <c r="BB220" i="32"/>
  <c r="BA220" i="32"/>
  <c r="AZ220" i="32"/>
  <c r="AY220" i="32"/>
  <c r="AX220" i="32"/>
  <c r="AW220" i="32"/>
  <c r="AV220" i="32"/>
  <c r="AU220" i="32"/>
  <c r="AT220" i="32"/>
  <c r="AS220" i="32"/>
  <c r="AR220" i="32"/>
  <c r="AQ220"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D220" i="32"/>
  <c r="C220" i="32"/>
  <c r="BL219" i="32"/>
  <c r="BK219" i="32"/>
  <c r="BJ219" i="32"/>
  <c r="BI219" i="32"/>
  <c r="BH219" i="32"/>
  <c r="BG219" i="32"/>
  <c r="BF219" i="32"/>
  <c r="BE219" i="32"/>
  <c r="BD219" i="32"/>
  <c r="BC219" i="32"/>
  <c r="BB219" i="32"/>
  <c r="BA219" i="32"/>
  <c r="AZ219" i="32"/>
  <c r="AY219" i="32"/>
  <c r="AX219" i="32"/>
  <c r="AW219" i="32"/>
  <c r="AV219" i="32"/>
  <c r="AU219" i="32"/>
  <c r="AT219" i="32"/>
  <c r="AS219" i="32"/>
  <c r="AR219" i="32"/>
  <c r="AQ219"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D219" i="32"/>
  <c r="C219" i="32"/>
  <c r="BL218" i="32"/>
  <c r="BK218" i="32"/>
  <c r="BJ218" i="32"/>
  <c r="BI218" i="32"/>
  <c r="BH218" i="32"/>
  <c r="BG218" i="32"/>
  <c r="BF218" i="32"/>
  <c r="BE218" i="32"/>
  <c r="BD218" i="32"/>
  <c r="BC218" i="32"/>
  <c r="BB218" i="32"/>
  <c r="BA218" i="32"/>
  <c r="AZ218" i="32"/>
  <c r="AY218" i="32"/>
  <c r="AX218" i="32"/>
  <c r="AW218" i="32"/>
  <c r="AV218" i="32"/>
  <c r="AU218" i="32"/>
  <c r="AT218" i="32"/>
  <c r="AS218" i="32"/>
  <c r="AR218" i="32"/>
  <c r="AQ218"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D218" i="32"/>
  <c r="C218" i="32"/>
  <c r="BL217" i="32"/>
  <c r="BK217" i="32"/>
  <c r="BJ217" i="32"/>
  <c r="BI217" i="32"/>
  <c r="BH217" i="32"/>
  <c r="BG217" i="32"/>
  <c r="BF217" i="32"/>
  <c r="BE217" i="32"/>
  <c r="BD217" i="32"/>
  <c r="BC217" i="32"/>
  <c r="BB217" i="32"/>
  <c r="BA217" i="32"/>
  <c r="AZ217" i="32"/>
  <c r="AY217" i="32"/>
  <c r="AX217" i="32"/>
  <c r="AW217" i="32"/>
  <c r="AV217" i="32"/>
  <c r="AU217" i="32"/>
  <c r="AT217" i="32"/>
  <c r="AS217" i="32"/>
  <c r="AR217" i="32"/>
  <c r="AQ217"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D217" i="32"/>
  <c r="C217" i="32"/>
  <c r="BL216" i="32"/>
  <c r="BK216" i="32"/>
  <c r="BJ216" i="32"/>
  <c r="BI216" i="32"/>
  <c r="BH216" i="32"/>
  <c r="BG216" i="32"/>
  <c r="BF216" i="32"/>
  <c r="BE216" i="32"/>
  <c r="BD216" i="32"/>
  <c r="BC216" i="32"/>
  <c r="BB216" i="32"/>
  <c r="BA216" i="32"/>
  <c r="AZ216" i="32"/>
  <c r="AY216" i="32"/>
  <c r="AX216" i="32"/>
  <c r="AW216" i="32"/>
  <c r="AV216" i="32"/>
  <c r="AU216" i="32"/>
  <c r="AT216" i="32"/>
  <c r="AS216" i="32"/>
  <c r="AR216" i="32"/>
  <c r="AQ216"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D216" i="32"/>
  <c r="C216" i="32"/>
  <c r="BL215" i="32"/>
  <c r="BK215" i="32"/>
  <c r="BJ215" i="32"/>
  <c r="BI215" i="32"/>
  <c r="BH215" i="32"/>
  <c r="BG215" i="32"/>
  <c r="BF215" i="32"/>
  <c r="BE215" i="32"/>
  <c r="BD215" i="32"/>
  <c r="BC215" i="32"/>
  <c r="BB215" i="32"/>
  <c r="BA215" i="32"/>
  <c r="AZ215" i="32"/>
  <c r="AY215" i="32"/>
  <c r="AX215" i="32"/>
  <c r="AW215" i="32"/>
  <c r="AV215" i="32"/>
  <c r="AU215" i="32"/>
  <c r="AT215" i="32"/>
  <c r="AS215" i="32"/>
  <c r="AR215" i="32"/>
  <c r="AQ215"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D215" i="32"/>
  <c r="C215" i="32"/>
  <c r="BL214" i="32"/>
  <c r="BK214" i="32"/>
  <c r="BJ214" i="32"/>
  <c r="BI214" i="32"/>
  <c r="BH214" i="32"/>
  <c r="BG214" i="32"/>
  <c r="BF214" i="32"/>
  <c r="BE214" i="32"/>
  <c r="BD214" i="32"/>
  <c r="BC214" i="32"/>
  <c r="BB214" i="32"/>
  <c r="BA214" i="32"/>
  <c r="AZ214" i="32"/>
  <c r="AY214" i="32"/>
  <c r="AX214" i="32"/>
  <c r="AW214" i="32"/>
  <c r="AV214" i="32"/>
  <c r="AU214" i="32"/>
  <c r="AT214" i="32"/>
  <c r="AS214" i="32"/>
  <c r="AR214" i="32"/>
  <c r="AQ214"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D214" i="32"/>
  <c r="C214" i="32"/>
  <c r="BL213" i="32"/>
  <c r="BK213" i="32"/>
  <c r="BJ213" i="32"/>
  <c r="BI213" i="32"/>
  <c r="BH213" i="32"/>
  <c r="BG213" i="32"/>
  <c r="BF213" i="32"/>
  <c r="BE213" i="32"/>
  <c r="BD213" i="32"/>
  <c r="BC213" i="32"/>
  <c r="BB213" i="32"/>
  <c r="BA213" i="32"/>
  <c r="AZ213" i="32"/>
  <c r="AY213" i="32"/>
  <c r="AX213" i="32"/>
  <c r="AW213" i="32"/>
  <c r="AV213" i="32"/>
  <c r="AU213" i="32"/>
  <c r="AT213" i="32"/>
  <c r="AS213" i="32"/>
  <c r="AR213" i="32"/>
  <c r="AQ213"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D213" i="32"/>
  <c r="C213" i="32"/>
  <c r="BL212" i="32"/>
  <c r="BK212" i="32"/>
  <c r="BJ212" i="32"/>
  <c r="BI212" i="32"/>
  <c r="BH212" i="32"/>
  <c r="BG212" i="32"/>
  <c r="BF212" i="32"/>
  <c r="BE212" i="32"/>
  <c r="BD212" i="32"/>
  <c r="BC212" i="32"/>
  <c r="BB212" i="32"/>
  <c r="BA212" i="32"/>
  <c r="AZ212" i="32"/>
  <c r="AY212" i="32"/>
  <c r="AX212" i="32"/>
  <c r="AW212" i="32"/>
  <c r="AV212" i="32"/>
  <c r="AU212" i="32"/>
  <c r="AT212" i="32"/>
  <c r="AS212" i="32"/>
  <c r="AR212" i="32"/>
  <c r="AQ212"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D212" i="32"/>
  <c r="C212" i="32"/>
  <c r="BL211" i="32"/>
  <c r="BK211" i="32"/>
  <c r="BJ211" i="32"/>
  <c r="BI211" i="32"/>
  <c r="BH211" i="32"/>
  <c r="BG211" i="32"/>
  <c r="BF211" i="32"/>
  <c r="BE211" i="32"/>
  <c r="BD211" i="32"/>
  <c r="BC211" i="32"/>
  <c r="BB211" i="32"/>
  <c r="BA211" i="32"/>
  <c r="AZ211" i="32"/>
  <c r="AY211" i="32"/>
  <c r="AX211" i="32"/>
  <c r="AW211" i="32"/>
  <c r="AV211" i="32"/>
  <c r="AU211" i="32"/>
  <c r="AT211" i="32"/>
  <c r="AS211" i="32"/>
  <c r="AR211" i="32"/>
  <c r="AQ211"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D211" i="32"/>
  <c r="C211" i="32"/>
  <c r="BL210" i="32"/>
  <c r="BK210" i="32"/>
  <c r="BJ210" i="32"/>
  <c r="BI210" i="32"/>
  <c r="BH210" i="32"/>
  <c r="BG210" i="32"/>
  <c r="BF210" i="32"/>
  <c r="BE210" i="32"/>
  <c r="BD210" i="32"/>
  <c r="BC210" i="32"/>
  <c r="BB210" i="32"/>
  <c r="BA210" i="32"/>
  <c r="AZ210" i="32"/>
  <c r="AY210" i="32"/>
  <c r="AX210" i="32"/>
  <c r="AW210" i="32"/>
  <c r="AV210" i="32"/>
  <c r="AU210" i="32"/>
  <c r="AT210" i="32"/>
  <c r="AS210" i="32"/>
  <c r="AR210" i="32"/>
  <c r="AQ210"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D210" i="32"/>
  <c r="C210" i="32"/>
  <c r="BL209" i="32"/>
  <c r="BK209" i="32"/>
  <c r="BJ209" i="32"/>
  <c r="BI209" i="32"/>
  <c r="BH209" i="32"/>
  <c r="BG209" i="32"/>
  <c r="BF209" i="32"/>
  <c r="BE209" i="32"/>
  <c r="BD209" i="32"/>
  <c r="BC209" i="32"/>
  <c r="BB209" i="32"/>
  <c r="BA209" i="32"/>
  <c r="AZ209" i="32"/>
  <c r="AY209" i="32"/>
  <c r="AX209" i="32"/>
  <c r="AW209" i="32"/>
  <c r="AV209" i="32"/>
  <c r="AU209" i="32"/>
  <c r="AT209" i="32"/>
  <c r="AS209" i="32"/>
  <c r="AR209" i="32"/>
  <c r="AQ209"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D209" i="32"/>
  <c r="C209" i="32"/>
  <c r="BL208" i="32"/>
  <c r="BK208" i="32"/>
  <c r="BJ208" i="32"/>
  <c r="BI208" i="32"/>
  <c r="BH208" i="32"/>
  <c r="BG208" i="32"/>
  <c r="BF208" i="32"/>
  <c r="BE208" i="32"/>
  <c r="BD208" i="32"/>
  <c r="BC208" i="32"/>
  <c r="BB208" i="32"/>
  <c r="BA208" i="32"/>
  <c r="AZ208" i="32"/>
  <c r="AY208" i="32"/>
  <c r="AX208" i="32"/>
  <c r="AW208" i="32"/>
  <c r="AV208" i="32"/>
  <c r="AU208" i="32"/>
  <c r="AT208" i="32"/>
  <c r="AS208" i="32"/>
  <c r="AR208" i="32"/>
  <c r="AQ208"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D208" i="32"/>
  <c r="C208" i="32"/>
  <c r="BL207" i="32"/>
  <c r="BK207" i="32"/>
  <c r="BJ207" i="32"/>
  <c r="BI207" i="32"/>
  <c r="BH207" i="32"/>
  <c r="BG207" i="32"/>
  <c r="BF207" i="32"/>
  <c r="BE207" i="32"/>
  <c r="BD207" i="32"/>
  <c r="BC207" i="32"/>
  <c r="BB207" i="32"/>
  <c r="BA207" i="32"/>
  <c r="AZ207" i="32"/>
  <c r="AY207" i="32"/>
  <c r="AX207" i="32"/>
  <c r="AW207" i="32"/>
  <c r="AV207" i="32"/>
  <c r="AU207" i="32"/>
  <c r="AT207" i="32"/>
  <c r="AS207" i="32"/>
  <c r="AR207" i="32"/>
  <c r="AQ207"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D207" i="32"/>
  <c r="C207" i="32"/>
  <c r="BL201" i="32"/>
  <c r="BK201" i="32"/>
  <c r="BJ201" i="32"/>
  <c r="BI201" i="32"/>
  <c r="BH201" i="32"/>
  <c r="BG201" i="32"/>
  <c r="BF201" i="32"/>
  <c r="BE201" i="32"/>
  <c r="BD201" i="32"/>
  <c r="BC201" i="32"/>
  <c r="BB201" i="32"/>
  <c r="BA201" i="32"/>
  <c r="AZ201" i="32"/>
  <c r="AY201" i="32"/>
  <c r="AX201" i="32"/>
  <c r="AW201" i="32"/>
  <c r="AV201" i="32"/>
  <c r="AU201" i="32"/>
  <c r="AT201" i="32"/>
  <c r="AS201" i="32"/>
  <c r="AR201" i="32"/>
  <c r="AQ201"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D201" i="32"/>
  <c r="C201" i="32"/>
  <c r="B201" i="32"/>
  <c r="BL101" i="32"/>
  <c r="BK101" i="32"/>
  <c r="BJ101" i="32"/>
  <c r="BI101" i="32"/>
  <c r="BH101" i="32"/>
  <c r="BG101" i="32"/>
  <c r="BF101" i="32"/>
  <c r="BE101" i="32"/>
  <c r="BD101" i="32"/>
  <c r="BC101" i="32"/>
  <c r="BB101" i="32"/>
  <c r="BA101" i="32"/>
  <c r="AZ101" i="32"/>
  <c r="AY101" i="32"/>
  <c r="AX101" i="32"/>
  <c r="AW101" i="32"/>
  <c r="AV101" i="32"/>
  <c r="AU101" i="32"/>
  <c r="AT101" i="32"/>
  <c r="AS101" i="32"/>
  <c r="AR101" i="32"/>
  <c r="AQ101"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D101" i="32"/>
  <c r="C101" i="32"/>
  <c r="B101" i="32"/>
  <c r="BL6" i="32"/>
  <c r="BL7" i="32" s="1"/>
  <c r="BK6" i="32"/>
  <c r="BJ6" i="32"/>
  <c r="BJ7" i="32" s="1"/>
  <c r="BI6" i="32"/>
  <c r="BH6" i="32"/>
  <c r="BG6" i="32"/>
  <c r="BG7" i="32" s="1"/>
  <c r="BF6" i="32"/>
  <c r="BE6" i="32"/>
  <c r="BD6" i="32"/>
  <c r="BC6" i="32"/>
  <c r="BB6" i="32"/>
  <c r="BA6" i="32"/>
  <c r="BB7" i="32" s="1"/>
  <c r="AZ6" i="32"/>
  <c r="AY6" i="32"/>
  <c r="AX6" i="32"/>
  <c r="AX7" i="32" s="1"/>
  <c r="AW6" i="32"/>
  <c r="AV6" i="32"/>
  <c r="AW7" i="32"/>
  <c r="AU6" i="32"/>
  <c r="AT6" i="32"/>
  <c r="AT7" i="32" s="1"/>
  <c r="AS6" i="32"/>
  <c r="AR6" i="32"/>
  <c r="AR7" i="32" s="1"/>
  <c r="AQ6" i="32"/>
  <c r="AP6" i="32"/>
  <c r="AP7" i="32" s="1"/>
  <c r="AO6" i="32"/>
  <c r="AN6" i="32"/>
  <c r="AM6" i="32"/>
  <c r="AM7" i="32" s="1"/>
  <c r="AL6" i="32"/>
  <c r="AK6" i="32"/>
  <c r="AJ6" i="32"/>
  <c r="AJ7" i="32" s="1"/>
  <c r="AI6" i="32"/>
  <c r="AI7" i="32" s="1"/>
  <c r="AH6" i="32"/>
  <c r="AG6" i="32"/>
  <c r="AH7" i="32"/>
  <c r="AF6" i="32"/>
  <c r="AE6" i="32"/>
  <c r="AD6" i="32"/>
  <c r="AC6" i="32"/>
  <c r="AB6" i="32"/>
  <c r="AA6" i="32"/>
  <c r="Z6" i="32"/>
  <c r="Y6" i="32"/>
  <c r="Y7" i="32" s="1"/>
  <c r="X6" i="32"/>
  <c r="W6" i="32"/>
  <c r="V6" i="32"/>
  <c r="W7" i="32" s="1"/>
  <c r="U6" i="32"/>
  <c r="T6" i="32"/>
  <c r="S6" i="32"/>
  <c r="S7" i="32" s="1"/>
  <c r="R6" i="32"/>
  <c r="Q6" i="32"/>
  <c r="P6" i="32"/>
  <c r="Q7" i="32" s="1"/>
  <c r="O6" i="32"/>
  <c r="N6" i="32"/>
  <c r="M6" i="32"/>
  <c r="M7" i="32"/>
  <c r="L6" i="32"/>
  <c r="K6" i="32"/>
  <c r="J6" i="32"/>
  <c r="J7" i="32"/>
  <c r="I6" i="32"/>
  <c r="H6" i="32"/>
  <c r="G6" i="32"/>
  <c r="F6" i="32"/>
  <c r="F7" i="32" s="1"/>
  <c r="E6" i="32"/>
  <c r="E7" i="32" s="1"/>
  <c r="D6" i="32"/>
  <c r="C6" i="32"/>
  <c r="C7" i="32"/>
  <c r="B6" i="32"/>
  <c r="AF7" i="32"/>
  <c r="AO7" i="32"/>
  <c r="N7" i="32"/>
  <c r="M64" i="17"/>
  <c r="M65" i="17" s="1"/>
  <c r="C40" i="17"/>
  <c r="D46" i="17"/>
  <c r="F26" i="17"/>
  <c r="G44" i="17"/>
  <c r="H26" i="17"/>
  <c r="J46" i="17"/>
  <c r="K46" i="17"/>
  <c r="M38" i="17"/>
  <c r="B46" i="17"/>
  <c r="M44" i="17"/>
  <c r="M22" i="17"/>
  <c r="M36" i="17"/>
  <c r="M24" i="17"/>
  <c r="M32" i="17"/>
  <c r="M42" i="17"/>
  <c r="M14" i="17"/>
  <c r="M30" i="17"/>
  <c r="M18" i="17"/>
  <c r="M26" i="17"/>
  <c r="M34" i="17"/>
  <c r="M40" i="17"/>
  <c r="M16" i="17"/>
  <c r="M20" i="17"/>
  <c r="M28" i="17"/>
  <c r="M46" i="17"/>
  <c r="D28" i="26"/>
  <c r="E28" i="26"/>
  <c r="F28" i="26"/>
  <c r="G28" i="26"/>
  <c r="C28" i="26"/>
  <c r="D26" i="26"/>
  <c r="E26" i="26"/>
  <c r="F26" i="26"/>
  <c r="G26" i="26"/>
  <c r="C26" i="26"/>
  <c r="D23" i="26"/>
  <c r="E23" i="26"/>
  <c r="F23" i="26"/>
  <c r="G23" i="26"/>
  <c r="C23" i="26"/>
  <c r="D13" i="26"/>
  <c r="E13" i="26"/>
  <c r="F13" i="26"/>
  <c r="G13" i="26"/>
  <c r="C13" i="26"/>
  <c r="G6" i="26"/>
  <c r="F6" i="26"/>
  <c r="E6" i="26"/>
  <c r="D6" i="26"/>
  <c r="C6" i="26"/>
  <c r="C33" i="26" s="1"/>
  <c r="N6" i="25"/>
  <c r="N7" i="25" s="1"/>
  <c r="O6" i="25"/>
  <c r="P6" i="25"/>
  <c r="Q6" i="25"/>
  <c r="Q7" i="25" s="1"/>
  <c r="M6" i="25"/>
  <c r="M7" i="25" s="1"/>
  <c r="N17" i="25"/>
  <c r="O17" i="25"/>
  <c r="P17" i="25"/>
  <c r="I347" i="59" s="1"/>
  <c r="Q17" i="25"/>
  <c r="M17" i="25"/>
  <c r="D27" i="25"/>
  <c r="E27" i="25"/>
  <c r="F27" i="25"/>
  <c r="G27" i="25"/>
  <c r="H27" i="25"/>
  <c r="I27" i="25"/>
  <c r="J27" i="25"/>
  <c r="K27" i="25"/>
  <c r="C27" i="25"/>
  <c r="M87" i="23"/>
  <c r="M93" i="23" s="1"/>
  <c r="M91" i="23"/>
  <c r="L87" i="23"/>
  <c r="L91" i="23" s="1"/>
  <c r="L94" i="23" s="1"/>
  <c r="K87" i="23"/>
  <c r="K93" i="23" s="1"/>
  <c r="J87" i="23"/>
  <c r="I87" i="23"/>
  <c r="I91" i="23"/>
  <c r="H87" i="23"/>
  <c r="H89" i="23"/>
  <c r="G87" i="23"/>
  <c r="G93" i="23"/>
  <c r="F87" i="23"/>
  <c r="F92" i="23"/>
  <c r="E87" i="23"/>
  <c r="E92" i="23"/>
  <c r="D87" i="23"/>
  <c r="D90" i="23"/>
  <c r="D89" i="23"/>
  <c r="C87" i="23"/>
  <c r="C91" i="23" s="1"/>
  <c r="M65" i="23"/>
  <c r="M77" i="23"/>
  <c r="L65" i="23"/>
  <c r="L77" i="23"/>
  <c r="K65" i="23"/>
  <c r="K76" i="23" s="1"/>
  <c r="K77" i="23"/>
  <c r="J65" i="23"/>
  <c r="J78" i="23" s="1"/>
  <c r="I65" i="23"/>
  <c r="I78" i="23" s="1"/>
  <c r="H65" i="23"/>
  <c r="H78" i="23" s="1"/>
  <c r="H79" i="23" s="1"/>
  <c r="G65" i="23"/>
  <c r="G74" i="23" s="1"/>
  <c r="O74" i="23" s="1"/>
  <c r="F65" i="23"/>
  <c r="F76" i="23" s="1"/>
  <c r="F79" i="23" s="1"/>
  <c r="E65" i="23"/>
  <c r="E75" i="23" s="1"/>
  <c r="O75" i="23" s="1"/>
  <c r="D65" i="23"/>
  <c r="D76" i="23" s="1"/>
  <c r="D74" i="23"/>
  <c r="C65" i="23"/>
  <c r="C76" i="23"/>
  <c r="G29" i="23"/>
  <c r="F29" i="23"/>
  <c r="E29" i="23"/>
  <c r="D29" i="23"/>
  <c r="B25" i="23"/>
  <c r="G11" i="23"/>
  <c r="G20" i="23" s="1"/>
  <c r="F11" i="23"/>
  <c r="E11" i="23"/>
  <c r="E23" i="23" s="1"/>
  <c r="D11" i="23"/>
  <c r="D15" i="23" s="1"/>
  <c r="C11" i="23"/>
  <c r="C15" i="23" s="1"/>
  <c r="D71" i="23"/>
  <c r="L76" i="23"/>
  <c r="E20" i="23"/>
  <c r="L71" i="23"/>
  <c r="L74" i="23"/>
  <c r="E89" i="23"/>
  <c r="E19" i="23"/>
  <c r="L68" i="23"/>
  <c r="C78" i="23"/>
  <c r="L90" i="23"/>
  <c r="H91" i="23"/>
  <c r="F19" i="23"/>
  <c r="F24" i="23"/>
  <c r="C69" i="23"/>
  <c r="K72" i="23"/>
  <c r="L73" i="23"/>
  <c r="C75" i="23"/>
  <c r="C77" i="23"/>
  <c r="D78" i="23"/>
  <c r="I93" i="23"/>
  <c r="F18" i="23"/>
  <c r="D22" i="23"/>
  <c r="D69" i="23"/>
  <c r="K69" i="23"/>
  <c r="L70" i="23"/>
  <c r="D72" i="23"/>
  <c r="L72" i="23"/>
  <c r="C74" i="23"/>
  <c r="J74" i="23"/>
  <c r="L75" i="23"/>
  <c r="L78" i="23"/>
  <c r="C89" i="23"/>
  <c r="I90" i="23"/>
  <c r="D91" i="23"/>
  <c r="L92" i="23"/>
  <c r="E93" i="23"/>
  <c r="L93" i="23"/>
  <c r="G69" i="23"/>
  <c r="C70" i="23"/>
  <c r="K73" i="23"/>
  <c r="L89" i="23"/>
  <c r="H69" i="23"/>
  <c r="C72" i="23"/>
  <c r="K75" i="23"/>
  <c r="K78" i="23"/>
  <c r="M89" i="23"/>
  <c r="M90" i="23"/>
  <c r="M94" i="23" s="1"/>
  <c r="D93" i="23"/>
  <c r="D21" i="23"/>
  <c r="F22" i="23"/>
  <c r="C68" i="23"/>
  <c r="L69" i="23"/>
  <c r="L79" i="23" s="1"/>
  <c r="C71" i="23"/>
  <c r="K71" i="23"/>
  <c r="G72" i="23"/>
  <c r="C73" i="23"/>
  <c r="K74" i="23"/>
  <c r="F77" i="23"/>
  <c r="E90" i="23"/>
  <c r="E91" i="23"/>
  <c r="M92" i="23"/>
  <c r="E78" i="23"/>
  <c r="E74" i="23"/>
  <c r="E70" i="23"/>
  <c r="I77" i="23"/>
  <c r="I75" i="23"/>
  <c r="I72" i="23"/>
  <c r="I69" i="23"/>
  <c r="M78" i="23"/>
  <c r="M74" i="23"/>
  <c r="M70" i="23"/>
  <c r="C20" i="23"/>
  <c r="G24" i="23"/>
  <c r="G16" i="23"/>
  <c r="G21" i="23"/>
  <c r="G23" i="23"/>
  <c r="C18" i="23"/>
  <c r="J71" i="23"/>
  <c r="J75" i="23"/>
  <c r="F93" i="23"/>
  <c r="F89" i="23"/>
  <c r="J93" i="23"/>
  <c r="J92" i="23"/>
  <c r="J91" i="23"/>
  <c r="J94" i="23" s="1"/>
  <c r="J90" i="23"/>
  <c r="J89" i="23"/>
  <c r="D23" i="23"/>
  <c r="D19" i="23"/>
  <c r="C14" i="23"/>
  <c r="D16" i="23"/>
  <c r="D17" i="23"/>
  <c r="D18" i="23"/>
  <c r="J68" i="23"/>
  <c r="F71" i="23"/>
  <c r="J72" i="23"/>
  <c r="J76" i="23"/>
  <c r="C90" i="23"/>
  <c r="K92" i="23"/>
  <c r="E22" i="23"/>
  <c r="E18" i="23"/>
  <c r="E14" i="23"/>
  <c r="D14" i="23"/>
  <c r="E16" i="23"/>
  <c r="E17" i="23"/>
  <c r="J69" i="23"/>
  <c r="J73" i="23"/>
  <c r="K89" i="23"/>
  <c r="F17" i="23"/>
  <c r="E94" i="23"/>
  <c r="F53" i="3"/>
  <c r="F52" i="3"/>
  <c r="F51" i="3"/>
  <c r="D52" i="3"/>
  <c r="E52" i="3"/>
  <c r="D51" i="3"/>
  <c r="E51" i="3"/>
  <c r="D50" i="3"/>
  <c r="E50" i="3"/>
  <c r="A46" i="17"/>
  <c r="A65" i="17"/>
  <c r="C64" i="17"/>
  <c r="C65" i="17"/>
  <c r="D64" i="17"/>
  <c r="E64" i="17"/>
  <c r="E65" i="17" s="1"/>
  <c r="F64" i="17"/>
  <c r="G64" i="17"/>
  <c r="H64" i="17"/>
  <c r="H65" i="17"/>
  <c r="I64" i="17"/>
  <c r="J64" i="17"/>
  <c r="K64" i="17"/>
  <c r="K65" i="17"/>
  <c r="L64" i="17"/>
  <c r="L65" i="17"/>
  <c r="B64" i="17"/>
  <c r="A44" i="17"/>
  <c r="A42" i="17"/>
  <c r="A40" i="17"/>
  <c r="A38" i="17"/>
  <c r="A36" i="17"/>
  <c r="A34" i="17"/>
  <c r="A32" i="17"/>
  <c r="A30" i="17"/>
  <c r="A28" i="17"/>
  <c r="A26" i="17"/>
  <c r="A24" i="17"/>
  <c r="A22" i="17"/>
  <c r="A20" i="17"/>
  <c r="A18" i="17"/>
  <c r="A16" i="17"/>
  <c r="D65" i="17"/>
  <c r="E44" i="17"/>
  <c r="E46" i="17"/>
  <c r="I65" i="17"/>
  <c r="I46" i="17"/>
  <c r="B32" i="17"/>
  <c r="K44" i="17"/>
  <c r="I42" i="17"/>
  <c r="I38" i="17"/>
  <c r="I44" i="17"/>
  <c r="E42" i="17"/>
  <c r="J38" i="17"/>
  <c r="E38" i="17"/>
  <c r="D18" i="17"/>
  <c r="G28" i="17"/>
  <c r="H34" i="17"/>
  <c r="L26" i="17"/>
  <c r="E30" i="17"/>
  <c r="E28" i="17"/>
  <c r="E26" i="17"/>
  <c r="K38" i="17"/>
  <c r="K36" i="17"/>
  <c r="D26" i="17"/>
  <c r="I30" i="17"/>
  <c r="I28" i="17"/>
  <c r="I26" i="17"/>
  <c r="B65" i="17"/>
  <c r="D38" i="17"/>
  <c r="F14" i="17"/>
  <c r="B42" i="17"/>
  <c r="G22" i="17"/>
  <c r="C22" i="17"/>
  <c r="L42" i="17"/>
  <c r="C34" i="17"/>
  <c r="C20" i="17"/>
  <c r="I40" i="17"/>
  <c r="E40" i="17"/>
  <c r="G20" i="17"/>
  <c r="H18" i="17"/>
  <c r="G30" i="17"/>
  <c r="D40" i="17"/>
  <c r="I18" i="17"/>
  <c r="I32" i="17"/>
  <c r="E14" i="17"/>
  <c r="E24" i="17"/>
  <c r="E36" i="17"/>
  <c r="I16" i="17"/>
  <c r="E16" i="17"/>
  <c r="L14" i="17"/>
  <c r="G18" i="17"/>
  <c r="I22" i="17"/>
  <c r="E22" i="17"/>
  <c r="B34" i="17"/>
  <c r="I34" i="17"/>
  <c r="E34" i="17"/>
  <c r="H36" i="17"/>
  <c r="E18" i="17"/>
  <c r="E32" i="17"/>
  <c r="I14" i="17"/>
  <c r="I24" i="17"/>
  <c r="I36" i="17"/>
  <c r="B20" i="17"/>
  <c r="I20" i="17"/>
  <c r="E20" i="17"/>
  <c r="H22" i="17"/>
  <c r="K24" i="17"/>
  <c r="L38" i="17"/>
  <c r="B301" i="7"/>
  <c r="B321" i="7"/>
  <c r="B327" i="7"/>
  <c r="B341" i="7"/>
  <c r="B369" i="7"/>
  <c r="B188" i="7"/>
  <c r="B187" i="7"/>
  <c r="B185" i="7"/>
  <c r="B177" i="7"/>
  <c r="B166" i="7"/>
  <c r="B162" i="7"/>
  <c r="B155" i="7"/>
  <c r="B147" i="7"/>
  <c r="B110" i="7"/>
  <c r="B111" i="7"/>
  <c r="B109" i="7"/>
  <c r="B108" i="7"/>
  <c r="B107" i="7"/>
  <c r="B106" i="7"/>
  <c r="B102" i="7"/>
  <c r="B103" i="7"/>
  <c r="B104" i="7"/>
  <c r="B95" i="7"/>
  <c r="B92" i="7"/>
  <c r="B91" i="7"/>
  <c r="B90" i="7"/>
  <c r="B89" i="7"/>
  <c r="B88" i="7"/>
  <c r="B67" i="7"/>
  <c r="B50" i="7"/>
  <c r="B32" i="7"/>
  <c r="B24" i="7"/>
  <c r="B20" i="7"/>
  <c r="B12" i="7"/>
  <c r="B101" i="7"/>
  <c r="B100" i="7"/>
  <c r="B292" i="7"/>
  <c r="B293" i="7"/>
  <c r="B294" i="7"/>
  <c r="B291" i="7"/>
  <c r="D295" i="7"/>
  <c r="E295" i="7"/>
  <c r="F295" i="7"/>
  <c r="G295" i="7"/>
  <c r="H295" i="7"/>
  <c r="I295" i="7"/>
  <c r="B153" i="7"/>
  <c r="B138" i="7"/>
  <c r="B169" i="7"/>
  <c r="B179" i="7"/>
  <c r="B222" i="7"/>
  <c r="B221" i="7"/>
  <c r="B220" i="7"/>
  <c r="B267" i="7"/>
  <c r="B266" i="7"/>
  <c r="B265" i="7"/>
  <c r="B264" i="7"/>
  <c r="B263" i="7"/>
  <c r="B277" i="7"/>
  <c r="B282" i="7"/>
  <c r="B288" i="7"/>
  <c r="B298" i="7"/>
  <c r="B184" i="7"/>
  <c r="B134" i="7"/>
  <c r="B133" i="7"/>
  <c r="B183" i="7"/>
  <c r="B132" i="7"/>
  <c r="B352" i="7"/>
  <c r="B353" i="7"/>
  <c r="B351" i="7"/>
  <c r="B182" i="7"/>
  <c r="B181" i="7"/>
  <c r="B180" i="7"/>
  <c r="B129" i="7"/>
  <c r="B130" i="7"/>
  <c r="B347" i="7"/>
  <c r="B348" i="7"/>
  <c r="B128" i="7"/>
  <c r="B124" i="7"/>
  <c r="B271" i="7"/>
  <c r="B272" i="7"/>
  <c r="B273" i="7"/>
  <c r="B274" i="7"/>
  <c r="B275" i="7"/>
  <c r="B270" i="7"/>
  <c r="B332" i="7"/>
  <c r="B331" i="7"/>
  <c r="B330" i="7"/>
  <c r="B175" i="7"/>
  <c r="B176" i="7"/>
  <c r="B174" i="7"/>
  <c r="B123" i="7"/>
  <c r="B326" i="7"/>
  <c r="B325" i="7"/>
  <c r="B324" i="7"/>
  <c r="B323" i="7"/>
  <c r="B322" i="7"/>
  <c r="B320" i="7"/>
  <c r="B319" i="7"/>
  <c r="B318" i="7"/>
  <c r="B317" i="7"/>
  <c r="B119" i="7"/>
  <c r="B120" i="7"/>
  <c r="B121" i="7"/>
  <c r="B122" i="7"/>
  <c r="B314" i="7"/>
  <c r="B313" i="7"/>
  <c r="B312" i="7"/>
  <c r="B173" i="7"/>
  <c r="B302" i="7"/>
  <c r="B172" i="7"/>
  <c r="B170" i="7"/>
  <c r="B171" i="7"/>
  <c r="B117" i="7"/>
  <c r="B118" i="7"/>
  <c r="B373" i="7"/>
  <c r="B372" i="7"/>
  <c r="B371" i="7"/>
  <c r="B367" i="7"/>
  <c r="B366" i="7"/>
  <c r="B365" i="7"/>
  <c r="B363" i="7"/>
  <c r="B362" i="7"/>
  <c r="B361" i="7"/>
  <c r="B360" i="7"/>
  <c r="B359" i="7"/>
  <c r="B358" i="7"/>
  <c r="B357" i="7"/>
  <c r="B206" i="7"/>
  <c r="B205" i="7"/>
  <c r="B204" i="7"/>
  <c r="B203" i="7"/>
  <c r="B116" i="7"/>
  <c r="B297" i="7"/>
  <c r="B146" i="7"/>
  <c r="B145" i="7"/>
  <c r="B143" i="7"/>
  <c r="B141" i="7"/>
  <c r="B140" i="7"/>
  <c r="B131" i="7"/>
  <c r="B168" i="7"/>
  <c r="B115" i="7"/>
  <c r="B27" i="7"/>
  <c r="B26" i="7"/>
  <c r="B31" i="7"/>
  <c r="B165" i="7"/>
  <c r="B29" i="7"/>
  <c r="B287" i="7"/>
  <c r="B281" i="7"/>
  <c r="B286" i="7"/>
  <c r="B280" i="7"/>
  <c r="B285" i="7"/>
  <c r="B279" i="7"/>
  <c r="B159" i="7"/>
  <c r="B164" i="7"/>
  <c r="B202" i="7"/>
  <c r="B201" i="7"/>
  <c r="B200" i="7"/>
  <c r="B49" i="7"/>
  <c r="B66" i="7"/>
  <c r="B65" i="7"/>
  <c r="B48" i="7"/>
  <c r="B64" i="7"/>
  <c r="B47" i="7"/>
  <c r="B63" i="7"/>
  <c r="B46" i="7"/>
  <c r="B62" i="7"/>
  <c r="B45" i="7"/>
  <c r="B61" i="7"/>
  <c r="B44" i="7"/>
  <c r="B198" i="7"/>
  <c r="B199" i="7"/>
  <c r="B197" i="7"/>
  <c r="B43" i="7"/>
  <c r="B60" i="7"/>
  <c r="B41" i="7"/>
  <c r="B42" i="7"/>
  <c r="B58" i="7"/>
  <c r="B59" i="7"/>
  <c r="B40" i="7"/>
  <c r="B57" i="7"/>
  <c r="B344" i="7"/>
  <c r="B343" i="7"/>
  <c r="B342" i="7"/>
  <c r="B339" i="7"/>
  <c r="B338" i="7"/>
  <c r="B337" i="7"/>
  <c r="B336" i="7"/>
  <c r="B335" i="7"/>
  <c r="B340" i="7"/>
  <c r="B39" i="7"/>
  <c r="B56" i="7"/>
  <c r="B196" i="7"/>
  <c r="B309" i="7"/>
  <c r="B308" i="7"/>
  <c r="B307" i="7"/>
  <c r="B306" i="7"/>
  <c r="B304" i="7"/>
  <c r="B195" i="7"/>
  <c r="B55" i="7"/>
  <c r="B38" i="7"/>
  <c r="B22" i="7"/>
  <c r="B21" i="7"/>
  <c r="B54" i="7"/>
  <c r="B37" i="7"/>
  <c r="B260" i="7"/>
  <c r="B259" i="7"/>
  <c r="B258" i="7"/>
  <c r="B191" i="7"/>
  <c r="B192" i="7"/>
  <c r="B190" i="7"/>
  <c r="B161" i="7"/>
  <c r="B19" i="7"/>
  <c r="B255" i="7"/>
  <c r="B254" i="7"/>
  <c r="B253" i="7"/>
  <c r="B160" i="7"/>
  <c r="B18" i="7"/>
  <c r="B250" i="7"/>
  <c r="B249" i="7"/>
  <c r="B248" i="7"/>
  <c r="B247" i="7"/>
  <c r="B17" i="7"/>
  <c r="B244" i="7"/>
  <c r="B243" i="7"/>
  <c r="B242" i="7"/>
  <c r="B241" i="7"/>
  <c r="B16" i="7"/>
  <c r="B15" i="7"/>
  <c r="B237" i="7"/>
  <c r="B238" i="7"/>
  <c r="B236" i="7"/>
  <c r="B158" i="7"/>
  <c r="B194" i="7"/>
  <c r="B36" i="7"/>
  <c r="B53" i="7"/>
  <c r="B157" i="7"/>
  <c r="B233" i="7"/>
  <c r="B232" i="7"/>
  <c r="B227" i="7"/>
  <c r="B228" i="7"/>
  <c r="B229" i="7"/>
  <c r="B230" i="7"/>
  <c r="B231" i="7"/>
  <c r="B226" i="7"/>
  <c r="B225" i="7"/>
  <c r="B217" i="7"/>
  <c r="B216" i="7"/>
  <c r="B210" i="7"/>
  <c r="B211" i="7"/>
  <c r="B212" i="7"/>
  <c r="B213" i="7"/>
  <c r="B209" i="7"/>
  <c r="B154" i="7"/>
  <c r="B151" i="7"/>
  <c r="B152" i="7"/>
  <c r="B150" i="7"/>
  <c r="B84" i="7"/>
  <c r="B85" i="7"/>
  <c r="B83" i="7"/>
  <c r="B82" i="7"/>
  <c r="B81" i="7"/>
  <c r="B78" i="7"/>
  <c r="B77" i="7"/>
  <c r="B76" i="7"/>
  <c r="B71" i="7"/>
  <c r="B72" i="7"/>
  <c r="B73" i="7"/>
  <c r="B74" i="7"/>
  <c r="F188" i="7"/>
  <c r="G188" i="7"/>
  <c r="H188" i="7"/>
  <c r="I188" i="7"/>
  <c r="E188" i="7"/>
  <c r="D188" i="7"/>
  <c r="F333" i="7"/>
  <c r="G333" i="7"/>
  <c r="H333" i="7"/>
  <c r="I333" i="7"/>
  <c r="D333" i="7"/>
  <c r="E333" i="7"/>
  <c r="F315" i="7"/>
  <c r="G315" i="7"/>
  <c r="H315" i="7"/>
  <c r="I315" i="7"/>
  <c r="E315" i="7"/>
  <c r="D315" i="7"/>
  <c r="P47" i="3"/>
  <c r="I47" i="3"/>
  <c r="B47" i="3"/>
  <c r="B10" i="7"/>
  <c r="D218" i="7"/>
  <c r="E218" i="7"/>
  <c r="F218" i="7"/>
  <c r="G218" i="7"/>
  <c r="H218" i="7"/>
  <c r="I218" i="7"/>
  <c r="D374" i="7"/>
  <c r="D375" i="7" s="1"/>
  <c r="E374" i="7"/>
  <c r="E375" i="7" s="1"/>
  <c r="F375" i="7"/>
  <c r="H375" i="7"/>
  <c r="I375" i="7"/>
  <c r="D364" i="7"/>
  <c r="E364" i="7"/>
  <c r="E370" i="7" s="1"/>
  <c r="F364" i="7"/>
  <c r="G364" i="7"/>
  <c r="H364" i="7"/>
  <c r="I364" i="7"/>
  <c r="D368" i="7"/>
  <c r="E368" i="7"/>
  <c r="D354" i="7"/>
  <c r="E354" i="7"/>
  <c r="F354" i="7"/>
  <c r="G354" i="7"/>
  <c r="H354" i="7"/>
  <c r="I354" i="7"/>
  <c r="D349" i="7"/>
  <c r="E349" i="7"/>
  <c r="F349" i="7"/>
  <c r="G349" i="7"/>
  <c r="H349" i="7"/>
  <c r="I349" i="7"/>
  <c r="D327" i="7"/>
  <c r="E327" i="7" s="1"/>
  <c r="F327" i="7" s="1"/>
  <c r="G327" i="7" s="1"/>
  <c r="H327" i="7" s="1"/>
  <c r="I327" i="7" s="1"/>
  <c r="J327" i="7" s="1"/>
  <c r="D299" i="7"/>
  <c r="E299" i="7"/>
  <c r="F299" i="7"/>
  <c r="G299" i="7"/>
  <c r="H299" i="7"/>
  <c r="I299" i="7"/>
  <c r="D370" i="7"/>
  <c r="D289" i="7"/>
  <c r="E289" i="7"/>
  <c r="F289" i="7"/>
  <c r="G289" i="7"/>
  <c r="H289" i="7"/>
  <c r="I289" i="7"/>
  <c r="D283" i="7"/>
  <c r="E283" i="7"/>
  <c r="F283" i="7"/>
  <c r="G283" i="7"/>
  <c r="H283" i="7"/>
  <c r="I283" i="7"/>
  <c r="D276" i="7"/>
  <c r="E276" i="7"/>
  <c r="F276" i="7"/>
  <c r="G276" i="7"/>
  <c r="H276" i="7"/>
  <c r="I276" i="7"/>
  <c r="D268" i="7"/>
  <c r="E268" i="7"/>
  <c r="F268" i="7"/>
  <c r="G268" i="7"/>
  <c r="H268" i="7"/>
  <c r="I268" i="7"/>
  <c r="D34" i="7"/>
  <c r="D28" i="7"/>
  <c r="D30" i="7" s="1"/>
  <c r="D98" i="7" s="1"/>
  <c r="D113" i="7" s="1"/>
  <c r="E28" i="7"/>
  <c r="E30" i="7" s="1"/>
  <c r="E98" i="7" s="1"/>
  <c r="E113" i="7" s="1"/>
  <c r="F28" i="7"/>
  <c r="F30" i="7" s="1"/>
  <c r="G28" i="7"/>
  <c r="G30" i="7" s="1"/>
  <c r="H28" i="7"/>
  <c r="H30" i="7" s="1"/>
  <c r="D23" i="7"/>
  <c r="E23" i="7"/>
  <c r="F23" i="7"/>
  <c r="G23" i="7"/>
  <c r="H23" i="7"/>
  <c r="I28" i="7"/>
  <c r="I30" i="7" s="1"/>
  <c r="F193" i="7"/>
  <c r="G193" i="7"/>
  <c r="H193" i="7"/>
  <c r="I193" i="7"/>
  <c r="E193" i="7"/>
  <c r="D193" i="7"/>
  <c r="G261" i="7"/>
  <c r="H261" i="7"/>
  <c r="I261" i="7"/>
  <c r="F261" i="7"/>
  <c r="E261" i="7"/>
  <c r="D261" i="7"/>
  <c r="D256" i="7"/>
  <c r="E256" i="7"/>
  <c r="F256" i="7"/>
  <c r="G256" i="7"/>
  <c r="H256" i="7"/>
  <c r="I256" i="7"/>
  <c r="D251" i="7"/>
  <c r="E251" i="7"/>
  <c r="F251" i="7"/>
  <c r="G251" i="7"/>
  <c r="H251" i="7"/>
  <c r="I251" i="7"/>
  <c r="D245" i="7"/>
  <c r="E245" i="7"/>
  <c r="F245" i="7"/>
  <c r="G245" i="7"/>
  <c r="H245" i="7"/>
  <c r="I245" i="7"/>
  <c r="D239" i="7"/>
  <c r="E239" i="7"/>
  <c r="F239" i="7"/>
  <c r="G239" i="7"/>
  <c r="H239" i="7"/>
  <c r="I239" i="7"/>
  <c r="D321" i="7"/>
  <c r="E321" i="7" s="1"/>
  <c r="D341" i="7"/>
  <c r="E341" i="7" s="1"/>
  <c r="D223" i="7"/>
  <c r="E223" i="7"/>
  <c r="F223" i="7"/>
  <c r="G223" i="7"/>
  <c r="H223" i="7"/>
  <c r="I223" i="7"/>
  <c r="D186" i="7"/>
  <c r="E186" i="7"/>
  <c r="F186" i="7"/>
  <c r="G186" i="7"/>
  <c r="H186" i="7"/>
  <c r="I186" i="7"/>
  <c r="D187" i="7"/>
  <c r="E187" i="7"/>
  <c r="F187" i="7"/>
  <c r="G187" i="7"/>
  <c r="H187" i="7"/>
  <c r="I187" i="7"/>
  <c r="D178" i="7"/>
  <c r="E178" i="7"/>
  <c r="F178" i="7"/>
  <c r="G178" i="7"/>
  <c r="H178" i="7"/>
  <c r="I178" i="7"/>
  <c r="E167" i="7"/>
  <c r="F167" i="7"/>
  <c r="G167" i="7"/>
  <c r="H167" i="7"/>
  <c r="I167" i="7"/>
  <c r="D167" i="7"/>
  <c r="D156" i="7"/>
  <c r="E156" i="7"/>
  <c r="F156" i="7"/>
  <c r="G156" i="7"/>
  <c r="H156" i="7"/>
  <c r="I156" i="7"/>
  <c r="D214" i="7"/>
  <c r="E214" i="7"/>
  <c r="F214" i="7"/>
  <c r="G214" i="7"/>
  <c r="H214" i="7"/>
  <c r="I214" i="7"/>
  <c r="D142" i="7"/>
  <c r="D144" i="7" s="1"/>
  <c r="D148" i="7" s="1"/>
  <c r="E142" i="7"/>
  <c r="E144" i="7"/>
  <c r="E148" i="7" s="1"/>
  <c r="F142" i="7"/>
  <c r="F144" i="7" s="1"/>
  <c r="F148" i="7" s="1"/>
  <c r="G142" i="7"/>
  <c r="G144" i="7" s="1"/>
  <c r="G148" i="7" s="1"/>
  <c r="H142" i="7"/>
  <c r="H144" i="7" s="1"/>
  <c r="H148" i="7" s="1"/>
  <c r="I142" i="7"/>
  <c r="I144" i="7" s="1"/>
  <c r="I148" i="7" s="1"/>
  <c r="D135" i="7"/>
  <c r="E135" i="7"/>
  <c r="D86" i="7"/>
  <c r="E86" i="7"/>
  <c r="F86" i="7"/>
  <c r="G86" i="7"/>
  <c r="H86" i="7"/>
  <c r="I86" i="7"/>
  <c r="D127" i="7"/>
  <c r="E137" i="7"/>
  <c r="F137" i="7"/>
  <c r="D112" i="7"/>
  <c r="E112" i="7"/>
  <c r="F112" i="7"/>
  <c r="G112" i="7"/>
  <c r="H112" i="7"/>
  <c r="I112" i="7"/>
  <c r="D105" i="7"/>
  <c r="E105" i="7"/>
  <c r="F105" i="7"/>
  <c r="G105" i="7"/>
  <c r="H105" i="7"/>
  <c r="I105" i="7"/>
  <c r="D93" i="7"/>
  <c r="E93" i="7"/>
  <c r="F93" i="7"/>
  <c r="G93" i="7"/>
  <c r="H93" i="7"/>
  <c r="I93" i="7"/>
  <c r="D79" i="7"/>
  <c r="E79" i="7"/>
  <c r="D75" i="7"/>
  <c r="E75" i="7"/>
  <c r="F75" i="7"/>
  <c r="G75" i="7"/>
  <c r="H75" i="7"/>
  <c r="I75" i="7"/>
  <c r="D68" i="7"/>
  <c r="E68" i="7"/>
  <c r="F68" i="7"/>
  <c r="G68" i="7"/>
  <c r="H68" i="7"/>
  <c r="I68" i="7"/>
  <c r="D51" i="7"/>
  <c r="E51" i="7"/>
  <c r="F51" i="7"/>
  <c r="G51" i="7"/>
  <c r="H51" i="7"/>
  <c r="I51" i="7"/>
  <c r="I23" i="7"/>
  <c r="D14" i="7"/>
  <c r="D25" i="7" s="1"/>
  <c r="D33" i="7" s="1"/>
  <c r="E14" i="7"/>
  <c r="E25" i="7" s="1"/>
  <c r="E33" i="7" s="1"/>
  <c r="F14" i="7"/>
  <c r="G14" i="7"/>
  <c r="G25" i="7" s="1"/>
  <c r="H14" i="7"/>
  <c r="I14" i="7"/>
  <c r="D137" i="7"/>
  <c r="D80" i="7"/>
  <c r="D87" i="7" s="1"/>
  <c r="D94" i="7" s="1"/>
  <c r="D96" i="7" s="1"/>
  <c r="K7" i="3"/>
  <c r="J7" i="3"/>
  <c r="I7" i="3"/>
  <c r="H7" i="3"/>
  <c r="G7" i="3"/>
  <c r="F7" i="3"/>
  <c r="E7" i="3"/>
  <c r="C7" i="3"/>
  <c r="D7" i="3"/>
  <c r="B13" i="7"/>
  <c r="B70" i="7"/>
  <c r="C14" i="17"/>
  <c r="K16" i="17"/>
  <c r="B30" i="17"/>
  <c r="G38" i="17"/>
  <c r="G26" i="17"/>
  <c r="B16" i="17"/>
  <c r="K22" i="17"/>
  <c r="B18" i="17"/>
  <c r="C46" i="17"/>
  <c r="C24" i="17"/>
  <c r="G14" i="17"/>
  <c r="G32" i="17"/>
  <c r="B22" i="17"/>
  <c r="G42" i="17"/>
  <c r="B40" i="17"/>
  <c r="C16" i="17"/>
  <c r="C30" i="17"/>
  <c r="G16" i="17"/>
  <c r="K28" i="17"/>
  <c r="C36" i="17"/>
  <c r="C38" i="17"/>
  <c r="G36" i="17"/>
  <c r="B38" i="17"/>
  <c r="J65" i="17"/>
  <c r="G46" i="17"/>
  <c r="C32" i="17"/>
  <c r="K18" i="17"/>
  <c r="B24" i="17"/>
  <c r="C42" i="17"/>
  <c r="K20" i="17"/>
  <c r="C26" i="17"/>
  <c r="G10" i="17"/>
  <c r="G24" i="17"/>
  <c r="K14" i="17"/>
  <c r="K32" i="17"/>
  <c r="C18" i="17"/>
  <c r="B36" i="17"/>
  <c r="B14" i="17"/>
  <c r="G34" i="17"/>
  <c r="K40" i="17"/>
  <c r="K42" i="17"/>
  <c r="K34" i="17"/>
  <c r="K30" i="17"/>
  <c r="G40" i="17"/>
  <c r="G65" i="17"/>
  <c r="B26" i="17"/>
  <c r="K26" i="17"/>
  <c r="M10" i="17"/>
  <c r="I349" i="59"/>
  <c r="I245" i="59" s="1"/>
  <c r="I10" i="17"/>
  <c r="L22" i="17"/>
  <c r="J18" i="17"/>
  <c r="D16" i="17"/>
  <c r="F34" i="17"/>
  <c r="L36" i="17"/>
  <c r="J30" i="17"/>
  <c r="D24" i="17"/>
  <c r="H40" i="17"/>
  <c r="D32" i="17"/>
  <c r="D20" i="17"/>
  <c r="H44" i="17"/>
  <c r="D28" i="17"/>
  <c r="L34" i="17"/>
  <c r="C79" i="23"/>
  <c r="F68" i="23"/>
  <c r="F90" i="23"/>
  <c r="F78" i="23"/>
  <c r="F70" i="23"/>
  <c r="M71" i="23"/>
  <c r="M75" i="23"/>
  <c r="E69" i="23"/>
  <c r="E73" i="23"/>
  <c r="E77" i="23"/>
  <c r="H74" i="23"/>
  <c r="G68" i="23"/>
  <c r="H76" i="23"/>
  <c r="H71" i="23"/>
  <c r="I92" i="23"/>
  <c r="G89" i="23"/>
  <c r="F73" i="23"/>
  <c r="G75" i="23"/>
  <c r="G92" i="23"/>
  <c r="I89" i="23"/>
  <c r="I94" i="23" s="1"/>
  <c r="H349" i="59"/>
  <c r="H347" i="59"/>
  <c r="H350" i="59"/>
  <c r="C35" i="26"/>
  <c r="G7" i="32"/>
  <c r="H24" i="17"/>
  <c r="L18" i="17"/>
  <c r="D44" i="17"/>
  <c r="H28" i="17"/>
  <c r="F91" i="23"/>
  <c r="M72" i="23"/>
  <c r="H73" i="23"/>
  <c r="F69" i="23"/>
  <c r="O69" i="23" s="1"/>
  <c r="H93" i="23"/>
  <c r="H75" i="23"/>
  <c r="G90" i="23"/>
  <c r="F65" i="17"/>
  <c r="L44" i="17"/>
  <c r="L10" i="17"/>
  <c r="H16" i="17"/>
  <c r="D14" i="17"/>
  <c r="L40" i="17"/>
  <c r="H30" i="17"/>
  <c r="D42" i="17"/>
  <c r="L20" i="17"/>
  <c r="D34" i="17"/>
  <c r="H46" i="17"/>
  <c r="F75" i="23"/>
  <c r="M68" i="23"/>
  <c r="M76" i="23"/>
  <c r="H68" i="23"/>
  <c r="F347" i="59"/>
  <c r="F350" i="59"/>
  <c r="F303" i="59" s="1"/>
  <c r="F304" i="59" s="1"/>
  <c r="F305" i="59" s="1"/>
  <c r="F349" i="59"/>
  <c r="F245" i="59" s="1"/>
  <c r="G349" i="59"/>
  <c r="G245" i="59" s="1"/>
  <c r="G347" i="59"/>
  <c r="G350" i="59"/>
  <c r="G303" i="59" s="1"/>
  <c r="G304" i="59" s="1"/>
  <c r="G305" i="59" s="1"/>
  <c r="G308" i="59" s="1"/>
  <c r="G309" i="59" s="1"/>
  <c r="BC7" i="32"/>
  <c r="E80" i="7"/>
  <c r="E87" i="7" s="1"/>
  <c r="E94" i="7" s="1"/>
  <c r="E96" i="7" s="1"/>
  <c r="F10" i="17"/>
  <c r="H10" i="17"/>
  <c r="D22" i="17"/>
  <c r="L16" i="17"/>
  <c r="J22" i="17"/>
  <c r="D36" i="17"/>
  <c r="L24" i="17"/>
  <c r="H14" i="17"/>
  <c r="H20" i="17"/>
  <c r="H32" i="17"/>
  <c r="H42" i="17"/>
  <c r="L32" i="17"/>
  <c r="D30" i="17"/>
  <c r="H38" i="17"/>
  <c r="L30" i="17"/>
  <c r="L28" i="17"/>
  <c r="L46" i="17"/>
  <c r="F72" i="23"/>
  <c r="G91" i="23"/>
  <c r="F74" i="23"/>
  <c r="M69" i="23"/>
  <c r="M73" i="23"/>
  <c r="I70" i="23"/>
  <c r="I74" i="23"/>
  <c r="E71" i="23"/>
  <c r="H70" i="23"/>
  <c r="K68" i="23"/>
  <c r="K79" i="23" s="1"/>
  <c r="D20" i="23"/>
  <c r="H77" i="23"/>
  <c r="K70" i="23"/>
  <c r="G77" i="23"/>
  <c r="F16" i="23"/>
  <c r="D92" i="23"/>
  <c r="D94" i="23"/>
  <c r="D75" i="23"/>
  <c r="G70" i="23"/>
  <c r="F23" i="23"/>
  <c r="F14" i="23"/>
  <c r="H90" i="23"/>
  <c r="H94" i="23"/>
  <c r="D70" i="23"/>
  <c r="H92" i="23"/>
  <c r="H72" i="23"/>
  <c r="I7" i="32"/>
  <c r="U7" i="32"/>
  <c r="AB7" i="32"/>
  <c r="V7" i="32"/>
  <c r="AS7" i="32"/>
  <c r="X146" i="41"/>
  <c r="BD146" i="41"/>
  <c r="AN6" i="41"/>
  <c r="H6" i="41"/>
  <c r="J25" i="7"/>
  <c r="J33" i="7" s="1"/>
  <c r="F6" i="41"/>
  <c r="F8" i="41" s="1"/>
  <c r="F76" i="41"/>
  <c r="BE146" i="41"/>
  <c r="BA146" i="41"/>
  <c r="AW146" i="41"/>
  <c r="AO146" i="41"/>
  <c r="AK146" i="41"/>
  <c r="AG146" i="41"/>
  <c r="Y146" i="41"/>
  <c r="U146" i="41"/>
  <c r="Q146" i="41"/>
  <c r="I146" i="41"/>
  <c r="AH146" i="41"/>
  <c r="BC146" i="41"/>
  <c r="AU146" i="41"/>
  <c r="AE146" i="41"/>
  <c r="O146" i="41"/>
  <c r="AZ146" i="41"/>
  <c r="AV146" i="41"/>
  <c r="AR146" i="41"/>
  <c r="AJ146" i="41"/>
  <c r="AF146" i="41"/>
  <c r="AB146" i="41"/>
  <c r="T146" i="41"/>
  <c r="P146" i="41"/>
  <c r="L146" i="41"/>
  <c r="AL6" i="41"/>
  <c r="AL7" i="41" s="1"/>
  <c r="AY6" i="41"/>
  <c r="AM6" i="41"/>
  <c r="AN7" i="41" s="1"/>
  <c r="AE6" i="41"/>
  <c r="S6" i="41"/>
  <c r="S7" i="41" s="1"/>
  <c r="S8" i="41"/>
  <c r="G6" i="41"/>
  <c r="AZ6" i="41"/>
  <c r="AV76" i="41"/>
  <c r="AR6" i="41"/>
  <c r="AJ6" i="41"/>
  <c r="AK7" i="41"/>
  <c r="AF76" i="41"/>
  <c r="AB6" i="41"/>
  <c r="AB7" i="41" s="1"/>
  <c r="T6" i="41"/>
  <c r="P76" i="41"/>
  <c r="L6" i="41"/>
  <c r="BE6" i="41"/>
  <c r="BE8" i="41"/>
  <c r="AW6" i="41"/>
  <c r="AS76" i="41"/>
  <c r="AO6" i="41"/>
  <c r="AG6" i="41"/>
  <c r="AG8" i="41" s="1"/>
  <c r="AC76" i="41"/>
  <c r="Y6" i="41"/>
  <c r="Y7" i="41" s="1"/>
  <c r="Q6" i="41"/>
  <c r="M76" i="41"/>
  <c r="I6" i="41"/>
  <c r="I7" i="41" s="1"/>
  <c r="I137" i="7"/>
  <c r="F370" i="7"/>
  <c r="H25" i="7"/>
  <c r="G137" i="7"/>
  <c r="I25" i="7"/>
  <c r="D328" i="7"/>
  <c r="J137" i="7"/>
  <c r="J370" i="7"/>
  <c r="F25" i="7"/>
  <c r="J10" i="17"/>
  <c r="J34" i="17"/>
  <c r="F40" i="17"/>
  <c r="J26" i="17"/>
  <c r="F28" i="17"/>
  <c r="F46" i="17"/>
  <c r="F16" i="17"/>
  <c r="F20" i="17"/>
  <c r="F42" i="17"/>
  <c r="F24" i="17"/>
  <c r="J14" i="17"/>
  <c r="J40" i="17"/>
  <c r="J28" i="17"/>
  <c r="F32" i="17"/>
  <c r="F44" i="17"/>
  <c r="F38" i="17"/>
  <c r="K10" i="17"/>
  <c r="F18" i="17"/>
  <c r="F22" i="17"/>
  <c r="F30" i="17"/>
  <c r="J20" i="17"/>
  <c r="J16" i="17"/>
  <c r="J42" i="17"/>
  <c r="F36" i="17"/>
  <c r="J24" i="17"/>
  <c r="J36" i="17"/>
  <c r="J32" i="17"/>
  <c r="J44" i="17"/>
  <c r="T7" i="41"/>
  <c r="T8" i="41"/>
  <c r="AM8" i="41"/>
  <c r="G94" i="23"/>
  <c r="AR8" i="41"/>
  <c r="AS7" i="41"/>
  <c r="Q8" i="41"/>
  <c r="AO8" i="41"/>
  <c r="L8" i="41"/>
  <c r="M7" i="41"/>
  <c r="AZ8" i="41"/>
  <c r="AL8" i="41"/>
  <c r="H8" i="41"/>
  <c r="M79" i="23"/>
  <c r="O89" i="23"/>
  <c r="AW8" i="41"/>
  <c r="AJ8" i="41"/>
  <c r="AY8" i="41"/>
  <c r="J79" i="7"/>
  <c r="J80" i="7" s="1"/>
  <c r="I79" i="7"/>
  <c r="I80" i="7" s="1"/>
  <c r="G79" i="7"/>
  <c r="G80" i="7" s="1"/>
  <c r="H79" i="7"/>
  <c r="H80" i="7" s="1"/>
  <c r="F79" i="7"/>
  <c r="F80" i="7"/>
  <c r="F87" i="7" s="1"/>
  <c r="F94" i="7" s="1"/>
  <c r="F96" i="7" s="1"/>
  <c r="AX8" i="41"/>
  <c r="AH8" i="41"/>
  <c r="J8" i="41"/>
  <c r="J7" i="41"/>
  <c r="U8" i="41"/>
  <c r="U7" i="41"/>
  <c r="AP7" i="41"/>
  <c r="AG7" i="41"/>
  <c r="AM7" i="41"/>
  <c r="BB6" i="41"/>
  <c r="AX146" i="41"/>
  <c r="Z7" i="32"/>
  <c r="R7" i="32"/>
  <c r="D7" i="32"/>
  <c r="K7" i="32"/>
  <c r="O7" i="32"/>
  <c r="AD7" i="32"/>
  <c r="AK7" i="32"/>
  <c r="AN7" i="32"/>
  <c r="AZ7" i="32"/>
  <c r="BK7" i="32"/>
  <c r="J146" i="41"/>
  <c r="N6" i="41"/>
  <c r="N8" i="41" s="1"/>
  <c r="BF6" i="41"/>
  <c r="Z6" i="41"/>
  <c r="AO7" i="41"/>
  <c r="G7" i="41"/>
  <c r="BF7" i="32"/>
  <c r="H7" i="32"/>
  <c r="P7" i="32"/>
  <c r="T7" i="32"/>
  <c r="X7" i="32"/>
  <c r="AA7" i="32"/>
  <c r="AE7" i="32"/>
  <c r="BD7" i="32"/>
  <c r="BH7" i="32"/>
  <c r="V146" i="41"/>
  <c r="AT146" i="41"/>
  <c r="AD6" i="41"/>
  <c r="AN8" i="41"/>
  <c r="AE8" i="41"/>
  <c r="AB8" i="41"/>
  <c r="AI8" i="41"/>
  <c r="AC7" i="32"/>
  <c r="AC6" i="41"/>
  <c r="W7" i="41"/>
  <c r="L7" i="41"/>
  <c r="AF7" i="41"/>
  <c r="G8" i="41"/>
  <c r="H7" i="41"/>
  <c r="AZ7" i="41"/>
  <c r="AJ7" i="41"/>
  <c r="BE7" i="41"/>
  <c r="AQ6" i="41"/>
  <c r="AQ8" i="41" s="1"/>
  <c r="AV7" i="32"/>
  <c r="BC8" i="41"/>
  <c r="AG7" i="32"/>
  <c r="AU6" i="41"/>
  <c r="AU7" i="41" s="1"/>
  <c r="BI7" i="32"/>
  <c r="L7" i="32"/>
  <c r="AY7" i="32"/>
  <c r="AQ7" i="32"/>
  <c r="BE7" i="32"/>
  <c r="AW7" i="41"/>
  <c r="AL7" i="32"/>
  <c r="AC7" i="41"/>
  <c r="AD8" i="41"/>
  <c r="AE7" i="41"/>
  <c r="BB8" i="41"/>
  <c r="BB7" i="41"/>
  <c r="BF8" i="41"/>
  <c r="BF7" i="41"/>
  <c r="Z7" i="41"/>
  <c r="Z8" i="41"/>
  <c r="AA7" i="41"/>
  <c r="AU8" i="41"/>
  <c r="AQ7" i="41"/>
  <c r="O7" i="25" l="1"/>
  <c r="J350" i="59"/>
  <c r="J303" i="59" s="1"/>
  <c r="J304" i="59" s="1"/>
  <c r="J305" i="59" s="1"/>
  <c r="J308" i="59" s="1"/>
  <c r="J309" i="59" s="1"/>
  <c r="F351" i="59"/>
  <c r="F354" i="59" s="1"/>
  <c r="F145" i="59"/>
  <c r="F146" i="59" s="1"/>
  <c r="F147" i="59" s="1"/>
  <c r="F151" i="59" s="1"/>
  <c r="J347" i="59"/>
  <c r="G248" i="59"/>
  <c r="G296" i="59"/>
  <c r="F248" i="59"/>
  <c r="F296" i="59"/>
  <c r="H145" i="59"/>
  <c r="H351" i="59"/>
  <c r="I248" i="59"/>
  <c r="I296" i="59"/>
  <c r="I145" i="59"/>
  <c r="G145" i="59"/>
  <c r="G146" i="59" s="1"/>
  <c r="G147" i="59" s="1"/>
  <c r="G151" i="59" s="1"/>
  <c r="G351" i="59"/>
  <c r="H303" i="59"/>
  <c r="H304" i="59" s="1"/>
  <c r="H305" i="59" s="1"/>
  <c r="H308" i="59" s="1"/>
  <c r="H309" i="59" s="1"/>
  <c r="G40" i="59"/>
  <c r="G105" i="59"/>
  <c r="F308" i="59"/>
  <c r="F309" i="59" s="1"/>
  <c r="H245" i="59"/>
  <c r="P7" i="25"/>
  <c r="AR7" i="41"/>
  <c r="N7" i="41"/>
  <c r="E345" i="7"/>
  <c r="F341" i="7"/>
  <c r="BD7" i="41"/>
  <c r="BC7" i="41"/>
  <c r="AX7" i="41"/>
  <c r="AY7" i="41"/>
  <c r="AT8" i="41"/>
  <c r="AT7" i="41"/>
  <c r="AH7" i="41"/>
  <c r="AI7" i="41"/>
  <c r="V8" i="41"/>
  <c r="V7" i="41"/>
  <c r="K7" i="41"/>
  <c r="O8" i="41"/>
  <c r="E328" i="7"/>
  <c r="F321" i="7"/>
  <c r="G321" i="7" s="1"/>
  <c r="O91" i="23"/>
  <c r="BA7" i="41"/>
  <c r="BA8" i="41"/>
  <c r="BG8" i="41"/>
  <c r="AC8" i="41"/>
  <c r="AD7" i="41"/>
  <c r="AV7" i="41"/>
  <c r="X7" i="41"/>
  <c r="X8" i="41"/>
  <c r="P8" i="41"/>
  <c r="P7" i="41"/>
  <c r="Q7" i="41"/>
  <c r="R8" i="41"/>
  <c r="R7" i="41"/>
  <c r="E64" i="58"/>
  <c r="E64" i="59"/>
  <c r="D345" i="7"/>
  <c r="C17" i="23"/>
  <c r="G14" i="23"/>
  <c r="G25" i="23" s="1"/>
  <c r="C16" i="23"/>
  <c r="I71" i="23"/>
  <c r="I76" i="23"/>
  <c r="E72" i="23"/>
  <c r="O72" i="23" s="1"/>
  <c r="K91" i="23"/>
  <c r="C22" i="23"/>
  <c r="C92" i="23"/>
  <c r="O92" i="23" s="1"/>
  <c r="D68" i="23"/>
  <c r="J77" i="23"/>
  <c r="D35" i="26"/>
  <c r="D31" i="26" s="1"/>
  <c r="D32" i="26" s="1"/>
  <c r="AU7" i="32"/>
  <c r="Q371" i="59"/>
  <c r="Q371" i="58"/>
  <c r="I370" i="7"/>
  <c r="I8" i="41"/>
  <c r="F94" i="23"/>
  <c r="D64" i="58"/>
  <c r="D64" i="59"/>
  <c r="G78" i="23"/>
  <c r="O78" i="23" s="1"/>
  <c r="G76" i="23"/>
  <c r="O76" i="23" s="1"/>
  <c r="G71" i="23"/>
  <c r="C93" i="23"/>
  <c r="O93" i="23" s="1"/>
  <c r="C23" i="23"/>
  <c r="J70" i="23"/>
  <c r="O70" i="23" s="1"/>
  <c r="G35" i="26"/>
  <c r="G31" i="26" s="1"/>
  <c r="G32" i="26" s="1"/>
  <c r="BA7" i="32"/>
  <c r="K160" i="59"/>
  <c r="L160" i="59" s="1"/>
  <c r="M160" i="59" s="1"/>
  <c r="N160" i="59" s="1"/>
  <c r="O160" i="59" s="1"/>
  <c r="P160" i="59" s="1"/>
  <c r="Q160" i="59" s="1"/>
  <c r="R160" i="59" s="1"/>
  <c r="S160" i="59" s="1"/>
  <c r="T160" i="59" s="1"/>
  <c r="K160" i="58"/>
  <c r="L160" i="58" s="1"/>
  <c r="M160" i="58" s="1"/>
  <c r="N160" i="58" s="1"/>
  <c r="O160" i="58" s="1"/>
  <c r="P160" i="58" s="1"/>
  <c r="Q160" i="58" s="1"/>
  <c r="R160" i="58" s="1"/>
  <c r="S160" i="58" s="1"/>
  <c r="T160" i="58" s="1"/>
  <c r="K158" i="58"/>
  <c r="K158" i="59"/>
  <c r="R371" i="59"/>
  <c r="R371" i="58"/>
  <c r="C10" i="17"/>
  <c r="Y8" i="41"/>
  <c r="K22" i="58"/>
  <c r="K22" i="59"/>
  <c r="K17" i="59"/>
  <c r="K17" i="58"/>
  <c r="K159" i="58" s="1"/>
  <c r="C19" i="23"/>
  <c r="G22" i="23"/>
  <c r="C24" i="23"/>
  <c r="I68" i="23"/>
  <c r="I79" i="23" s="1"/>
  <c r="I73" i="23"/>
  <c r="E68" i="23"/>
  <c r="E76" i="23"/>
  <c r="K90" i="23"/>
  <c r="O90" i="23" s="1"/>
  <c r="O94" i="23" s="1"/>
  <c r="D77" i="23"/>
  <c r="O77" i="23" s="1"/>
  <c r="G73" i="23"/>
  <c r="D73" i="23"/>
  <c r="F20" i="23"/>
  <c r="F25" i="23" s="1"/>
  <c r="F15" i="23"/>
  <c r="K371" i="58"/>
  <c r="K376" i="58" s="1"/>
  <c r="K371" i="59"/>
  <c r="K376" i="59" s="1"/>
  <c r="G19" i="23"/>
  <c r="G15" i="23"/>
  <c r="K19" i="59"/>
  <c r="K19" i="58"/>
  <c r="K161" i="59"/>
  <c r="L161" i="59" s="1"/>
  <c r="M161" i="59" s="1"/>
  <c r="N161" i="59" s="1"/>
  <c r="O161" i="59" s="1"/>
  <c r="P161" i="59" s="1"/>
  <c r="Q161" i="59" s="1"/>
  <c r="R161" i="59" s="1"/>
  <c r="S161" i="59" s="1"/>
  <c r="T161" i="59" s="1"/>
  <c r="K161" i="58"/>
  <c r="L161" i="58" s="1"/>
  <c r="M161" i="58" s="1"/>
  <c r="N161" i="58" s="1"/>
  <c r="O161" i="58" s="1"/>
  <c r="P161" i="58" s="1"/>
  <c r="Q161" i="58" s="1"/>
  <c r="R161" i="58" s="1"/>
  <c r="S161" i="58" s="1"/>
  <c r="T161" i="58" s="1"/>
  <c r="L371" i="58"/>
  <c r="L371" i="59"/>
  <c r="E10" i="17"/>
  <c r="H370" i="7"/>
  <c r="G370" i="7"/>
  <c r="H321" i="7"/>
  <c r="G328" i="7"/>
  <c r="F328" i="7"/>
  <c r="H64" i="58"/>
  <c r="F64" i="58"/>
  <c r="G64" i="58"/>
  <c r="I64" i="58"/>
  <c r="J64" i="58"/>
  <c r="H87" i="7"/>
  <c r="H94" i="7" s="1"/>
  <c r="H96" i="7" s="1"/>
  <c r="F98" i="7"/>
  <c r="F113" i="7" s="1"/>
  <c r="G33" i="7"/>
  <c r="H33" i="7"/>
  <c r="I33" i="7"/>
  <c r="F33" i="7"/>
  <c r="I98" i="7"/>
  <c r="I113" i="7" s="1"/>
  <c r="I87" i="7"/>
  <c r="I94" i="7" s="1"/>
  <c r="I96" i="7" s="1"/>
  <c r="J87" i="7"/>
  <c r="J94" i="7" s="1"/>
  <c r="J96" i="7" s="1"/>
  <c r="J98" i="7"/>
  <c r="J113" i="7" s="1"/>
  <c r="G87" i="7"/>
  <c r="G94" i="7" s="1"/>
  <c r="G96" i="7" s="1"/>
  <c r="G98" i="7"/>
  <c r="G113" i="7" s="1"/>
  <c r="H98" i="7"/>
  <c r="H113" i="7" s="1"/>
  <c r="E24" i="23"/>
  <c r="F21" i="23"/>
  <c r="G17" i="23"/>
  <c r="G18" i="23"/>
  <c r="E15" i="23"/>
  <c r="E21" i="23"/>
  <c r="D24" i="23"/>
  <c r="D25" i="23" s="1"/>
  <c r="C21" i="23"/>
  <c r="C25" i="23" s="1"/>
  <c r="N27" i="25"/>
  <c r="M27" i="25"/>
  <c r="O27" i="25"/>
  <c r="F35" i="26"/>
  <c r="F31" i="26" s="1"/>
  <c r="F32" i="26" s="1"/>
  <c r="E35" i="26"/>
  <c r="E31" i="26" s="1"/>
  <c r="E32" i="26" s="1"/>
  <c r="C31" i="26"/>
  <c r="C32" i="26" s="1"/>
  <c r="C34" i="26" s="1"/>
  <c r="M8" i="25"/>
  <c r="M9" i="25" s="1"/>
  <c r="P27" i="25" l="1"/>
  <c r="I350" i="59"/>
  <c r="I146" i="59"/>
  <c r="I147" i="59"/>
  <c r="I151" i="59" s="1"/>
  <c r="H40" i="59"/>
  <c r="H105" i="59"/>
  <c r="F40" i="59"/>
  <c r="F105" i="59"/>
  <c r="Q27" i="25"/>
  <c r="J349" i="59"/>
  <c r="J245" i="59" s="1"/>
  <c r="H146" i="59"/>
  <c r="H147" i="59" s="1"/>
  <c r="H151" i="59" s="1"/>
  <c r="G249" i="59"/>
  <c r="G295" i="59"/>
  <c r="J105" i="59"/>
  <c r="J40" i="59"/>
  <c r="F249" i="59"/>
  <c r="F295" i="59"/>
  <c r="H248" i="59"/>
  <c r="H296" i="59"/>
  <c r="I249" i="59"/>
  <c r="I295" i="59"/>
  <c r="J145" i="59"/>
  <c r="J146" i="59" s="1"/>
  <c r="J147" i="59" s="1"/>
  <c r="J151" i="59" s="1"/>
  <c r="F387" i="59"/>
  <c r="F356" i="59"/>
  <c r="F322" i="59" s="1"/>
  <c r="F324" i="59" s="1"/>
  <c r="F325" i="59" s="1"/>
  <c r="G354" i="59"/>
  <c r="F338" i="59"/>
  <c r="F339" i="59" s="1"/>
  <c r="F340" i="59" s="1"/>
  <c r="F343" i="59" s="1"/>
  <c r="F344" i="59" s="1"/>
  <c r="F329" i="59"/>
  <c r="F357" i="59"/>
  <c r="F429" i="59" s="1"/>
  <c r="F431" i="59" s="1"/>
  <c r="F432" i="59" s="1"/>
  <c r="F62" i="59" s="1"/>
  <c r="F507" i="59"/>
  <c r="F514" i="59"/>
  <c r="F203" i="59"/>
  <c r="K20" i="58"/>
  <c r="L19" i="58"/>
  <c r="K362" i="59"/>
  <c r="L376" i="59"/>
  <c r="O73" i="23"/>
  <c r="K18" i="59"/>
  <c r="L17" i="59" s="1"/>
  <c r="K11" i="59"/>
  <c r="K21" i="59"/>
  <c r="L158" i="58"/>
  <c r="K94" i="23"/>
  <c r="C94" i="23"/>
  <c r="K20" i="59"/>
  <c r="L19" i="59"/>
  <c r="K362" i="58"/>
  <c r="L376" i="58"/>
  <c r="E79" i="23"/>
  <c r="K23" i="59"/>
  <c r="L22" i="59"/>
  <c r="J79" i="23"/>
  <c r="K18" i="58"/>
  <c r="L17" i="58" s="1"/>
  <c r="K11" i="58"/>
  <c r="K21" i="58"/>
  <c r="L158" i="59"/>
  <c r="O68" i="23"/>
  <c r="D79" i="23"/>
  <c r="L22" i="58"/>
  <c r="K23" i="58"/>
  <c r="K159" i="59"/>
  <c r="O71" i="23"/>
  <c r="G79" i="23"/>
  <c r="G341" i="7"/>
  <c r="F345" i="7"/>
  <c r="H328" i="7"/>
  <c r="I321" i="7"/>
  <c r="E25" i="23"/>
  <c r="S27" i="25"/>
  <c r="M10" i="25"/>
  <c r="C36" i="26"/>
  <c r="J351" i="59" l="1"/>
  <c r="F473" i="59"/>
  <c r="D33" i="26"/>
  <c r="D34" i="26" s="1"/>
  <c r="D36" i="26" s="1"/>
  <c r="F100" i="59"/>
  <c r="F102" i="59" s="1"/>
  <c r="G329" i="59"/>
  <c r="H354" i="59"/>
  <c r="G387" i="59"/>
  <c r="G388" i="59" s="1"/>
  <c r="G357" i="59"/>
  <c r="G429" i="59" s="1"/>
  <c r="G431" i="59" s="1"/>
  <c r="G432" i="59" s="1"/>
  <c r="G62" i="59" s="1"/>
  <c r="G338" i="59"/>
  <c r="G339" i="59" s="1"/>
  <c r="G340" i="59" s="1"/>
  <c r="G343" i="59" s="1"/>
  <c r="G344" i="59" s="1"/>
  <c r="G356" i="59"/>
  <c r="G322" i="59" s="1"/>
  <c r="G324" i="59" s="1"/>
  <c r="G325" i="59" s="1"/>
  <c r="H249" i="59"/>
  <c r="H295" i="59"/>
  <c r="F330" i="59"/>
  <c r="F331" i="59" s="1"/>
  <c r="F334" i="59" s="1"/>
  <c r="F335" i="59" s="1"/>
  <c r="F316" i="59"/>
  <c r="F317" i="59" s="1"/>
  <c r="F318" i="59" s="1"/>
  <c r="J248" i="59"/>
  <c r="J296" i="59"/>
  <c r="I303" i="59"/>
  <c r="I304" i="59" s="1"/>
  <c r="I305" i="59" s="1"/>
  <c r="I308" i="59" s="1"/>
  <c r="I309" i="59" s="1"/>
  <c r="K350" i="59"/>
  <c r="K349" i="59"/>
  <c r="K347" i="59"/>
  <c r="I351" i="59"/>
  <c r="R27" i="25"/>
  <c r="F358" i="59"/>
  <c r="F401" i="59" s="1"/>
  <c r="F402" i="59" s="1"/>
  <c r="F403" i="59" s="1"/>
  <c r="F388" i="59"/>
  <c r="F389" i="59" s="1"/>
  <c r="F392" i="59" s="1"/>
  <c r="F394" i="59" s="1"/>
  <c r="F393" i="59" s="1"/>
  <c r="F207" i="59"/>
  <c r="F88" i="59"/>
  <c r="F90" i="59" s="1"/>
  <c r="F91" i="59" s="1"/>
  <c r="F461" i="59"/>
  <c r="F463" i="59" s="1"/>
  <c r="F470" i="59" s="1"/>
  <c r="L159" i="59"/>
  <c r="K12" i="59"/>
  <c r="K13" i="59"/>
  <c r="L11" i="59"/>
  <c r="H341" i="7"/>
  <c r="G345" i="7"/>
  <c r="O79" i="23"/>
  <c r="K12" i="58"/>
  <c r="K13" i="58"/>
  <c r="L11" i="58"/>
  <c r="L20" i="59"/>
  <c r="M19" i="59"/>
  <c r="L18" i="59"/>
  <c r="M17" i="59" s="1"/>
  <c r="L21" i="59"/>
  <c r="M19" i="58"/>
  <c r="L20" i="58"/>
  <c r="L23" i="58"/>
  <c r="M22" i="58"/>
  <c r="M158" i="59"/>
  <c r="L18" i="58"/>
  <c r="M17" i="58" s="1"/>
  <c r="L21" i="58"/>
  <c r="K162" i="59"/>
  <c r="L162" i="59" s="1"/>
  <c r="K165" i="59"/>
  <c r="K163" i="59"/>
  <c r="L163" i="59" s="1"/>
  <c r="M158" i="58"/>
  <c r="K162" i="58"/>
  <c r="K163" i="58"/>
  <c r="L163" i="58" s="1"/>
  <c r="K165" i="58"/>
  <c r="M22" i="59"/>
  <c r="L23" i="59"/>
  <c r="M376" i="58"/>
  <c r="L362" i="58"/>
  <c r="M376" i="59"/>
  <c r="L362" i="59"/>
  <c r="L159" i="58"/>
  <c r="J321" i="7"/>
  <c r="J328" i="7" s="1"/>
  <c r="I328" i="7"/>
  <c r="T27" i="25"/>
  <c r="M11" i="25"/>
  <c r="N8" i="25"/>
  <c r="N9" i="25" s="1"/>
  <c r="U27" i="25"/>
  <c r="C37" i="26"/>
  <c r="E33" i="26" l="1"/>
  <c r="E34" i="26" s="1"/>
  <c r="G100" i="59"/>
  <c r="G102" i="59" s="1"/>
  <c r="M159" i="59"/>
  <c r="K245" i="59"/>
  <c r="L349" i="59"/>
  <c r="K351" i="59"/>
  <c r="K303" i="59"/>
  <c r="L350" i="59"/>
  <c r="G358" i="59"/>
  <c r="G401" i="59" s="1"/>
  <c r="G402" i="59" s="1"/>
  <c r="G403" i="59" s="1"/>
  <c r="G389" i="59"/>
  <c r="I40" i="59"/>
  <c r="I105" i="59"/>
  <c r="H356" i="59"/>
  <c r="H322" i="59" s="1"/>
  <c r="H324" i="59" s="1"/>
  <c r="H325" i="59" s="1"/>
  <c r="H387" i="59"/>
  <c r="H388" i="59" s="1"/>
  <c r="H389" i="59" s="1"/>
  <c r="I354" i="59"/>
  <c r="H338" i="59"/>
  <c r="H339" i="59" s="1"/>
  <c r="H340" i="59" s="1"/>
  <c r="H329" i="59"/>
  <c r="H357" i="59"/>
  <c r="H429" i="59" s="1"/>
  <c r="H431" i="59" s="1"/>
  <c r="H432" i="59" s="1"/>
  <c r="H62" i="59" s="1"/>
  <c r="J249" i="59"/>
  <c r="K248" i="59"/>
  <c r="J295" i="59"/>
  <c r="K145" i="59"/>
  <c r="L347" i="59"/>
  <c r="G330" i="59"/>
  <c r="G331" i="59" s="1"/>
  <c r="G334" i="59" s="1"/>
  <c r="G335" i="59" s="1"/>
  <c r="G316" i="59"/>
  <c r="G317" i="59" s="1"/>
  <c r="G318" i="59" s="1"/>
  <c r="F103" i="59"/>
  <c r="F119" i="59"/>
  <c r="F513" i="59"/>
  <c r="F515" i="59" s="1"/>
  <c r="F68" i="59" s="1"/>
  <c r="F54" i="59" s="1"/>
  <c r="F506" i="59"/>
  <c r="F61" i="59"/>
  <c r="G514" i="59"/>
  <c r="G203" i="59"/>
  <c r="G507" i="59"/>
  <c r="F478" i="59"/>
  <c r="F49" i="59"/>
  <c r="K164" i="59"/>
  <c r="K172" i="59" s="1"/>
  <c r="K175" i="59" s="1"/>
  <c r="M18" i="58"/>
  <c r="N17" i="58" s="1"/>
  <c r="M21" i="58"/>
  <c r="K14" i="58"/>
  <c r="K365" i="58"/>
  <c r="K304" i="58"/>
  <c r="K305" i="58" s="1"/>
  <c r="K342" i="58"/>
  <c r="K124" i="58"/>
  <c r="K126" i="58"/>
  <c r="K379" i="58"/>
  <c r="K216" i="58"/>
  <c r="K212" i="58" s="1"/>
  <c r="K213" i="58" s="1"/>
  <c r="K214" i="58" s="1"/>
  <c r="K130" i="58"/>
  <c r="K440" i="58"/>
  <c r="K134" i="58"/>
  <c r="K409" i="58"/>
  <c r="K426" i="58"/>
  <c r="K408" i="58"/>
  <c r="K307" i="58"/>
  <c r="K308" i="58" s="1"/>
  <c r="K407" i="58"/>
  <c r="K15" i="58"/>
  <c r="K280" i="58"/>
  <c r="K333" i="58"/>
  <c r="K442" i="58"/>
  <c r="K140" i="58"/>
  <c r="K141" i="58" s="1"/>
  <c r="K272" i="58"/>
  <c r="K299" i="58" s="1"/>
  <c r="K127" i="58"/>
  <c r="K276" i="58"/>
  <c r="K451" i="58"/>
  <c r="K436" i="58"/>
  <c r="K437" i="58" s="1"/>
  <c r="K128" i="58"/>
  <c r="K154" i="58"/>
  <c r="K155" i="58" s="1"/>
  <c r="K284" i="58"/>
  <c r="K125" i="58"/>
  <c r="K263" i="58"/>
  <c r="K312" i="58"/>
  <c r="K493" i="58" s="1"/>
  <c r="K168" i="58"/>
  <c r="K136" i="58"/>
  <c r="K383" i="58"/>
  <c r="K313" i="58"/>
  <c r="K452" i="58"/>
  <c r="K363" i="58"/>
  <c r="K330" i="58"/>
  <c r="K339" i="58"/>
  <c r="K317" i="58"/>
  <c r="K190" i="58"/>
  <c r="K191" i="58"/>
  <c r="K192" i="58"/>
  <c r="H345" i="7"/>
  <c r="I341" i="7"/>
  <c r="N376" i="59"/>
  <c r="M362" i="59"/>
  <c r="L162" i="58"/>
  <c r="M162" i="58" s="1"/>
  <c r="K164" i="58"/>
  <c r="K236" i="59"/>
  <c r="K239" i="59" s="1"/>
  <c r="K242" i="59" s="1"/>
  <c r="L165" i="59"/>
  <c r="M20" i="59"/>
  <c r="N19" i="59"/>
  <c r="L12" i="59"/>
  <c r="M11" i="59"/>
  <c r="M163" i="58"/>
  <c r="M23" i="58"/>
  <c r="N22" i="58"/>
  <c r="M23" i="59"/>
  <c r="N22" i="59"/>
  <c r="N158" i="58"/>
  <c r="M162" i="59"/>
  <c r="N158" i="59"/>
  <c r="M20" i="58"/>
  <c r="N19" i="58"/>
  <c r="K127" i="59"/>
  <c r="K14" i="59"/>
  <c r="K365" i="59"/>
  <c r="K312" i="59"/>
  <c r="K493" i="59" s="1"/>
  <c r="K304" i="59"/>
  <c r="K216" i="59"/>
  <c r="K212" i="59" s="1"/>
  <c r="K213" i="59" s="1"/>
  <c r="K214" i="59" s="1"/>
  <c r="K442" i="59"/>
  <c r="K313" i="59"/>
  <c r="K451" i="59"/>
  <c r="K452" i="59" s="1"/>
  <c r="K15" i="59"/>
  <c r="K140" i="59"/>
  <c r="K141" i="59" s="1"/>
  <c r="K307" i="59"/>
  <c r="K308" i="59" s="1"/>
  <c r="K272" i="59"/>
  <c r="K299" i="59" s="1"/>
  <c r="K280" i="59"/>
  <c r="K134" i="59"/>
  <c r="K408" i="59"/>
  <c r="K409" i="59"/>
  <c r="K383" i="59"/>
  <c r="K384" i="59" s="1"/>
  <c r="K115" i="59" s="1"/>
  <c r="K263" i="59"/>
  <c r="K126" i="59"/>
  <c r="K124" i="59"/>
  <c r="K284" i="59"/>
  <c r="K136" i="59"/>
  <c r="K168" i="59"/>
  <c r="K342" i="59"/>
  <c r="K379" i="59"/>
  <c r="K380" i="59" s="1"/>
  <c r="K114" i="59" s="1"/>
  <c r="K130" i="59"/>
  <c r="K154" i="59"/>
  <c r="K155" i="59" s="1"/>
  <c r="K276" i="59"/>
  <c r="K440" i="59"/>
  <c r="K128" i="59"/>
  <c r="K333" i="59"/>
  <c r="K125" i="59"/>
  <c r="K436" i="59"/>
  <c r="K437" i="59" s="1"/>
  <c r="K116" i="59" s="1"/>
  <c r="K407" i="59"/>
  <c r="K426" i="59"/>
  <c r="L13" i="59"/>
  <c r="K363" i="59"/>
  <c r="M163" i="59"/>
  <c r="M21" i="59"/>
  <c r="M18" i="59"/>
  <c r="N17" i="59" s="1"/>
  <c r="M159" i="58"/>
  <c r="N376" i="58"/>
  <c r="M362" i="58"/>
  <c r="K236" i="58"/>
  <c r="K239" i="58" s="1"/>
  <c r="K242" i="58" s="1"/>
  <c r="L165" i="58"/>
  <c r="L164" i="59"/>
  <c r="L13" i="58"/>
  <c r="M11" i="58"/>
  <c r="L12" i="58"/>
  <c r="N10" i="25"/>
  <c r="G473" i="59" s="1"/>
  <c r="V27" i="25"/>
  <c r="D37" i="26"/>
  <c r="E36" i="26"/>
  <c r="H100" i="59" s="1"/>
  <c r="H102" i="59" s="1"/>
  <c r="K305" i="59" l="1"/>
  <c r="K488" i="59" s="1"/>
  <c r="G392" i="59"/>
  <c r="G394" i="59" s="1"/>
  <c r="G393" i="59" s="1"/>
  <c r="M347" i="59"/>
  <c r="L145" i="59"/>
  <c r="I356" i="59"/>
  <c r="I322" i="59" s="1"/>
  <c r="I324" i="59" s="1"/>
  <c r="I325" i="59" s="1"/>
  <c r="I329" i="59"/>
  <c r="J354" i="59"/>
  <c r="I387" i="59"/>
  <c r="I357" i="59"/>
  <c r="I429" i="59" s="1"/>
  <c r="I431" i="59" s="1"/>
  <c r="I432" i="59" s="1"/>
  <c r="I62" i="59" s="1"/>
  <c r="I338" i="59"/>
  <c r="I339" i="59" s="1"/>
  <c r="I340" i="59" s="1"/>
  <c r="I343" i="59" s="1"/>
  <c r="I344" i="59" s="1"/>
  <c r="I358" i="59"/>
  <c r="K295" i="59"/>
  <c r="K183" i="59" s="1"/>
  <c r="L248" i="59"/>
  <c r="H392" i="59"/>
  <c r="H394" i="59" s="1"/>
  <c r="H393" i="59" s="1"/>
  <c r="L303" i="59"/>
  <c r="M350" i="59"/>
  <c r="L245" i="59"/>
  <c r="M349" i="59"/>
  <c r="L351" i="59"/>
  <c r="H343" i="59"/>
  <c r="H344" i="59" s="1"/>
  <c r="H316" i="59"/>
  <c r="H317" i="59" s="1"/>
  <c r="H318" i="59" s="1"/>
  <c r="H330" i="59"/>
  <c r="H331" i="59" s="1"/>
  <c r="H358" i="59"/>
  <c r="H401" i="59" s="1"/>
  <c r="H402" i="59" s="1"/>
  <c r="H403" i="59" s="1"/>
  <c r="G461" i="59"/>
  <c r="G463" i="59" s="1"/>
  <c r="G470" i="59" s="1"/>
  <c r="G207" i="59"/>
  <c r="F508" i="59"/>
  <c r="F509" i="59" s="1"/>
  <c r="G88" i="59"/>
  <c r="G90" i="59" s="1"/>
  <c r="G91" i="59" s="1"/>
  <c r="L164" i="58"/>
  <c r="L172" i="58" s="1"/>
  <c r="L175" i="58" s="1"/>
  <c r="K166" i="59"/>
  <c r="K169" i="59" s="1"/>
  <c r="K198" i="58"/>
  <c r="N159" i="58"/>
  <c r="L127" i="59"/>
  <c r="L15" i="59"/>
  <c r="L276" i="59"/>
  <c r="L216" i="59"/>
  <c r="L212" i="59" s="1"/>
  <c r="L213" i="59" s="1"/>
  <c r="L214" i="59" s="1"/>
  <c r="L280" i="59"/>
  <c r="L140" i="59"/>
  <c r="L141" i="59" s="1"/>
  <c r="L440" i="59"/>
  <c r="L365" i="59"/>
  <c r="L154" i="59"/>
  <c r="L155" i="59" s="1"/>
  <c r="L14" i="59"/>
  <c r="L167" i="59" s="1"/>
  <c r="L269" i="59" s="1"/>
  <c r="L271" i="59" s="1"/>
  <c r="L272" i="59" s="1"/>
  <c r="L299" i="59" s="1"/>
  <c r="L134" i="59"/>
  <c r="L307" i="59"/>
  <c r="L308" i="59" s="1"/>
  <c r="L312" i="59"/>
  <c r="L493" i="59" s="1"/>
  <c r="L136" i="59"/>
  <c r="M13" i="59"/>
  <c r="L284" i="59"/>
  <c r="L263" i="59"/>
  <c r="L304" i="59"/>
  <c r="K99" i="59"/>
  <c r="K475" i="59"/>
  <c r="K483" i="59" s="1"/>
  <c r="L426" i="59"/>
  <c r="L333" i="59"/>
  <c r="K246" i="59"/>
  <c r="L168" i="59"/>
  <c r="L126" i="59"/>
  <c r="L408" i="59"/>
  <c r="K42" i="59"/>
  <c r="O19" i="58"/>
  <c r="N20" i="58"/>
  <c r="N23" i="58"/>
  <c r="O22" i="58"/>
  <c r="N362" i="59"/>
  <c r="O376" i="59"/>
  <c r="K476" i="58"/>
  <c r="K318" i="58"/>
  <c r="K146" i="58"/>
  <c r="L317" i="58"/>
  <c r="K116" i="58"/>
  <c r="K384" i="58"/>
  <c r="K115" i="58" s="1"/>
  <c r="K498" i="58"/>
  <c r="L383" i="58"/>
  <c r="L128" i="58"/>
  <c r="L127" i="58"/>
  <c r="K261" i="58"/>
  <c r="K402" i="58" s="1"/>
  <c r="L333" i="58"/>
  <c r="K456" i="58"/>
  <c r="K81" i="58" s="1"/>
  <c r="K137" i="58"/>
  <c r="K380" i="58"/>
  <c r="K497" i="58"/>
  <c r="L379" i="58"/>
  <c r="K488" i="58"/>
  <c r="K309" i="58"/>
  <c r="K40" i="58" s="1"/>
  <c r="N18" i="58"/>
  <c r="O17" i="58" s="1"/>
  <c r="N21" i="58"/>
  <c r="N11" i="58"/>
  <c r="M12" i="58"/>
  <c r="L236" i="58"/>
  <c r="L239" i="58" s="1"/>
  <c r="L242" i="58" s="1"/>
  <c r="M165" i="58"/>
  <c r="K410" i="59"/>
  <c r="L407" i="59"/>
  <c r="L128" i="59"/>
  <c r="L130" i="59"/>
  <c r="K137" i="59"/>
  <c r="K456" i="59"/>
  <c r="K81" i="59" s="1"/>
  <c r="K457" i="59"/>
  <c r="K82" i="59" s="1"/>
  <c r="K84" i="59" s="1"/>
  <c r="L442" i="59"/>
  <c r="O158" i="58"/>
  <c r="N20" i="59"/>
  <c r="N163" i="59" s="1"/>
  <c r="O19" i="59"/>
  <c r="K172" i="58"/>
  <c r="K175" i="58" s="1"/>
  <c r="K166" i="58"/>
  <c r="K169" i="58" s="1"/>
  <c r="I345" i="7"/>
  <c r="J341" i="7"/>
  <c r="J345" i="7" s="1"/>
  <c r="L339" i="58"/>
  <c r="K340" i="58"/>
  <c r="K344" i="58" s="1"/>
  <c r="L125" i="58"/>
  <c r="K499" i="58"/>
  <c r="L436" i="58"/>
  <c r="L437" i="58" s="1"/>
  <c r="L116" i="58" s="1"/>
  <c r="K185" i="58"/>
  <c r="L408" i="58"/>
  <c r="K443" i="58"/>
  <c r="K109" i="58" s="1"/>
  <c r="K492" i="58"/>
  <c r="L126" i="58"/>
  <c r="L276" i="58"/>
  <c r="L312" i="58"/>
  <c r="L493" i="58" s="1"/>
  <c r="L365" i="58"/>
  <c r="L136" i="58"/>
  <c r="L216" i="58"/>
  <c r="L212" i="58" s="1"/>
  <c r="L15" i="58"/>
  <c r="L304" i="58"/>
  <c r="L305" i="58" s="1"/>
  <c r="L140" i="58"/>
  <c r="L141" i="58" s="1"/>
  <c r="L154" i="58"/>
  <c r="L155" i="58" s="1"/>
  <c r="L14" i="58"/>
  <c r="L167" i="58" s="1"/>
  <c r="L269" i="58" s="1"/>
  <c r="L271" i="58" s="1"/>
  <c r="L272" i="58" s="1"/>
  <c r="L299" i="58" s="1"/>
  <c r="L307" i="58"/>
  <c r="L308" i="58" s="1"/>
  <c r="L134" i="58"/>
  <c r="L280" i="58"/>
  <c r="L440" i="58"/>
  <c r="L263" i="58"/>
  <c r="L284" i="58"/>
  <c r="M13" i="58"/>
  <c r="L190" i="58"/>
  <c r="K499" i="59"/>
  <c r="L436" i="59"/>
  <c r="K492" i="59"/>
  <c r="K443" i="59"/>
  <c r="K109" i="59" s="1"/>
  <c r="K497" i="59"/>
  <c r="L379" i="59"/>
  <c r="K498" i="59"/>
  <c r="L383" i="59"/>
  <c r="O158" i="59"/>
  <c r="M164" i="58"/>
  <c r="N163" i="58"/>
  <c r="N162" i="58"/>
  <c r="L330" i="58"/>
  <c r="K331" i="58"/>
  <c r="K335" i="58" s="1"/>
  <c r="K246" i="58"/>
  <c r="L168" i="58"/>
  <c r="L451" i="58"/>
  <c r="L452" i="58" s="1"/>
  <c r="K457" i="58"/>
  <c r="K475" i="58"/>
  <c r="K483" i="58" s="1"/>
  <c r="L426" i="58"/>
  <c r="K99" i="58"/>
  <c r="L130" i="58"/>
  <c r="K129" i="58"/>
  <c r="K131" i="58" s="1"/>
  <c r="L124" i="58"/>
  <c r="N362" i="58"/>
  <c r="O376" i="58"/>
  <c r="N18" i="59"/>
  <c r="O17" i="59" s="1"/>
  <c r="N21" i="59"/>
  <c r="L363" i="59"/>
  <c r="K366" i="59"/>
  <c r="K465" i="59"/>
  <c r="K74" i="59"/>
  <c r="L166" i="59"/>
  <c r="L172" i="59"/>
  <c r="L175" i="59" s="1"/>
  <c r="L125" i="59"/>
  <c r="L342" i="59"/>
  <c r="K129" i="59"/>
  <c r="K131" i="59" s="1"/>
  <c r="L124" i="59"/>
  <c r="L409" i="59"/>
  <c r="K185" i="59"/>
  <c r="L451" i="59"/>
  <c r="K261" i="59"/>
  <c r="M164" i="59"/>
  <c r="N23" i="59"/>
  <c r="O22" i="59"/>
  <c r="M12" i="59"/>
  <c r="N11" i="59"/>
  <c r="L236" i="59"/>
  <c r="L239" i="59" s="1"/>
  <c r="L242" i="59" s="1"/>
  <c r="M165" i="59"/>
  <c r="K489" i="58"/>
  <c r="K193" i="58"/>
  <c r="K106" i="58" s="1"/>
  <c r="L363" i="58"/>
  <c r="K366" i="58"/>
  <c r="K465" i="58"/>
  <c r="K74" i="58"/>
  <c r="K364" i="58"/>
  <c r="K42" i="58"/>
  <c r="L442" i="58"/>
  <c r="K410" i="58"/>
  <c r="L407" i="58"/>
  <c r="K464" i="58"/>
  <c r="L409" i="58"/>
  <c r="L342" i="58"/>
  <c r="N159" i="59"/>
  <c r="O8" i="25"/>
  <c r="O9" i="25" s="1"/>
  <c r="N11" i="25"/>
  <c r="W27" i="25"/>
  <c r="F33" i="26"/>
  <c r="F34" i="26" s="1"/>
  <c r="E37" i="26"/>
  <c r="K309" i="59" l="1"/>
  <c r="K40" i="59" s="1"/>
  <c r="I401" i="59"/>
  <c r="I402" i="59" s="1"/>
  <c r="I403" i="59" s="1"/>
  <c r="L305" i="59"/>
  <c r="L309" i="59" s="1"/>
  <c r="L40" i="59" s="1"/>
  <c r="M408" i="59"/>
  <c r="M333" i="59"/>
  <c r="M128" i="59"/>
  <c r="L166" i="58"/>
  <c r="I330" i="59"/>
  <c r="I331" i="59" s="1"/>
  <c r="I334" i="59" s="1"/>
  <c r="I335" i="59" s="1"/>
  <c r="I316" i="59"/>
  <c r="I317" i="59" s="1"/>
  <c r="I318" i="59" s="1"/>
  <c r="M145" i="59"/>
  <c r="N347" i="59"/>
  <c r="N349" i="59"/>
  <c r="M245" i="59"/>
  <c r="M351" i="59"/>
  <c r="J338" i="59"/>
  <c r="J357" i="59"/>
  <c r="J429" i="59" s="1"/>
  <c r="J329" i="59"/>
  <c r="K354" i="59"/>
  <c r="L354" i="59" s="1"/>
  <c r="M354" i="59" s="1"/>
  <c r="J387" i="59"/>
  <c r="J388" i="59" s="1"/>
  <c r="J389" i="59" s="1"/>
  <c r="J356" i="59"/>
  <c r="J322" i="59" s="1"/>
  <c r="J358" i="59"/>
  <c r="N350" i="59"/>
  <c r="M303" i="59"/>
  <c r="L295" i="59"/>
  <c r="M248" i="59"/>
  <c r="H334" i="59"/>
  <c r="I388" i="59"/>
  <c r="K395" i="59" s="1"/>
  <c r="G119" i="59"/>
  <c r="G103" i="59"/>
  <c r="F516" i="59"/>
  <c r="F37" i="59" s="1"/>
  <c r="F72" i="59"/>
  <c r="F60" i="59"/>
  <c r="F63" i="59" s="1"/>
  <c r="F64" i="59" s="1"/>
  <c r="F53" i="59"/>
  <c r="F55" i="59" s="1"/>
  <c r="F517" i="59"/>
  <c r="F36" i="59" s="1"/>
  <c r="F511" i="59"/>
  <c r="F45" i="59" s="1"/>
  <c r="G513" i="59"/>
  <c r="G515" i="59" s="1"/>
  <c r="G68" i="59" s="1"/>
  <c r="G54" i="59" s="1"/>
  <c r="G506" i="59"/>
  <c r="G61" i="59"/>
  <c r="F69" i="59"/>
  <c r="F510" i="59"/>
  <c r="F46" i="59" s="1"/>
  <c r="O10" i="25"/>
  <c r="H473" i="59" s="1"/>
  <c r="H507" i="59"/>
  <c r="H514" i="59"/>
  <c r="H203" i="59"/>
  <c r="G478" i="59"/>
  <c r="G49" i="59"/>
  <c r="M409" i="59"/>
  <c r="M125" i="59"/>
  <c r="M126" i="59"/>
  <c r="M342" i="58"/>
  <c r="L313" i="58"/>
  <c r="L42" i="58" s="1"/>
  <c r="O159" i="58"/>
  <c r="M342" i="59"/>
  <c r="M442" i="59"/>
  <c r="K367" i="58"/>
  <c r="K95" i="58" s="1"/>
  <c r="L169" i="59"/>
  <c r="L170" i="59" s="1"/>
  <c r="L459" i="59" s="1"/>
  <c r="M409" i="58"/>
  <c r="M442" i="58"/>
  <c r="K494" i="58"/>
  <c r="K466" i="58"/>
  <c r="K469" i="58" s="1"/>
  <c r="K404" i="58"/>
  <c r="K96" i="58" s="1"/>
  <c r="K403" i="58"/>
  <c r="L129" i="58"/>
  <c r="L131" i="58" s="1"/>
  <c r="M124" i="58"/>
  <c r="N12" i="59"/>
  <c r="O11" i="59"/>
  <c r="M172" i="59"/>
  <c r="M175" i="59" s="1"/>
  <c r="M166" i="59"/>
  <c r="M124" i="59"/>
  <c r="L129" i="59"/>
  <c r="L131" i="59" s="1"/>
  <c r="M363" i="59"/>
  <c r="L366" i="59"/>
  <c r="L465" i="59"/>
  <c r="L74" i="59"/>
  <c r="O362" i="58"/>
  <c r="P376" i="58"/>
  <c r="M451" i="58"/>
  <c r="L492" i="58"/>
  <c r="L443" i="58"/>
  <c r="L109" i="58" s="1"/>
  <c r="K86" i="58"/>
  <c r="K170" i="58"/>
  <c r="K459" i="58" s="1"/>
  <c r="P158" i="58"/>
  <c r="L169" i="58"/>
  <c r="L261" i="58"/>
  <c r="M127" i="58"/>
  <c r="L146" i="58"/>
  <c r="M317" i="58"/>
  <c r="L476" i="58"/>
  <c r="L318" i="58"/>
  <c r="L246" i="59"/>
  <c r="M168" i="59"/>
  <c r="L99" i="59"/>
  <c r="L475" i="59"/>
  <c r="L483" i="59" s="1"/>
  <c r="M426" i="59"/>
  <c r="L452" i="59"/>
  <c r="M451" i="59"/>
  <c r="K247" i="59"/>
  <c r="K455" i="59"/>
  <c r="K455" i="58"/>
  <c r="K247" i="58"/>
  <c r="L475" i="58"/>
  <c r="L483" i="58" s="1"/>
  <c r="L99" i="58"/>
  <c r="M426" i="58"/>
  <c r="L246" i="58"/>
  <c r="M168" i="58"/>
  <c r="L384" i="59"/>
  <c r="M383" i="59"/>
  <c r="L498" i="59"/>
  <c r="L213" i="58"/>
  <c r="L214" i="58" s="1"/>
  <c r="M408" i="58"/>
  <c r="M125" i="58"/>
  <c r="M339" i="58"/>
  <c r="L340" i="58"/>
  <c r="L344" i="58" s="1"/>
  <c r="N164" i="58"/>
  <c r="L410" i="59"/>
  <c r="M407" i="59"/>
  <c r="K114" i="58"/>
  <c r="L380" i="58"/>
  <c r="K396" i="58"/>
  <c r="M128" i="58"/>
  <c r="K458" i="58"/>
  <c r="K147" i="58"/>
  <c r="O362" i="59"/>
  <c r="P376" i="59"/>
  <c r="N162" i="59"/>
  <c r="N164" i="59" s="1"/>
  <c r="L313" i="59"/>
  <c r="M136" i="59"/>
  <c r="M276" i="59"/>
  <c r="M304" i="59"/>
  <c r="M284" i="59"/>
  <c r="M140" i="59"/>
  <c r="M141" i="59" s="1"/>
  <c r="M365" i="59"/>
  <c r="M263" i="59"/>
  <c r="M312" i="59"/>
  <c r="M493" i="59" s="1"/>
  <c r="M15" i="59"/>
  <c r="M440" i="59"/>
  <c r="M154" i="59"/>
  <c r="M155" i="59" s="1"/>
  <c r="M134" i="59"/>
  <c r="M14" i="59"/>
  <c r="M167" i="59" s="1"/>
  <c r="M269" i="59" s="1"/>
  <c r="M271" i="59" s="1"/>
  <c r="M272" i="59" s="1"/>
  <c r="M299" i="59" s="1"/>
  <c r="M280" i="59"/>
  <c r="M307" i="59"/>
  <c r="M308" i="59" s="1"/>
  <c r="M216" i="59"/>
  <c r="M212" i="59" s="1"/>
  <c r="N13" i="59"/>
  <c r="N128" i="59" s="1"/>
  <c r="L137" i="59"/>
  <c r="L456" i="59"/>
  <c r="L81" i="59" s="1"/>
  <c r="L443" i="59"/>
  <c r="L109" i="59" s="1"/>
  <c r="L492" i="59"/>
  <c r="M363" i="58"/>
  <c r="L74" i="58"/>
  <c r="L465" i="58"/>
  <c r="L364" i="58"/>
  <c r="K324" i="58"/>
  <c r="L457" i="58"/>
  <c r="O159" i="59"/>
  <c r="L410" i="58"/>
  <c r="M407" i="58"/>
  <c r="L464" i="58"/>
  <c r="L366" i="58"/>
  <c r="M236" i="59"/>
  <c r="M239" i="59" s="1"/>
  <c r="M242" i="59" s="1"/>
  <c r="N165" i="59"/>
  <c r="O23" i="59"/>
  <c r="P22" i="59"/>
  <c r="K262" i="59"/>
  <c r="K264" i="59"/>
  <c r="K86" i="59"/>
  <c r="K170" i="59"/>
  <c r="K459" i="59" s="1"/>
  <c r="M130" i="58"/>
  <c r="M330" i="58"/>
  <c r="L331" i="58"/>
  <c r="L335" i="58" s="1"/>
  <c r="M166" i="58"/>
  <c r="M172" i="58"/>
  <c r="M175" i="58" s="1"/>
  <c r="L489" i="58"/>
  <c r="L137" i="58"/>
  <c r="L456" i="58"/>
  <c r="L81" i="58" s="1"/>
  <c r="M126" i="58"/>
  <c r="P19" i="59"/>
  <c r="O20" i="59"/>
  <c r="O163" i="59" s="1"/>
  <c r="M130" i="59"/>
  <c r="N12" i="58"/>
  <c r="O11" i="58"/>
  <c r="L384" i="58"/>
  <c r="L115" i="58" s="1"/>
  <c r="L498" i="58"/>
  <c r="M383" i="58"/>
  <c r="K319" i="58"/>
  <c r="O18" i="59"/>
  <c r="P17" i="59" s="1"/>
  <c r="O21" i="59"/>
  <c r="P158" i="59"/>
  <c r="L380" i="59"/>
  <c r="L114" i="59" s="1"/>
  <c r="L497" i="59"/>
  <c r="M379" i="59"/>
  <c r="L437" i="59"/>
  <c r="L499" i="59"/>
  <c r="M436" i="59"/>
  <c r="M333" i="58"/>
  <c r="N13" i="58"/>
  <c r="M136" i="58"/>
  <c r="M307" i="58"/>
  <c r="M308" i="58" s="1"/>
  <c r="M440" i="58"/>
  <c r="M312" i="58"/>
  <c r="M493" i="58" s="1"/>
  <c r="M304" i="58"/>
  <c r="M305" i="58" s="1"/>
  <c r="M263" i="58"/>
  <c r="M216" i="58"/>
  <c r="M212" i="58" s="1"/>
  <c r="M284" i="58"/>
  <c r="M365" i="58"/>
  <c r="M14" i="58"/>
  <c r="M167" i="58" s="1"/>
  <c r="M269" i="58" s="1"/>
  <c r="M271" i="58" s="1"/>
  <c r="M272" i="58" s="1"/>
  <c r="M299" i="58" s="1"/>
  <c r="M15" i="58"/>
  <c r="M134" i="58"/>
  <c r="M140" i="58"/>
  <c r="M141" i="58" s="1"/>
  <c r="M280" i="58"/>
  <c r="M154" i="58"/>
  <c r="M155" i="58" s="1"/>
  <c r="M276" i="58"/>
  <c r="M190" i="58"/>
  <c r="L488" i="58"/>
  <c r="L309" i="58"/>
  <c r="L40" i="58" s="1"/>
  <c r="L499" i="58"/>
  <c r="M436" i="58"/>
  <c r="K82" i="58"/>
  <c r="L457" i="59"/>
  <c r="N165" i="58"/>
  <c r="M236" i="58"/>
  <c r="M239" i="58" s="1"/>
  <c r="M242" i="58" s="1"/>
  <c r="O18" i="58"/>
  <c r="P17" i="58" s="1"/>
  <c r="O21" i="58"/>
  <c r="L497" i="58"/>
  <c r="M379" i="58"/>
  <c r="K264" i="58"/>
  <c r="K262" i="58"/>
  <c r="P22" i="58"/>
  <c r="O23" i="58"/>
  <c r="O20" i="58"/>
  <c r="O163" i="58" s="1"/>
  <c r="P19" i="58"/>
  <c r="L261" i="59"/>
  <c r="M127" i="59"/>
  <c r="X27" i="25"/>
  <c r="F36" i="26"/>
  <c r="I100" i="59" s="1"/>
  <c r="I102" i="59" s="1"/>
  <c r="L488" i="59" l="1"/>
  <c r="O11" i="25"/>
  <c r="H61" i="59" s="1"/>
  <c r="P8" i="25"/>
  <c r="P9" i="25" s="1"/>
  <c r="P10" i="25" s="1"/>
  <c r="I473" i="59" s="1"/>
  <c r="M305" i="59"/>
  <c r="M488" i="59" s="1"/>
  <c r="J401" i="59"/>
  <c r="J402" i="59" s="1"/>
  <c r="K398" i="59"/>
  <c r="K190" i="59"/>
  <c r="J330" i="59"/>
  <c r="K70" i="59"/>
  <c r="J316" i="59"/>
  <c r="N145" i="59"/>
  <c r="O347" i="59"/>
  <c r="H335" i="59"/>
  <c r="J324" i="59"/>
  <c r="K322" i="59"/>
  <c r="J431" i="59"/>
  <c r="J432" i="59" s="1"/>
  <c r="J62" i="59" s="1"/>
  <c r="K429" i="59"/>
  <c r="L429" i="59" s="1"/>
  <c r="M429" i="59" s="1"/>
  <c r="N429" i="59" s="1"/>
  <c r="N245" i="59"/>
  <c r="O349" i="59"/>
  <c r="N351" i="59"/>
  <c r="N354" i="59" s="1"/>
  <c r="N248" i="59"/>
  <c r="M295" i="59"/>
  <c r="F48" i="59"/>
  <c r="I389" i="59"/>
  <c r="I392" i="59" s="1"/>
  <c r="I394" i="59" s="1"/>
  <c r="O350" i="59"/>
  <c r="N303" i="59"/>
  <c r="J392" i="59"/>
  <c r="J394" i="59" s="1"/>
  <c r="J339" i="59"/>
  <c r="K339" i="59" s="1"/>
  <c r="L339" i="59" s="1"/>
  <c r="M339" i="59" s="1"/>
  <c r="N339" i="59" s="1"/>
  <c r="H88" i="59"/>
  <c r="H90" i="59" s="1"/>
  <c r="H91" i="59" s="1"/>
  <c r="H461" i="59"/>
  <c r="H463" i="59" s="1"/>
  <c r="H470" i="59" s="1"/>
  <c r="F39" i="59"/>
  <c r="F43" i="59" s="1"/>
  <c r="F120" i="59" s="1"/>
  <c r="F44" i="59"/>
  <c r="I203" i="59"/>
  <c r="I507" i="59"/>
  <c r="I514" i="59"/>
  <c r="G508" i="59"/>
  <c r="F58" i="59"/>
  <c r="F57" i="59"/>
  <c r="F71" i="59"/>
  <c r="F73" i="59" s="1"/>
  <c r="F76" i="59" s="1"/>
  <c r="F77" i="59" s="1"/>
  <c r="F208" i="59"/>
  <c r="H513" i="59"/>
  <c r="H515" i="59" s="1"/>
  <c r="H68" i="59" s="1"/>
  <c r="H54" i="59" s="1"/>
  <c r="H207" i="59"/>
  <c r="F50" i="59"/>
  <c r="F47" i="59"/>
  <c r="L86" i="59"/>
  <c r="K265" i="59"/>
  <c r="L455" i="58"/>
  <c r="L80" i="58" s="1"/>
  <c r="N126" i="59"/>
  <c r="N130" i="59"/>
  <c r="N342" i="59"/>
  <c r="N125" i="59"/>
  <c r="N333" i="59"/>
  <c r="N409" i="58"/>
  <c r="L494" i="58"/>
  <c r="L455" i="59"/>
  <c r="L80" i="59" s="1"/>
  <c r="M313" i="59"/>
  <c r="M42" i="59" s="1"/>
  <c r="M313" i="58"/>
  <c r="M42" i="58" s="1"/>
  <c r="N442" i="59"/>
  <c r="N333" i="58"/>
  <c r="N172" i="59"/>
  <c r="N175" i="59" s="1"/>
  <c r="N166" i="59"/>
  <c r="P18" i="58"/>
  <c r="Q17" i="58" s="1"/>
  <c r="P21" i="58"/>
  <c r="P159" i="58"/>
  <c r="M261" i="59"/>
  <c r="N127" i="59"/>
  <c r="N236" i="58"/>
  <c r="N239" i="58" s="1"/>
  <c r="N242" i="58" s="1"/>
  <c r="O165" i="58"/>
  <c r="L82" i="59"/>
  <c r="L84" i="59" s="1"/>
  <c r="M457" i="59"/>
  <c r="M489" i="58"/>
  <c r="M213" i="58"/>
  <c r="M214" i="58" s="1"/>
  <c r="M443" i="58"/>
  <c r="M109" i="58" s="1"/>
  <c r="M492" i="58"/>
  <c r="M380" i="59"/>
  <c r="M114" i="59" s="1"/>
  <c r="M497" i="59"/>
  <c r="N379" i="59"/>
  <c r="P20" i="59"/>
  <c r="P163" i="59" s="1"/>
  <c r="Q19" i="59"/>
  <c r="N330" i="58"/>
  <c r="M331" i="58"/>
  <c r="M335" i="58" s="1"/>
  <c r="N236" i="59"/>
  <c r="N239" i="59" s="1"/>
  <c r="N242" i="59" s="1"/>
  <c r="O165" i="59"/>
  <c r="N407" i="58"/>
  <c r="M410" i="58"/>
  <c r="M464" i="58"/>
  <c r="M213" i="59"/>
  <c r="M214" i="59" s="1"/>
  <c r="M137" i="59"/>
  <c r="M456" i="59"/>
  <c r="M81" i="59" s="1"/>
  <c r="L42" i="59"/>
  <c r="L114" i="58"/>
  <c r="M380" i="58"/>
  <c r="N125" i="58"/>
  <c r="L115" i="59"/>
  <c r="M384" i="59"/>
  <c r="M115" i="59" s="1"/>
  <c r="K323" i="59"/>
  <c r="K80" i="59"/>
  <c r="N127" i="58"/>
  <c r="M261" i="58"/>
  <c r="O162" i="58"/>
  <c r="N363" i="59"/>
  <c r="M465" i="59"/>
  <c r="M74" i="59"/>
  <c r="L262" i="59"/>
  <c r="L264" i="59"/>
  <c r="M499" i="59"/>
  <c r="N436" i="59"/>
  <c r="P11" i="58"/>
  <c r="O12" i="58"/>
  <c r="N126" i="58"/>
  <c r="M169" i="58"/>
  <c r="M309" i="59"/>
  <c r="M40" i="59" s="1"/>
  <c r="O162" i="59"/>
  <c r="K496" i="58"/>
  <c r="K474" i="58"/>
  <c r="N166" i="58"/>
  <c r="N172" i="58"/>
  <c r="N175" i="58" s="1"/>
  <c r="N408" i="58"/>
  <c r="K249" i="58"/>
  <c r="K250" i="58" s="1"/>
  <c r="L247" i="58"/>
  <c r="L249" i="58" s="1"/>
  <c r="K296" i="58"/>
  <c r="K249" i="59"/>
  <c r="K250" i="59" s="1"/>
  <c r="K296" i="59"/>
  <c r="L247" i="59"/>
  <c r="L249" i="59" s="1"/>
  <c r="L264" i="58"/>
  <c r="L262" i="58"/>
  <c r="Q158" i="58"/>
  <c r="M452" i="58"/>
  <c r="N451" i="58"/>
  <c r="P11" i="59"/>
  <c r="O12" i="59"/>
  <c r="N124" i="58"/>
  <c r="M129" i="58"/>
  <c r="M131" i="58" s="1"/>
  <c r="K84" i="58"/>
  <c r="L82" i="58" s="1"/>
  <c r="L84" i="58" s="1"/>
  <c r="M488" i="58"/>
  <c r="M309" i="58"/>
  <c r="M40" i="58" s="1"/>
  <c r="P21" i="59"/>
  <c r="P18" i="59"/>
  <c r="Q17" i="59" s="1"/>
  <c r="M384" i="58"/>
  <c r="M498" i="58"/>
  <c r="N383" i="58"/>
  <c r="N130" i="58"/>
  <c r="P23" i="59"/>
  <c r="Q22" i="59"/>
  <c r="P159" i="59"/>
  <c r="N363" i="58"/>
  <c r="M366" i="58"/>
  <c r="M465" i="58"/>
  <c r="M74" i="58"/>
  <c r="M364" i="58"/>
  <c r="M492" i="59"/>
  <c r="M443" i="59"/>
  <c r="M109" i="59" s="1"/>
  <c r="Q376" i="59"/>
  <c r="P362" i="59"/>
  <c r="N128" i="58"/>
  <c r="M475" i="58"/>
  <c r="M483" i="58" s="1"/>
  <c r="N426" i="58"/>
  <c r="M99" i="58"/>
  <c r="K80" i="58"/>
  <c r="K323" i="58"/>
  <c r="M452" i="59"/>
  <c r="N451" i="59"/>
  <c r="M246" i="59"/>
  <c r="N168" i="59"/>
  <c r="M146" i="58"/>
  <c r="N317" i="58"/>
  <c r="M476" i="58"/>
  <c r="M318" i="58"/>
  <c r="L86" i="58"/>
  <c r="L170" i="58"/>
  <c r="L459" i="58" s="1"/>
  <c r="Q376" i="58"/>
  <c r="P362" i="58"/>
  <c r="M129" i="59"/>
  <c r="M131" i="59" s="1"/>
  <c r="N124" i="59"/>
  <c r="Q22" i="58"/>
  <c r="P23" i="58"/>
  <c r="M497" i="58"/>
  <c r="N379" i="58"/>
  <c r="Q19" i="58"/>
  <c r="P20" i="58"/>
  <c r="P163" i="58" s="1"/>
  <c r="K265" i="58"/>
  <c r="M437" i="58"/>
  <c r="N436" i="58"/>
  <c r="M499" i="58"/>
  <c r="M456" i="58"/>
  <c r="M81" i="58" s="1"/>
  <c r="M137" i="58"/>
  <c r="N15" i="58"/>
  <c r="O13" i="58"/>
  <c r="N216" i="58"/>
  <c r="N212" i="58" s="1"/>
  <c r="N154" i="58"/>
  <c r="N155" i="58" s="1"/>
  <c r="N307" i="58"/>
  <c r="N308" i="58" s="1"/>
  <c r="N136" i="58"/>
  <c r="N276" i="58"/>
  <c r="N304" i="58"/>
  <c r="N305" i="58" s="1"/>
  <c r="N263" i="58"/>
  <c r="N280" i="58"/>
  <c r="N440" i="58"/>
  <c r="N134" i="58"/>
  <c r="N365" i="58"/>
  <c r="N312" i="58"/>
  <c r="N493" i="58" s="1"/>
  <c r="N14" i="58"/>
  <c r="N167" i="58" s="1"/>
  <c r="N269" i="58" s="1"/>
  <c r="N271" i="58" s="1"/>
  <c r="N272" i="58" s="1"/>
  <c r="N299" i="58" s="1"/>
  <c r="N140" i="58"/>
  <c r="N141" i="58" s="1"/>
  <c r="N284" i="58"/>
  <c r="N190" i="58"/>
  <c r="L116" i="59"/>
  <c r="M437" i="59"/>
  <c r="Q158" i="59"/>
  <c r="K149" i="58"/>
  <c r="L319" i="58"/>
  <c r="L149" i="58" s="1"/>
  <c r="L324" i="58"/>
  <c r="M457" i="58"/>
  <c r="L367" i="58"/>
  <c r="L95" i="58" s="1"/>
  <c r="N342" i="58"/>
  <c r="N408" i="59"/>
  <c r="N284" i="59"/>
  <c r="N14" i="59"/>
  <c r="N167" i="59" s="1"/>
  <c r="N269" i="59" s="1"/>
  <c r="N271" i="59" s="1"/>
  <c r="N272" i="59" s="1"/>
  <c r="N299" i="59" s="1"/>
  <c r="N276" i="59"/>
  <c r="O13" i="59"/>
  <c r="N134" i="59"/>
  <c r="N307" i="59"/>
  <c r="N308" i="59" s="1"/>
  <c r="N312" i="59"/>
  <c r="N493" i="59" s="1"/>
  <c r="N15" i="59"/>
  <c r="N263" i="59"/>
  <c r="N216" i="59"/>
  <c r="N212" i="59" s="1"/>
  <c r="N140" i="59"/>
  <c r="N141" i="59" s="1"/>
  <c r="N280" i="59"/>
  <c r="N154" i="59"/>
  <c r="N155" i="59" s="1"/>
  <c r="N304" i="59"/>
  <c r="N136" i="59"/>
  <c r="N365" i="59"/>
  <c r="N440" i="59"/>
  <c r="K397" i="58"/>
  <c r="K391" i="58" s="1"/>
  <c r="M410" i="59"/>
  <c r="N407" i="59"/>
  <c r="N339" i="58"/>
  <c r="M340" i="58"/>
  <c r="M344" i="58" s="1"/>
  <c r="M498" i="59"/>
  <c r="N383" i="59"/>
  <c r="M246" i="58"/>
  <c r="N168" i="58"/>
  <c r="M99" i="59"/>
  <c r="M475" i="59"/>
  <c r="M483" i="59" s="1"/>
  <c r="N426" i="59"/>
  <c r="L147" i="58"/>
  <c r="L458" i="58"/>
  <c r="M366" i="59"/>
  <c r="M169" i="59"/>
  <c r="N442" i="58"/>
  <c r="N409" i="59"/>
  <c r="L402" i="58"/>
  <c r="L185" i="58"/>
  <c r="Y27" i="25"/>
  <c r="G33" i="26"/>
  <c r="G34" i="26" s="1"/>
  <c r="F37" i="26"/>
  <c r="H506" i="59" l="1"/>
  <c r="H508" i="59" s="1"/>
  <c r="J340" i="59"/>
  <c r="J343" i="59" s="1"/>
  <c r="K343" i="59" s="1"/>
  <c r="L343" i="59" s="1"/>
  <c r="M343" i="59" s="1"/>
  <c r="N343" i="59" s="1"/>
  <c r="O343" i="59" s="1"/>
  <c r="P343" i="59" s="1"/>
  <c r="Q343" i="59" s="1"/>
  <c r="R343" i="59" s="1"/>
  <c r="S343" i="59" s="1"/>
  <c r="T343" i="59" s="1"/>
  <c r="M455" i="59"/>
  <c r="M80" i="59" s="1"/>
  <c r="O429" i="59"/>
  <c r="J403" i="59"/>
  <c r="K402" i="59"/>
  <c r="N305" i="59"/>
  <c r="N488" i="59" s="1"/>
  <c r="F7" i="59"/>
  <c r="F8" i="59" s="1"/>
  <c r="J393" i="59"/>
  <c r="J325" i="59"/>
  <c r="K324" i="59"/>
  <c r="L324" i="59" s="1"/>
  <c r="M324" i="59" s="1"/>
  <c r="O303" i="59"/>
  <c r="P350" i="59"/>
  <c r="O248" i="59"/>
  <c r="N295" i="59"/>
  <c r="J317" i="59"/>
  <c r="K317" i="59" s="1"/>
  <c r="I393" i="59"/>
  <c r="K357" i="59"/>
  <c r="K489" i="59"/>
  <c r="K494" i="59" s="1"/>
  <c r="P349" i="59"/>
  <c r="O245" i="59"/>
  <c r="O351" i="59"/>
  <c r="O354" i="59" s="1"/>
  <c r="K316" i="59"/>
  <c r="K401" i="59"/>
  <c r="K361" i="59"/>
  <c r="K364" i="59" s="1"/>
  <c r="K367" i="59" s="1"/>
  <c r="K95" i="59" s="1"/>
  <c r="K387" i="59"/>
  <c r="K338" i="59"/>
  <c r="K340" i="59" s="1"/>
  <c r="K329" i="59"/>
  <c r="L322" i="59"/>
  <c r="O145" i="59"/>
  <c r="P347" i="59"/>
  <c r="J331" i="59"/>
  <c r="J334" i="59" s="1"/>
  <c r="K330" i="59"/>
  <c r="L330" i="59" s="1"/>
  <c r="M330" i="59" s="1"/>
  <c r="N330" i="59" s="1"/>
  <c r="O330" i="59" s="1"/>
  <c r="K192" i="59"/>
  <c r="K191" i="59"/>
  <c r="H509" i="59"/>
  <c r="H516" i="59" s="1"/>
  <c r="H37" i="59" s="1"/>
  <c r="H69" i="59"/>
  <c r="H71" i="59" s="1"/>
  <c r="I88" i="59"/>
  <c r="I90" i="59" s="1"/>
  <c r="I91" i="59" s="1"/>
  <c r="G69" i="59"/>
  <c r="I461" i="59"/>
  <c r="I463" i="59" s="1"/>
  <c r="I470" i="59" s="1"/>
  <c r="G509" i="59"/>
  <c r="G510" i="59" s="1"/>
  <c r="G46" i="59" s="1"/>
  <c r="I207" i="59"/>
  <c r="H478" i="59"/>
  <c r="H49" i="59"/>
  <c r="H119" i="59"/>
  <c r="H103" i="59"/>
  <c r="M455" i="58"/>
  <c r="M80" i="58" s="1"/>
  <c r="O130" i="59"/>
  <c r="M494" i="58"/>
  <c r="Q159" i="59"/>
  <c r="K390" i="58"/>
  <c r="L398" i="58" s="1"/>
  <c r="N313" i="58"/>
  <c r="N42" i="58" s="1"/>
  <c r="O442" i="58"/>
  <c r="O128" i="58"/>
  <c r="O342" i="58"/>
  <c r="L250" i="59"/>
  <c r="O333" i="59"/>
  <c r="O128" i="59"/>
  <c r="O126" i="59"/>
  <c r="M402" i="58"/>
  <c r="M466" i="58" s="1"/>
  <c r="M469" i="58" s="1"/>
  <c r="Q159" i="58"/>
  <c r="O409" i="59"/>
  <c r="L265" i="58"/>
  <c r="L250" i="58"/>
  <c r="L265" i="59"/>
  <c r="L496" i="58"/>
  <c r="L474" i="58"/>
  <c r="L477" i="58" s="1"/>
  <c r="N99" i="59"/>
  <c r="O426" i="59"/>
  <c r="N475" i="59"/>
  <c r="N483" i="59" s="1"/>
  <c r="O339" i="58"/>
  <c r="N340" i="58"/>
  <c r="N344" i="58" s="1"/>
  <c r="N313" i="59"/>
  <c r="N213" i="59"/>
  <c r="N214" i="59" s="1"/>
  <c r="O125" i="59"/>
  <c r="O15" i="58"/>
  <c r="O14" i="58"/>
  <c r="O167" i="58" s="1"/>
  <c r="O269" i="58" s="1"/>
  <c r="O271" i="58" s="1"/>
  <c r="O272" i="58" s="1"/>
  <c r="O299" i="58" s="1"/>
  <c r="P13" i="58"/>
  <c r="O263" i="58"/>
  <c r="O154" i="58"/>
  <c r="O155" i="58" s="1"/>
  <c r="O307" i="58"/>
  <c r="O308" i="58" s="1"/>
  <c r="O280" i="58"/>
  <c r="O140" i="58"/>
  <c r="O141" i="58" s="1"/>
  <c r="O134" i="58"/>
  <c r="O304" i="58"/>
  <c r="O305" i="58" s="1"/>
  <c r="O216" i="58"/>
  <c r="O212" i="58" s="1"/>
  <c r="O213" i="58" s="1"/>
  <c r="O214" i="58" s="1"/>
  <c r="O312" i="58"/>
  <c r="O493" i="58" s="1"/>
  <c r="O136" i="58"/>
  <c r="O284" i="58"/>
  <c r="O365" i="58"/>
  <c r="O276" i="58"/>
  <c r="O440" i="58"/>
  <c r="O190" i="58"/>
  <c r="O124" i="59"/>
  <c r="N129" i="59"/>
  <c r="N131" i="59" s="1"/>
  <c r="Q362" i="58"/>
  <c r="R376" i="58"/>
  <c r="K325" i="58"/>
  <c r="K326" i="58" s="1"/>
  <c r="K430" i="58"/>
  <c r="N99" i="58"/>
  <c r="O426" i="58"/>
  <c r="N475" i="58"/>
  <c r="N483" i="58" s="1"/>
  <c r="O130" i="58"/>
  <c r="N452" i="58"/>
  <c r="O451" i="58"/>
  <c r="K298" i="59"/>
  <c r="K196" i="58"/>
  <c r="P162" i="58"/>
  <c r="O164" i="58"/>
  <c r="N261" i="58"/>
  <c r="O127" i="58"/>
  <c r="O236" i="59"/>
  <c r="O239" i="59" s="1"/>
  <c r="O242" i="59" s="1"/>
  <c r="P165" i="59"/>
  <c r="P165" i="58"/>
  <c r="O236" i="58"/>
  <c r="O239" i="58" s="1"/>
  <c r="O242" i="58" s="1"/>
  <c r="M262" i="59"/>
  <c r="M264" i="59"/>
  <c r="N169" i="59"/>
  <c r="O409" i="58"/>
  <c r="L466" i="58"/>
  <c r="L404" i="58"/>
  <c r="L96" i="58" s="1"/>
  <c r="L403" i="58"/>
  <c r="K56" i="58"/>
  <c r="K41" i="58"/>
  <c r="K105" i="58" s="1"/>
  <c r="K38" i="58"/>
  <c r="N492" i="59"/>
  <c r="N443" i="59"/>
  <c r="N109" i="59" s="1"/>
  <c r="N456" i="59"/>
  <c r="N81" i="59" s="1"/>
  <c r="N137" i="59"/>
  <c r="M324" i="58"/>
  <c r="N457" i="58"/>
  <c r="M319" i="58"/>
  <c r="M149" i="58" s="1"/>
  <c r="N499" i="58"/>
  <c r="O436" i="58"/>
  <c r="N146" i="58"/>
  <c r="O317" i="58"/>
  <c r="N476" i="58"/>
  <c r="N318" i="58"/>
  <c r="Q362" i="59"/>
  <c r="R376" i="59"/>
  <c r="Q23" i="59"/>
  <c r="R22" i="59"/>
  <c r="M115" i="58"/>
  <c r="N384" i="58"/>
  <c r="P12" i="59"/>
  <c r="Q11" i="59"/>
  <c r="L296" i="58"/>
  <c r="M247" i="58"/>
  <c r="N169" i="58"/>
  <c r="P162" i="59"/>
  <c r="O164" i="59"/>
  <c r="O339" i="59"/>
  <c r="O333" i="58"/>
  <c r="M82" i="59"/>
  <c r="M84" i="59" s="1"/>
  <c r="N457" i="59"/>
  <c r="N246" i="58"/>
  <c r="O168" i="58"/>
  <c r="N384" i="59"/>
  <c r="O383" i="59"/>
  <c r="N498" i="59"/>
  <c r="M170" i="59"/>
  <c r="M459" i="59" s="1"/>
  <c r="M86" i="59"/>
  <c r="N410" i="59"/>
  <c r="O407" i="59"/>
  <c r="O408" i="59"/>
  <c r="O304" i="59"/>
  <c r="O14" i="59"/>
  <c r="O167" i="59" s="1"/>
  <c r="O269" i="59" s="1"/>
  <c r="O271" i="59" s="1"/>
  <c r="O272" i="59" s="1"/>
  <c r="O299" i="59" s="1"/>
  <c r="O263" i="59"/>
  <c r="O312" i="59"/>
  <c r="O493" i="59" s="1"/>
  <c r="O284" i="59"/>
  <c r="O134" i="59"/>
  <c r="O140" i="59"/>
  <c r="O141" i="59" s="1"/>
  <c r="O276" i="59"/>
  <c r="O216" i="59"/>
  <c r="O212" i="59" s="1"/>
  <c r="O213" i="59" s="1"/>
  <c r="O214" i="59" s="1"/>
  <c r="O440" i="59"/>
  <c r="P13" i="59"/>
  <c r="O280" i="59"/>
  <c r="O154" i="59"/>
  <c r="O155" i="59" s="1"/>
  <c r="O136" i="59"/>
  <c r="O15" i="59"/>
  <c r="O307" i="59"/>
  <c r="O308" i="59" s="1"/>
  <c r="O365" i="59"/>
  <c r="R158" i="59"/>
  <c r="N489" i="58"/>
  <c r="N137" i="58"/>
  <c r="N456" i="58"/>
  <c r="N81" i="58" s="1"/>
  <c r="N488" i="58"/>
  <c r="N309" i="58"/>
  <c r="N40" i="58" s="1"/>
  <c r="M116" i="58"/>
  <c r="N437" i="58"/>
  <c r="Q20" i="58"/>
  <c r="Q163" i="58" s="1"/>
  <c r="R19" i="58"/>
  <c r="R22" i="58"/>
  <c r="Q23" i="58"/>
  <c r="M147" i="58"/>
  <c r="M458" i="58"/>
  <c r="N452" i="59"/>
  <c r="O451" i="59"/>
  <c r="M367" i="58"/>
  <c r="M95" i="58" s="1"/>
  <c r="O363" i="58"/>
  <c r="N366" i="58"/>
  <c r="N364" i="58"/>
  <c r="N465" i="58"/>
  <c r="N74" i="58"/>
  <c r="O442" i="59"/>
  <c r="Q18" i="59"/>
  <c r="R17" i="59" s="1"/>
  <c r="Q21" i="59"/>
  <c r="R158" i="58"/>
  <c r="L296" i="59"/>
  <c r="M247" i="59"/>
  <c r="M249" i="59" s="1"/>
  <c r="K298" i="58"/>
  <c r="O342" i="59"/>
  <c r="M170" i="58"/>
  <c r="M459" i="58" s="1"/>
  <c r="M86" i="58"/>
  <c r="Q11" i="58"/>
  <c r="P12" i="58"/>
  <c r="K150" i="58"/>
  <c r="K151" i="58" s="1"/>
  <c r="O330" i="58"/>
  <c r="N331" i="58"/>
  <c r="N335" i="58" s="1"/>
  <c r="N380" i="59"/>
  <c r="N497" i="59"/>
  <c r="O379" i="59"/>
  <c r="M116" i="59"/>
  <c r="N437" i="59"/>
  <c r="N443" i="58"/>
  <c r="N109" i="58" s="1"/>
  <c r="N492" i="58"/>
  <c r="N213" i="58"/>
  <c r="N214" i="58" s="1"/>
  <c r="O379" i="58"/>
  <c r="N497" i="58"/>
  <c r="N246" i="59"/>
  <c r="O168" i="59"/>
  <c r="N498" i="58"/>
  <c r="O383" i="58"/>
  <c r="O124" i="58"/>
  <c r="N129" i="58"/>
  <c r="N131" i="58" s="1"/>
  <c r="K196" i="59"/>
  <c r="O408" i="58"/>
  <c r="K477" i="58"/>
  <c r="K482" i="58"/>
  <c r="O126" i="58"/>
  <c r="N499" i="59"/>
  <c r="O436" i="59"/>
  <c r="O363" i="59"/>
  <c r="N366" i="59"/>
  <c r="N465" i="59"/>
  <c r="N74" i="59"/>
  <c r="M262" i="58"/>
  <c r="M264" i="58"/>
  <c r="K430" i="59"/>
  <c r="O125" i="58"/>
  <c r="M114" i="58"/>
  <c r="N380" i="58"/>
  <c r="O407" i="58"/>
  <c r="N410" i="58"/>
  <c r="N464" i="58"/>
  <c r="R19" i="59"/>
  <c r="Q20" i="59"/>
  <c r="Q163" i="59" s="1"/>
  <c r="N261" i="59"/>
  <c r="O127" i="59"/>
  <c r="Q18" i="58"/>
  <c r="R17" i="58" s="1"/>
  <c r="Q21" i="58"/>
  <c r="M82" i="58"/>
  <c r="M84" i="58" s="1"/>
  <c r="P11" i="25"/>
  <c r="Q8" i="25"/>
  <c r="Q9" i="25" s="1"/>
  <c r="AA27" i="25"/>
  <c r="Z27" i="25"/>
  <c r="G36" i="26"/>
  <c r="J100" i="59" s="1"/>
  <c r="J102" i="59" s="1"/>
  <c r="N309" i="59" l="1"/>
  <c r="N40" i="59" s="1"/>
  <c r="N455" i="59"/>
  <c r="N80" i="59" s="1"/>
  <c r="P429" i="59"/>
  <c r="K403" i="59"/>
  <c r="L402" i="59"/>
  <c r="K404" i="59"/>
  <c r="K466" i="59"/>
  <c r="K392" i="58"/>
  <c r="H510" i="59"/>
  <c r="H46" i="59" s="1"/>
  <c r="H50" i="59" s="1"/>
  <c r="K193" i="59"/>
  <c r="K106" i="59" s="1"/>
  <c r="J344" i="59"/>
  <c r="J318" i="59"/>
  <c r="M322" i="59"/>
  <c r="L70" i="59"/>
  <c r="L357" i="59" s="1"/>
  <c r="K331" i="59"/>
  <c r="Q349" i="59"/>
  <c r="P245" i="59"/>
  <c r="P351" i="59"/>
  <c r="P354" i="59" s="1"/>
  <c r="K198" i="59"/>
  <c r="L185" i="59" s="1"/>
  <c r="P145" i="59"/>
  <c r="Q347" i="59"/>
  <c r="K344" i="59"/>
  <c r="K75" i="59"/>
  <c r="K356" i="59"/>
  <c r="K318" i="59"/>
  <c r="O295" i="59"/>
  <c r="P248" i="59"/>
  <c r="J335" i="59"/>
  <c r="K334" i="59"/>
  <c r="L334" i="59" s="1"/>
  <c r="M334" i="59" s="1"/>
  <c r="N334" i="59" s="1"/>
  <c r="O334" i="59" s="1"/>
  <c r="P334" i="59" s="1"/>
  <c r="Q334" i="59" s="1"/>
  <c r="R334" i="59" s="1"/>
  <c r="S334" i="59" s="1"/>
  <c r="T334" i="59" s="1"/>
  <c r="K325" i="59"/>
  <c r="K495" i="59" s="1"/>
  <c r="O305" i="59"/>
  <c r="O488" i="59" s="1"/>
  <c r="K358" i="59"/>
  <c r="K393" i="59"/>
  <c r="L317" i="59"/>
  <c r="K476" i="59"/>
  <c r="Q350" i="59"/>
  <c r="P303" i="59"/>
  <c r="G50" i="59"/>
  <c r="J514" i="59"/>
  <c r="J203" i="59"/>
  <c r="J507" i="59"/>
  <c r="G71" i="59"/>
  <c r="G208" i="59"/>
  <c r="H208" i="59"/>
  <c r="I103" i="59"/>
  <c r="I119" i="59"/>
  <c r="I61" i="59"/>
  <c r="I513" i="59"/>
  <c r="I515" i="59" s="1"/>
  <c r="I506" i="59"/>
  <c r="I508" i="59" s="1"/>
  <c r="N455" i="58"/>
  <c r="N80" i="58" s="1"/>
  <c r="R159" i="59"/>
  <c r="H44" i="59"/>
  <c r="G516" i="59"/>
  <c r="G37" i="59" s="1"/>
  <c r="G72" i="59"/>
  <c r="G53" i="59"/>
  <c r="G55" i="59" s="1"/>
  <c r="G60" i="59"/>
  <c r="G63" i="59" s="1"/>
  <c r="G64" i="59" s="1"/>
  <c r="G517" i="59"/>
  <c r="G36" i="59" s="1"/>
  <c r="G511" i="59"/>
  <c r="G45" i="59" s="1"/>
  <c r="G48" i="59" s="1"/>
  <c r="I49" i="59"/>
  <c r="I478" i="59"/>
  <c r="H511" i="59"/>
  <c r="H45" i="59" s="1"/>
  <c r="H72" i="59"/>
  <c r="H73" i="59" s="1"/>
  <c r="H76" i="59" s="1"/>
  <c r="H77" i="59" s="1"/>
  <c r="H60" i="59"/>
  <c r="H63" i="59" s="1"/>
  <c r="H64" i="59" s="1"/>
  <c r="H53" i="59"/>
  <c r="H55" i="59" s="1"/>
  <c r="H517" i="59"/>
  <c r="H36" i="59" s="1"/>
  <c r="H39" i="59" s="1"/>
  <c r="H43" i="59" s="1"/>
  <c r="H120" i="59" s="1"/>
  <c r="N367" i="58"/>
  <c r="N95" i="58" s="1"/>
  <c r="L298" i="59"/>
  <c r="L300" i="59" s="1"/>
  <c r="P333" i="59"/>
  <c r="P442" i="58"/>
  <c r="P451" i="59"/>
  <c r="P409" i="58"/>
  <c r="P125" i="58"/>
  <c r="P126" i="58"/>
  <c r="P408" i="58"/>
  <c r="P333" i="58"/>
  <c r="L298" i="58"/>
  <c r="L300" i="58" s="1"/>
  <c r="M403" i="58"/>
  <c r="M265" i="58"/>
  <c r="M250" i="59"/>
  <c r="P128" i="58"/>
  <c r="O313" i="59"/>
  <c r="O42" i="59" s="1"/>
  <c r="P409" i="59"/>
  <c r="P126" i="59"/>
  <c r="P128" i="59"/>
  <c r="O313" i="58"/>
  <c r="O42" i="58" s="1"/>
  <c r="P342" i="58"/>
  <c r="P342" i="59"/>
  <c r="P442" i="59"/>
  <c r="M496" i="58"/>
  <c r="L196" i="58"/>
  <c r="M265" i="59"/>
  <c r="P451" i="58"/>
  <c r="K112" i="58"/>
  <c r="R18" i="58"/>
  <c r="S17" i="58" s="1"/>
  <c r="R21" i="58"/>
  <c r="R20" i="59"/>
  <c r="R163" i="59" s="1"/>
  <c r="S19" i="59"/>
  <c r="O380" i="58"/>
  <c r="N114" i="58"/>
  <c r="P363" i="59"/>
  <c r="O366" i="59"/>
  <c r="O465" i="59"/>
  <c r="O74" i="59"/>
  <c r="N114" i="59"/>
  <c r="O380" i="59"/>
  <c r="P330" i="58"/>
  <c r="O331" i="58"/>
  <c r="O335" i="58" s="1"/>
  <c r="O452" i="59"/>
  <c r="S22" i="58"/>
  <c r="R23" i="58"/>
  <c r="S158" i="59"/>
  <c r="O443" i="59"/>
  <c r="O109" i="59" s="1"/>
  <c r="O492" i="59"/>
  <c r="O456" i="59"/>
  <c r="O81" i="59" s="1"/>
  <c r="O137" i="59"/>
  <c r="O410" i="59"/>
  <c r="P407" i="59"/>
  <c r="O498" i="59"/>
  <c r="P383" i="59"/>
  <c r="N324" i="59"/>
  <c r="O457" i="59"/>
  <c r="P339" i="59"/>
  <c r="Q162" i="59"/>
  <c r="P164" i="59"/>
  <c r="O499" i="58"/>
  <c r="P436" i="58"/>
  <c r="K101" i="58"/>
  <c r="K110" i="58"/>
  <c r="K111" i="58" s="1"/>
  <c r="N82" i="59"/>
  <c r="N84" i="59" s="1"/>
  <c r="P127" i="58"/>
  <c r="O261" i="58"/>
  <c r="K184" i="59"/>
  <c r="K197" i="59"/>
  <c r="P130" i="58"/>
  <c r="P407" i="58"/>
  <c r="P276" i="58"/>
  <c r="P284" i="58"/>
  <c r="P263" i="58"/>
  <c r="P365" i="58"/>
  <c r="P280" i="58"/>
  <c r="P216" i="58"/>
  <c r="P212" i="58" s="1"/>
  <c r="P213" i="58" s="1"/>
  <c r="P214" i="58" s="1"/>
  <c r="P307" i="58"/>
  <c r="P308" i="58" s="1"/>
  <c r="P14" i="58"/>
  <c r="P167" i="58" s="1"/>
  <c r="P269" i="58" s="1"/>
  <c r="P271" i="58" s="1"/>
  <c r="P272" i="58" s="1"/>
  <c r="P299" i="58" s="1"/>
  <c r="P136" i="58"/>
  <c r="P134" i="58"/>
  <c r="P304" i="58"/>
  <c r="P305" i="58" s="1"/>
  <c r="P440" i="58"/>
  <c r="P15" i="58"/>
  <c r="P140" i="58"/>
  <c r="P141" i="58" s="1"/>
  <c r="P154" i="58"/>
  <c r="P155" i="58" s="1"/>
  <c r="P312" i="58"/>
  <c r="P493" i="58" s="1"/>
  <c r="Q13" i="58"/>
  <c r="P190" i="58"/>
  <c r="P125" i="59"/>
  <c r="L191" i="58"/>
  <c r="L192" i="58"/>
  <c r="L198" i="58" s="1"/>
  <c r="M185" i="58" s="1"/>
  <c r="L396" i="58"/>
  <c r="M404" i="58"/>
  <c r="M96" i="58" s="1"/>
  <c r="P130" i="59"/>
  <c r="L323" i="59"/>
  <c r="L325" i="59" s="1"/>
  <c r="P127" i="59"/>
  <c r="O261" i="59"/>
  <c r="O499" i="59"/>
  <c r="P436" i="59"/>
  <c r="P124" i="58"/>
  <c r="O129" i="58"/>
  <c r="O131" i="58" s="1"/>
  <c r="O246" i="59"/>
  <c r="P168" i="59"/>
  <c r="R11" i="58"/>
  <c r="Q12" i="58"/>
  <c r="S158" i="58"/>
  <c r="P363" i="58"/>
  <c r="O366" i="58"/>
  <c r="O465" i="58"/>
  <c r="O74" i="58"/>
  <c r="O364" i="58"/>
  <c r="R20" i="58"/>
  <c r="R163" i="58" s="1"/>
  <c r="S19" i="58"/>
  <c r="K83" i="58"/>
  <c r="K93" i="58" s="1"/>
  <c r="N115" i="59"/>
  <c r="O384" i="59"/>
  <c r="P330" i="59"/>
  <c r="N86" i="58"/>
  <c r="N170" i="58"/>
  <c r="N459" i="58" s="1"/>
  <c r="N115" i="58"/>
  <c r="O384" i="58"/>
  <c r="R362" i="59"/>
  <c r="S376" i="59"/>
  <c r="N319" i="58"/>
  <c r="N170" i="59"/>
  <c r="N459" i="59" s="1"/>
  <c r="N86" i="59"/>
  <c r="P236" i="59"/>
  <c r="P239" i="59" s="1"/>
  <c r="P242" i="59" s="1"/>
  <c r="Q165" i="59"/>
  <c r="N264" i="58"/>
  <c r="N262" i="58"/>
  <c r="L323" i="58"/>
  <c r="L325" i="58" s="1"/>
  <c r="R362" i="58"/>
  <c r="S376" i="58"/>
  <c r="O129" i="59"/>
  <c r="O131" i="59" s="1"/>
  <c r="P124" i="59"/>
  <c r="O488" i="58"/>
  <c r="O309" i="58"/>
  <c r="O40" i="58" s="1"/>
  <c r="N42" i="59"/>
  <c r="L150" i="58"/>
  <c r="L151" i="58" s="1"/>
  <c r="O410" i="58"/>
  <c r="O464" i="58"/>
  <c r="N262" i="59"/>
  <c r="N264" i="59"/>
  <c r="O498" i="58"/>
  <c r="P383" i="58"/>
  <c r="O497" i="58"/>
  <c r="P379" i="58"/>
  <c r="N116" i="59"/>
  <c r="O437" i="59"/>
  <c r="O497" i="59"/>
  <c r="P379" i="59"/>
  <c r="K300" i="58"/>
  <c r="N247" i="59"/>
  <c r="N249" i="59" s="1"/>
  <c r="M296" i="59"/>
  <c r="N494" i="58"/>
  <c r="P280" i="59"/>
  <c r="P408" i="59"/>
  <c r="M249" i="58"/>
  <c r="M250" i="58" s="1"/>
  <c r="M296" i="58"/>
  <c r="N247" i="58"/>
  <c r="O146" i="58"/>
  <c r="P317" i="58"/>
  <c r="O476" i="58"/>
  <c r="O318" i="58"/>
  <c r="N324" i="58"/>
  <c r="O457" i="58"/>
  <c r="O166" i="58"/>
  <c r="O169" i="58" s="1"/>
  <c r="O172" i="58"/>
  <c r="O175" i="58" s="1"/>
  <c r="L183" i="58"/>
  <c r="K431" i="58"/>
  <c r="O452" i="58"/>
  <c r="K495" i="58"/>
  <c r="O492" i="58"/>
  <c r="O443" i="58"/>
  <c r="O109" i="58" s="1"/>
  <c r="O137" i="58"/>
  <c r="O456" i="58"/>
  <c r="O81" i="58" s="1"/>
  <c r="K94" i="58"/>
  <c r="O475" i="59"/>
  <c r="O483" i="59" s="1"/>
  <c r="O99" i="59"/>
  <c r="P426" i="59"/>
  <c r="M474" i="58"/>
  <c r="L183" i="59"/>
  <c r="K431" i="59"/>
  <c r="K184" i="58"/>
  <c r="K197" i="58"/>
  <c r="R21" i="59"/>
  <c r="R18" i="59"/>
  <c r="S17" i="59" s="1"/>
  <c r="N116" i="58"/>
  <c r="O437" i="58"/>
  <c r="P276" i="59"/>
  <c r="P216" i="59"/>
  <c r="P212" i="59" s="1"/>
  <c r="P213" i="59" s="1"/>
  <c r="P214" i="59" s="1"/>
  <c r="P263" i="59"/>
  <c r="P307" i="59"/>
  <c r="P308" i="59" s="1"/>
  <c r="P284" i="59"/>
  <c r="P312" i="59"/>
  <c r="P493" i="59" s="1"/>
  <c r="P365" i="59"/>
  <c r="P14" i="59"/>
  <c r="P167" i="59" s="1"/>
  <c r="P269" i="59" s="1"/>
  <c r="P271" i="59" s="1"/>
  <c r="P272" i="59" s="1"/>
  <c r="P299" i="59" s="1"/>
  <c r="P154" i="59"/>
  <c r="P155" i="59" s="1"/>
  <c r="P140" i="59"/>
  <c r="P141" i="59" s="1"/>
  <c r="P15" i="59"/>
  <c r="P440" i="59"/>
  <c r="P304" i="59"/>
  <c r="P136" i="59"/>
  <c r="P134" i="59"/>
  <c r="Q13" i="59"/>
  <c r="O246" i="58"/>
  <c r="P168" i="58"/>
  <c r="R159" i="58"/>
  <c r="O172" i="59"/>
  <c r="O175" i="59" s="1"/>
  <c r="O166" i="59"/>
  <c r="O169" i="59" s="1"/>
  <c r="R11" i="59"/>
  <c r="Q12" i="59"/>
  <c r="S22" i="59"/>
  <c r="R23" i="59"/>
  <c r="N147" i="58"/>
  <c r="N458" i="58"/>
  <c r="L469" i="58"/>
  <c r="L482" i="58"/>
  <c r="P236" i="58"/>
  <c r="P239" i="58" s="1"/>
  <c r="P242" i="58" s="1"/>
  <c r="Q165" i="58"/>
  <c r="N402" i="58"/>
  <c r="Q162" i="58"/>
  <c r="P164" i="58"/>
  <c r="K300" i="59"/>
  <c r="O475" i="58"/>
  <c r="O483" i="58" s="1"/>
  <c r="O99" i="58"/>
  <c r="P426" i="58"/>
  <c r="O489" i="58"/>
  <c r="N82" i="58"/>
  <c r="N84" i="58" s="1"/>
  <c r="K92" i="58"/>
  <c r="P339" i="58"/>
  <c r="O340" i="58"/>
  <c r="O344" i="58" s="1"/>
  <c r="Q10" i="25"/>
  <c r="J473" i="59" s="1"/>
  <c r="G37" i="26"/>
  <c r="O455" i="59" l="1"/>
  <c r="H48" i="59"/>
  <c r="K319" i="59"/>
  <c r="K96" i="59"/>
  <c r="L404" i="59"/>
  <c r="Q333" i="59"/>
  <c r="L361" i="59"/>
  <c r="L364" i="59" s="1"/>
  <c r="L367" i="59" s="1"/>
  <c r="L95" i="59" s="1"/>
  <c r="L466" i="59"/>
  <c r="M402" i="59"/>
  <c r="K326" i="59"/>
  <c r="L326" i="59" s="1"/>
  <c r="L316" i="59"/>
  <c r="L318" i="59" s="1"/>
  <c r="L319" i="59" s="1"/>
  <c r="L401" i="59"/>
  <c r="L403" i="59" s="1"/>
  <c r="G73" i="59"/>
  <c r="G76" i="59" s="1"/>
  <c r="G77" i="59" s="1"/>
  <c r="L387" i="59"/>
  <c r="O309" i="59"/>
  <c r="O40" i="59" s="1"/>
  <c r="L329" i="59"/>
  <c r="M70" i="59" s="1"/>
  <c r="M357" i="59" s="1"/>
  <c r="N322" i="59"/>
  <c r="Q429" i="59"/>
  <c r="R349" i="59"/>
  <c r="Q245" i="59"/>
  <c r="Q351" i="59"/>
  <c r="Q354" i="59" s="1"/>
  <c r="P305" i="59"/>
  <c r="P488" i="59" s="1"/>
  <c r="K335" i="59"/>
  <c r="K394" i="59"/>
  <c r="K388" i="59" s="1"/>
  <c r="K396" i="59"/>
  <c r="R350" i="59"/>
  <c r="Q303" i="59"/>
  <c r="M317" i="59"/>
  <c r="L476" i="59"/>
  <c r="P295" i="59"/>
  <c r="Q248" i="59"/>
  <c r="R347" i="59"/>
  <c r="Q145" i="59"/>
  <c r="L338" i="59"/>
  <c r="L340" i="59" s="1"/>
  <c r="L344" i="59" s="1"/>
  <c r="G44" i="59"/>
  <c r="G39" i="59"/>
  <c r="G43" i="59" s="1"/>
  <c r="G120" i="59" s="1"/>
  <c r="H58" i="59"/>
  <c r="H57" i="59"/>
  <c r="H7" i="59" s="1"/>
  <c r="H8" i="59" s="1"/>
  <c r="I509" i="59"/>
  <c r="I516" i="59" s="1"/>
  <c r="I37" i="59" s="1"/>
  <c r="I69" i="59"/>
  <c r="H47" i="59"/>
  <c r="J88" i="59"/>
  <c r="J90" i="59" s="1"/>
  <c r="J91" i="59" s="1"/>
  <c r="O455" i="58"/>
  <c r="O80" i="58" s="1"/>
  <c r="G57" i="59"/>
  <c r="G58" i="59"/>
  <c r="I68" i="59"/>
  <c r="I54" i="59" s="1"/>
  <c r="G47" i="59"/>
  <c r="J207" i="59"/>
  <c r="J461" i="59"/>
  <c r="J463" i="59" s="1"/>
  <c r="J470" i="59" s="1"/>
  <c r="P452" i="59"/>
  <c r="M298" i="59"/>
  <c r="M300" i="59" s="1"/>
  <c r="Q409" i="58"/>
  <c r="P410" i="58"/>
  <c r="N250" i="59"/>
  <c r="S159" i="58"/>
  <c r="L430" i="58"/>
  <c r="M323" i="58" s="1"/>
  <c r="M325" i="58" s="1"/>
  <c r="M298" i="58"/>
  <c r="M300" i="58" s="1"/>
  <c r="N265" i="58"/>
  <c r="Q451" i="58"/>
  <c r="P452" i="58"/>
  <c r="L184" i="59"/>
  <c r="Q408" i="58"/>
  <c r="M196" i="58"/>
  <c r="Q342" i="58"/>
  <c r="O494" i="58"/>
  <c r="Q333" i="58"/>
  <c r="Q442" i="58"/>
  <c r="P313" i="58"/>
  <c r="P42" i="58" s="1"/>
  <c r="Q126" i="58"/>
  <c r="Q125" i="58"/>
  <c r="L431" i="58"/>
  <c r="N265" i="59"/>
  <c r="L184" i="58"/>
  <c r="M183" i="58"/>
  <c r="O82" i="59"/>
  <c r="O84" i="59" s="1"/>
  <c r="P99" i="58"/>
  <c r="P475" i="58"/>
  <c r="P483" i="58" s="1"/>
  <c r="Q426" i="58"/>
  <c r="P172" i="58"/>
  <c r="P175" i="58" s="1"/>
  <c r="P166" i="58"/>
  <c r="P169" i="58" s="1"/>
  <c r="R162" i="58"/>
  <c r="R164" i="58" s="1"/>
  <c r="Q164" i="58"/>
  <c r="S21" i="59"/>
  <c r="S18" i="59"/>
  <c r="T17" i="59" s="1"/>
  <c r="K432" i="59"/>
  <c r="K433" i="59" s="1"/>
  <c r="P457" i="58"/>
  <c r="O324" i="58"/>
  <c r="Q408" i="59"/>
  <c r="Q383" i="58"/>
  <c r="P498" i="58"/>
  <c r="O80" i="59"/>
  <c r="O319" i="58"/>
  <c r="O149" i="58" s="1"/>
  <c r="Q330" i="59"/>
  <c r="O264" i="59"/>
  <c r="O262" i="59"/>
  <c r="Q130" i="59"/>
  <c r="L197" i="58"/>
  <c r="L193" i="58"/>
  <c r="L106" i="58" s="1"/>
  <c r="P488" i="58"/>
  <c r="P309" i="58"/>
  <c r="P40" i="58" s="1"/>
  <c r="P261" i="58"/>
  <c r="Q127" i="58"/>
  <c r="P498" i="59"/>
  <c r="Q383" i="59"/>
  <c r="P410" i="59"/>
  <c r="Q407" i="59"/>
  <c r="Q342" i="59"/>
  <c r="O114" i="59"/>
  <c r="P380" i="59"/>
  <c r="Q128" i="58"/>
  <c r="O114" i="58"/>
  <c r="P380" i="58"/>
  <c r="S18" i="58"/>
  <c r="T17" i="58" s="1"/>
  <c r="S21" i="58"/>
  <c r="Q409" i="59"/>
  <c r="P456" i="59"/>
  <c r="P81" i="59" s="1"/>
  <c r="P137" i="59"/>
  <c r="P437" i="58"/>
  <c r="O116" i="58"/>
  <c r="Q128" i="59"/>
  <c r="P475" i="59"/>
  <c r="P483" i="59" s="1"/>
  <c r="Q426" i="59"/>
  <c r="P99" i="59"/>
  <c r="P146" i="58"/>
  <c r="Q317" i="58"/>
  <c r="P476" i="58"/>
  <c r="P318" i="58"/>
  <c r="N296" i="59"/>
  <c r="O247" i="59"/>
  <c r="O249" i="59" s="1"/>
  <c r="P497" i="59"/>
  <c r="Q379" i="59"/>
  <c r="P497" i="58"/>
  <c r="Q379" i="58"/>
  <c r="T376" i="58"/>
  <c r="T362" i="58" s="1"/>
  <c r="S362" i="58"/>
  <c r="L495" i="58"/>
  <c r="T376" i="59"/>
  <c r="T362" i="59" s="1"/>
  <c r="S362" i="59"/>
  <c r="O367" i="58"/>
  <c r="O95" i="58" s="1"/>
  <c r="Q363" i="58"/>
  <c r="P366" i="58"/>
  <c r="P465" i="58"/>
  <c r="P74" i="58"/>
  <c r="P364" i="58"/>
  <c r="S11" i="58"/>
  <c r="R12" i="58"/>
  <c r="Q127" i="59"/>
  <c r="P261" i="59"/>
  <c r="Q125" i="59"/>
  <c r="P456" i="58"/>
  <c r="P81" i="58" s="1"/>
  <c r="P137" i="58"/>
  <c r="P499" i="58"/>
  <c r="Q436" i="58"/>
  <c r="P172" i="59"/>
  <c r="P175" i="59" s="1"/>
  <c r="P166" i="59"/>
  <c r="P169" i="59" s="1"/>
  <c r="O324" i="59"/>
  <c r="P457" i="59"/>
  <c r="S23" i="58"/>
  <c r="T22" i="58"/>
  <c r="T23" i="58" s="1"/>
  <c r="Q363" i="59"/>
  <c r="P366" i="59"/>
  <c r="P465" i="59"/>
  <c r="P74" i="59"/>
  <c r="T19" i="59"/>
  <c r="T20" i="59" s="1"/>
  <c r="S20" i="59"/>
  <c r="S163" i="59" s="1"/>
  <c r="T163" i="59" s="1"/>
  <c r="M150" i="58"/>
  <c r="K98" i="58"/>
  <c r="N466" i="58"/>
  <c r="N404" i="58"/>
  <c r="N96" i="58" s="1"/>
  <c r="N403" i="58"/>
  <c r="S23" i="59"/>
  <c r="T22" i="59"/>
  <c r="T23" i="59" s="1"/>
  <c r="O170" i="59"/>
  <c r="O459" i="59" s="1"/>
  <c r="O86" i="59"/>
  <c r="Q339" i="58"/>
  <c r="P340" i="58"/>
  <c r="P344" i="58" s="1"/>
  <c r="K186" i="59"/>
  <c r="K199" i="59"/>
  <c r="Q236" i="58"/>
  <c r="Q239" i="58" s="1"/>
  <c r="Q242" i="58" s="1"/>
  <c r="R165" i="58"/>
  <c r="N496" i="58"/>
  <c r="N474" i="58"/>
  <c r="N477" i="58" s="1"/>
  <c r="P246" i="58"/>
  <c r="Q168" i="58"/>
  <c r="P313" i="59"/>
  <c r="O147" i="58"/>
  <c r="O458" i="58"/>
  <c r="O474" i="58" s="1"/>
  <c r="O477" i="58" s="1"/>
  <c r="K199" i="58"/>
  <c r="K186" i="58"/>
  <c r="O82" i="58"/>
  <c r="O84" i="58" s="1"/>
  <c r="Q236" i="59"/>
  <c r="Q239" i="59" s="1"/>
  <c r="Q242" i="59" s="1"/>
  <c r="R165" i="59"/>
  <c r="P384" i="59"/>
  <c r="P115" i="59" s="1"/>
  <c r="O115" i="59"/>
  <c r="K113" i="58"/>
  <c r="L83" i="58"/>
  <c r="L93" i="58" s="1"/>
  <c r="K85" i="58"/>
  <c r="T158" i="58"/>
  <c r="Q124" i="58"/>
  <c r="P129" i="58"/>
  <c r="P131" i="58" s="1"/>
  <c r="P499" i="59"/>
  <c r="Q436" i="59"/>
  <c r="L495" i="59"/>
  <c r="L397" i="58"/>
  <c r="L391" i="58" s="1"/>
  <c r="Q14" i="58"/>
  <c r="Q167" i="58" s="1"/>
  <c r="Q269" i="58" s="1"/>
  <c r="Q271" i="58" s="1"/>
  <c r="Q272" i="58" s="1"/>
  <c r="Q299" i="58" s="1"/>
  <c r="Q276" i="58"/>
  <c r="Q140" i="58"/>
  <c r="Q141" i="58" s="1"/>
  <c r="Q284" i="58"/>
  <c r="R13" i="58"/>
  <c r="Q312" i="58"/>
  <c r="Q493" i="58" s="1"/>
  <c r="Q365" i="58"/>
  <c r="Q440" i="58"/>
  <c r="Q134" i="58"/>
  <c r="Q304" i="58"/>
  <c r="Q305" i="58" s="1"/>
  <c r="Q307" i="58"/>
  <c r="Q308" i="58" s="1"/>
  <c r="Q263" i="58"/>
  <c r="Q15" i="58"/>
  <c r="Q136" i="58"/>
  <c r="Q280" i="58"/>
  <c r="Q154" i="58"/>
  <c r="Q155" i="58" s="1"/>
  <c r="Q216" i="58"/>
  <c r="Q212" i="58" s="1"/>
  <c r="Q190" i="58"/>
  <c r="O402" i="58"/>
  <c r="R162" i="59"/>
  <c r="Q164" i="59"/>
  <c r="T158" i="59"/>
  <c r="L326" i="58"/>
  <c r="S159" i="59"/>
  <c r="R12" i="59"/>
  <c r="S11" i="59"/>
  <c r="Q216" i="59"/>
  <c r="Q212" i="59" s="1"/>
  <c r="Q312" i="59"/>
  <c r="Q493" i="59" s="1"/>
  <c r="Q276" i="59"/>
  <c r="Q134" i="59"/>
  <c r="Q440" i="59"/>
  <c r="Q307" i="59"/>
  <c r="Q308" i="59" s="1"/>
  <c r="Q263" i="59"/>
  <c r="Q140" i="59"/>
  <c r="Q141" i="59" s="1"/>
  <c r="Q136" i="59"/>
  <c r="Q304" i="59"/>
  <c r="Q14" i="59"/>
  <c r="Q167" i="59" s="1"/>
  <c r="Q269" i="59" s="1"/>
  <c r="Q271" i="59" s="1"/>
  <c r="Q272" i="59" s="1"/>
  <c r="Q299" i="59" s="1"/>
  <c r="Q280" i="59"/>
  <c r="Q154" i="59"/>
  <c r="Q155" i="59" s="1"/>
  <c r="Q365" i="59"/>
  <c r="Q284" i="59"/>
  <c r="Q15" i="59"/>
  <c r="R13" i="59"/>
  <c r="P443" i="59"/>
  <c r="P109" i="59" s="1"/>
  <c r="P492" i="59"/>
  <c r="Q451" i="59"/>
  <c r="K460" i="59"/>
  <c r="M477" i="58"/>
  <c r="M482" i="58"/>
  <c r="K460" i="58"/>
  <c r="O86" i="58"/>
  <c r="O170" i="58"/>
  <c r="O459" i="58" s="1"/>
  <c r="N296" i="58"/>
  <c r="O247" i="58"/>
  <c r="O249" i="58" s="1"/>
  <c r="O116" i="59"/>
  <c r="P437" i="59"/>
  <c r="Q124" i="59"/>
  <c r="P129" i="59"/>
  <c r="P131" i="59" s="1"/>
  <c r="P455" i="59" s="1"/>
  <c r="K432" i="58"/>
  <c r="N149" i="58"/>
  <c r="O115" i="58"/>
  <c r="P384" i="58"/>
  <c r="T19" i="58"/>
  <c r="T20" i="58" s="1"/>
  <c r="S20" i="58"/>
  <c r="S163" i="58" s="1"/>
  <c r="T163" i="58" s="1"/>
  <c r="P246" i="59"/>
  <c r="Q168" i="59"/>
  <c r="L430" i="59"/>
  <c r="P489" i="58"/>
  <c r="P492" i="58"/>
  <c r="P443" i="58"/>
  <c r="P109" i="58" s="1"/>
  <c r="Q407" i="58"/>
  <c r="P464" i="58"/>
  <c r="Q130" i="58"/>
  <c r="O262" i="58"/>
  <c r="O264" i="58"/>
  <c r="Q339" i="59"/>
  <c r="N249" i="58"/>
  <c r="N250" i="58" s="1"/>
  <c r="Q442" i="59"/>
  <c r="Q330" i="58"/>
  <c r="P331" i="58"/>
  <c r="P335" i="58" s="1"/>
  <c r="Q126" i="59"/>
  <c r="Q11" i="25"/>
  <c r="R333" i="59" l="1"/>
  <c r="K112" i="59"/>
  <c r="R409" i="58"/>
  <c r="G7" i="59"/>
  <c r="G8" i="59" s="1"/>
  <c r="L358" i="59"/>
  <c r="Q305" i="59"/>
  <c r="Q488" i="59" s="1"/>
  <c r="P455" i="58"/>
  <c r="L331" i="59"/>
  <c r="L335" i="59" s="1"/>
  <c r="M466" i="59"/>
  <c r="N402" i="59"/>
  <c r="L96" i="59"/>
  <c r="M404" i="59"/>
  <c r="P309" i="59"/>
  <c r="P40" i="59" s="1"/>
  <c r="M316" i="59"/>
  <c r="M318" i="59" s="1"/>
  <c r="M319" i="59" s="1"/>
  <c r="S347" i="59"/>
  <c r="R145" i="59"/>
  <c r="N317" i="59"/>
  <c r="M476" i="59"/>
  <c r="L432" i="58"/>
  <c r="L500" i="58" s="1"/>
  <c r="L501" i="58" s="1"/>
  <c r="R248" i="59"/>
  <c r="Q295" i="59"/>
  <c r="K397" i="59"/>
  <c r="M338" i="59"/>
  <c r="M340" i="59" s="1"/>
  <c r="M344" i="59" s="1"/>
  <c r="M401" i="59"/>
  <c r="M403" i="59" s="1"/>
  <c r="I510" i="59"/>
  <c r="I46" i="59" s="1"/>
  <c r="I50" i="59" s="1"/>
  <c r="R303" i="59"/>
  <c r="S350" i="59"/>
  <c r="L395" i="59"/>
  <c r="K464" i="59"/>
  <c r="K469" i="59" s="1"/>
  <c r="K389" i="59"/>
  <c r="L75" i="59"/>
  <c r="R245" i="59"/>
  <c r="R429" i="59"/>
  <c r="S349" i="59"/>
  <c r="R351" i="59"/>
  <c r="R354" i="59" s="1"/>
  <c r="M387" i="59"/>
  <c r="M329" i="59"/>
  <c r="O322" i="59"/>
  <c r="L356" i="59"/>
  <c r="M361" i="59"/>
  <c r="M364" i="59" s="1"/>
  <c r="M367" i="59" s="1"/>
  <c r="M95" i="59" s="1"/>
  <c r="I71" i="59"/>
  <c r="I208" i="59"/>
  <c r="J119" i="59"/>
  <c r="J103" i="59"/>
  <c r="I72" i="59"/>
  <c r="I73" i="59" s="1"/>
  <c r="I76" i="59" s="1"/>
  <c r="I77" i="59" s="1"/>
  <c r="I60" i="59"/>
  <c r="I63" i="59" s="1"/>
  <c r="I64" i="59" s="1"/>
  <c r="I53" i="59"/>
  <c r="I55" i="59" s="1"/>
  <c r="I511" i="59"/>
  <c r="I45" i="59" s="1"/>
  <c r="I517" i="59"/>
  <c r="I36" i="59" s="1"/>
  <c r="I39" i="59" s="1"/>
  <c r="I43" i="59" s="1"/>
  <c r="I120" i="59" s="1"/>
  <c r="J506" i="59"/>
  <c r="J508" i="59" s="1"/>
  <c r="J61" i="59"/>
  <c r="J513" i="59"/>
  <c r="J515" i="59" s="1"/>
  <c r="J49" i="59"/>
  <c r="J478" i="59"/>
  <c r="I44" i="59"/>
  <c r="T159" i="58"/>
  <c r="N298" i="59"/>
  <c r="N300" i="59" s="1"/>
  <c r="O250" i="59"/>
  <c r="L460" i="58"/>
  <c r="P82" i="59"/>
  <c r="P84" i="59" s="1"/>
  <c r="N298" i="58"/>
  <c r="N300" i="58" s="1"/>
  <c r="Q452" i="58"/>
  <c r="Q313" i="58"/>
  <c r="Q42" i="58" s="1"/>
  <c r="M431" i="58"/>
  <c r="M460" i="58" s="1"/>
  <c r="Q313" i="59"/>
  <c r="T159" i="59"/>
  <c r="O265" i="59"/>
  <c r="L390" i="58"/>
  <c r="M398" i="58" s="1"/>
  <c r="O250" i="58"/>
  <c r="L199" i="58"/>
  <c r="L200" i="58" s="1"/>
  <c r="R442" i="58"/>
  <c r="N183" i="58"/>
  <c r="R342" i="58"/>
  <c r="R451" i="58"/>
  <c r="R442" i="59"/>
  <c r="K200" i="58"/>
  <c r="R126" i="59"/>
  <c r="O265" i="58"/>
  <c r="R451" i="59"/>
  <c r="R339" i="59"/>
  <c r="Q246" i="59"/>
  <c r="R168" i="59"/>
  <c r="P116" i="59"/>
  <c r="Q437" i="59"/>
  <c r="S12" i="59"/>
  <c r="T11" i="59"/>
  <c r="T12" i="59" s="1"/>
  <c r="O466" i="58"/>
  <c r="O404" i="58"/>
  <c r="O96" i="58" s="1"/>
  <c r="O403" i="58"/>
  <c r="L41" i="58"/>
  <c r="L105" i="58" s="1"/>
  <c r="L38" i="58"/>
  <c r="L56" i="58"/>
  <c r="O496" i="58"/>
  <c r="R126" i="58"/>
  <c r="P42" i="59"/>
  <c r="K187" i="59"/>
  <c r="L186" i="59"/>
  <c r="M83" i="58"/>
  <c r="N150" i="58"/>
  <c r="M151" i="58"/>
  <c r="L112" i="59"/>
  <c r="P86" i="59"/>
  <c r="P170" i="59"/>
  <c r="P459" i="59" s="1"/>
  <c r="P367" i="58"/>
  <c r="P95" i="58" s="1"/>
  <c r="R363" i="58"/>
  <c r="Q366" i="58"/>
  <c r="Q74" i="58"/>
  <c r="Q465" i="58"/>
  <c r="Q364" i="58"/>
  <c r="Q497" i="59"/>
  <c r="R379" i="59"/>
  <c r="P116" i="58"/>
  <c r="Q437" i="58"/>
  <c r="P114" i="58"/>
  <c r="Q380" i="58"/>
  <c r="P402" i="58"/>
  <c r="R408" i="58"/>
  <c r="P319" i="58"/>
  <c r="P149" i="58" s="1"/>
  <c r="R383" i="58"/>
  <c r="Q498" i="58"/>
  <c r="K500" i="59"/>
  <c r="K62" i="59"/>
  <c r="S162" i="58"/>
  <c r="Q410" i="58"/>
  <c r="R407" i="58"/>
  <c r="Q464" i="58"/>
  <c r="K500" i="58"/>
  <c r="K501" i="58" s="1"/>
  <c r="K62" i="58"/>
  <c r="K433" i="58"/>
  <c r="R15" i="59"/>
  <c r="R284" i="59"/>
  <c r="R365" i="59"/>
  <c r="R140" i="59"/>
  <c r="R141" i="59" s="1"/>
  <c r="R14" i="59"/>
  <c r="R167" i="59" s="1"/>
  <c r="R269" i="59" s="1"/>
  <c r="R271" i="59" s="1"/>
  <c r="R272" i="59" s="1"/>
  <c r="R299" i="59" s="1"/>
  <c r="R312" i="59"/>
  <c r="R493" i="59" s="1"/>
  <c r="R307" i="59"/>
  <c r="R308" i="59" s="1"/>
  <c r="R280" i="59"/>
  <c r="R136" i="59"/>
  <c r="R263" i="59"/>
  <c r="R216" i="59"/>
  <c r="R212" i="59" s="1"/>
  <c r="R276" i="59"/>
  <c r="R134" i="59"/>
  <c r="R440" i="59"/>
  <c r="R154" i="59"/>
  <c r="R155" i="59" s="1"/>
  <c r="R304" i="59"/>
  <c r="S13" i="59"/>
  <c r="S333" i="59" s="1"/>
  <c r="Q492" i="59"/>
  <c r="Q443" i="59"/>
  <c r="Q109" i="59" s="1"/>
  <c r="Q213" i="59"/>
  <c r="Q214" i="59" s="1"/>
  <c r="Q488" i="58"/>
  <c r="Q309" i="58"/>
  <c r="Q40" i="58" s="1"/>
  <c r="Q246" i="58"/>
  <c r="R168" i="58"/>
  <c r="R236" i="58"/>
  <c r="R239" i="58" s="1"/>
  <c r="R242" i="58" s="1"/>
  <c r="S165" i="58"/>
  <c r="R125" i="59"/>
  <c r="R342" i="59"/>
  <c r="Q384" i="59"/>
  <c r="Q115" i="59" s="1"/>
  <c r="Q498" i="59"/>
  <c r="R383" i="59"/>
  <c r="R127" i="58"/>
  <c r="Q261" i="58"/>
  <c r="R130" i="59"/>
  <c r="M430" i="58"/>
  <c r="P324" i="58"/>
  <c r="Q457" i="58"/>
  <c r="M184" i="58"/>
  <c r="Q475" i="58"/>
  <c r="Q483" i="58" s="1"/>
  <c r="Q99" i="58"/>
  <c r="R426" i="58"/>
  <c r="R124" i="59"/>
  <c r="Q129" i="59"/>
  <c r="Q131" i="59" s="1"/>
  <c r="Q455" i="59" s="1"/>
  <c r="P80" i="58"/>
  <c r="P494" i="58"/>
  <c r="P115" i="58"/>
  <c r="Q384" i="58"/>
  <c r="K507" i="58"/>
  <c r="R130" i="58"/>
  <c r="R172" i="58"/>
  <c r="R175" i="58" s="1"/>
  <c r="R166" i="58"/>
  <c r="P80" i="59"/>
  <c r="Q456" i="59"/>
  <c r="Q81" i="59" s="1"/>
  <c r="Q137" i="59"/>
  <c r="Q172" i="59"/>
  <c r="Q175" i="59" s="1"/>
  <c r="Q166" i="59"/>
  <c r="Q169" i="59" s="1"/>
  <c r="Q213" i="58"/>
  <c r="Q214" i="58" s="1"/>
  <c r="Q137" i="58"/>
  <c r="Q456" i="58"/>
  <c r="Q81" i="58" s="1"/>
  <c r="R14" i="58"/>
  <c r="R167" i="58" s="1"/>
  <c r="R269" i="58" s="1"/>
  <c r="R271" i="58" s="1"/>
  <c r="R272" i="58" s="1"/>
  <c r="R299" i="58" s="1"/>
  <c r="R304" i="58"/>
  <c r="R305" i="58" s="1"/>
  <c r="R154" i="58"/>
  <c r="R155" i="58" s="1"/>
  <c r="R134" i="58"/>
  <c r="R15" i="58"/>
  <c r="R307" i="58"/>
  <c r="R308" i="58" s="1"/>
  <c r="R440" i="58"/>
  <c r="R216" i="58"/>
  <c r="R212" i="58" s="1"/>
  <c r="R365" i="58"/>
  <c r="R312" i="58"/>
  <c r="R493" i="58" s="1"/>
  <c r="R280" i="58"/>
  <c r="R284" i="58"/>
  <c r="R140" i="58"/>
  <c r="R141" i="58" s="1"/>
  <c r="R136" i="58"/>
  <c r="R263" i="58"/>
  <c r="R276" i="58"/>
  <c r="S13" i="58"/>
  <c r="S409" i="58" s="1"/>
  <c r="R190" i="58"/>
  <c r="R124" i="58"/>
  <c r="Q129" i="58"/>
  <c r="Q131" i="58" s="1"/>
  <c r="Q455" i="58" s="1"/>
  <c r="K187" i="58"/>
  <c r="L186" i="58"/>
  <c r="N469" i="58"/>
  <c r="N482" i="58"/>
  <c r="R363" i="59"/>
  <c r="Q366" i="59"/>
  <c r="Q74" i="59"/>
  <c r="Q465" i="59"/>
  <c r="P324" i="59"/>
  <c r="Q457" i="59"/>
  <c r="Q499" i="58"/>
  <c r="R436" i="58"/>
  <c r="P264" i="59"/>
  <c r="P262" i="59"/>
  <c r="Q497" i="58"/>
  <c r="R379" i="58"/>
  <c r="O296" i="59"/>
  <c r="P247" i="59"/>
  <c r="Q146" i="58"/>
  <c r="Q476" i="58"/>
  <c r="R317" i="58"/>
  <c r="Q318" i="58"/>
  <c r="R128" i="59"/>
  <c r="R333" i="58"/>
  <c r="R128" i="58"/>
  <c r="P264" i="58"/>
  <c r="P262" i="58"/>
  <c r="P82" i="58"/>
  <c r="P84" i="58" s="1"/>
  <c r="R330" i="59"/>
  <c r="R125" i="58"/>
  <c r="R408" i="59"/>
  <c r="P170" i="58"/>
  <c r="P459" i="58" s="1"/>
  <c r="P86" i="58"/>
  <c r="R330" i="58"/>
  <c r="Q331" i="58"/>
  <c r="Q335" i="58" s="1"/>
  <c r="M323" i="59"/>
  <c r="M325" i="59" s="1"/>
  <c r="O296" i="58"/>
  <c r="P247" i="58"/>
  <c r="P249" i="58" s="1"/>
  <c r="L112" i="58"/>
  <c r="M326" i="58"/>
  <c r="Q452" i="59"/>
  <c r="S162" i="59"/>
  <c r="R164" i="59"/>
  <c r="Q489" i="58"/>
  <c r="Q443" i="58"/>
  <c r="Q109" i="58" s="1"/>
  <c r="Q492" i="58"/>
  <c r="Q499" i="59"/>
  <c r="R436" i="59"/>
  <c r="L113" i="58"/>
  <c r="L85" i="58"/>
  <c r="R236" i="59"/>
  <c r="R239" i="59" s="1"/>
  <c r="R242" i="59" s="1"/>
  <c r="S165" i="59"/>
  <c r="K200" i="59"/>
  <c r="L199" i="59"/>
  <c r="R339" i="58"/>
  <c r="Q340" i="58"/>
  <c r="Q344" i="58" s="1"/>
  <c r="Q261" i="59"/>
  <c r="R127" i="59"/>
  <c r="S12" i="58"/>
  <c r="T11" i="58"/>
  <c r="T12" i="58" s="1"/>
  <c r="P147" i="58"/>
  <c r="P458" i="58"/>
  <c r="Q475" i="59"/>
  <c r="Q483" i="59" s="1"/>
  <c r="R426" i="59"/>
  <c r="Q99" i="59"/>
  <c r="R409" i="59"/>
  <c r="T18" i="58"/>
  <c r="T21" i="58"/>
  <c r="Q380" i="59"/>
  <c r="P114" i="59"/>
  <c r="Q410" i="59"/>
  <c r="R407" i="59"/>
  <c r="K117" i="59"/>
  <c r="M495" i="58"/>
  <c r="N196" i="58"/>
  <c r="T21" i="59"/>
  <c r="T18" i="59"/>
  <c r="Q172" i="58"/>
  <c r="Q175" i="58" s="1"/>
  <c r="Q166" i="58"/>
  <c r="Q169" i="58" s="1"/>
  <c r="Q309" i="59" l="1"/>
  <c r="Q40" i="59" s="1"/>
  <c r="L62" i="58"/>
  <c r="M75" i="59"/>
  <c r="M96" i="59"/>
  <c r="N404" i="59"/>
  <c r="N466" i="59"/>
  <c r="O402" i="59"/>
  <c r="R305" i="59"/>
  <c r="R488" i="59" s="1"/>
  <c r="M356" i="59"/>
  <c r="T349" i="59"/>
  <c r="S429" i="59"/>
  <c r="S245" i="59"/>
  <c r="S351" i="59"/>
  <c r="S354" i="59" s="1"/>
  <c r="K391" i="59"/>
  <c r="S303" i="59"/>
  <c r="T350" i="59"/>
  <c r="T303" i="59" s="1"/>
  <c r="S248" i="59"/>
  <c r="R295" i="59"/>
  <c r="N70" i="59"/>
  <c r="M331" i="59"/>
  <c r="M335" i="59" s="1"/>
  <c r="K390" i="59"/>
  <c r="S145" i="59"/>
  <c r="T347" i="59"/>
  <c r="T145" i="59" s="1"/>
  <c r="P322" i="59"/>
  <c r="M358" i="59"/>
  <c r="L190" i="59"/>
  <c r="L393" i="59"/>
  <c r="L394" i="59" s="1"/>
  <c r="L388" i="59" s="1"/>
  <c r="O317" i="59"/>
  <c r="N476" i="59"/>
  <c r="J509" i="59"/>
  <c r="J510" i="59" s="1"/>
  <c r="J46" i="59" s="1"/>
  <c r="J69" i="59"/>
  <c r="I58" i="59"/>
  <c r="I57" i="59"/>
  <c r="I7" i="59" s="1"/>
  <c r="I8" i="59" s="1"/>
  <c r="J68" i="59"/>
  <c r="J54" i="59" s="1"/>
  <c r="I47" i="59"/>
  <c r="I48" i="59"/>
  <c r="O298" i="59"/>
  <c r="O300" i="59" s="1"/>
  <c r="R452" i="58"/>
  <c r="M199" i="58"/>
  <c r="P250" i="58"/>
  <c r="R313" i="59"/>
  <c r="R42" i="59" s="1"/>
  <c r="K87" i="59"/>
  <c r="Q42" i="59"/>
  <c r="O298" i="58"/>
  <c r="O300" i="58" s="1"/>
  <c r="S409" i="59"/>
  <c r="Q402" i="58"/>
  <c r="Q466" i="58" s="1"/>
  <c r="Q469" i="58" s="1"/>
  <c r="S125" i="58"/>
  <c r="S333" i="58"/>
  <c r="P265" i="58"/>
  <c r="L392" i="58"/>
  <c r="P265" i="59"/>
  <c r="S128" i="58"/>
  <c r="S408" i="59"/>
  <c r="S128" i="59"/>
  <c r="Q367" i="58"/>
  <c r="Q95" i="58" s="1"/>
  <c r="R452" i="59"/>
  <c r="S342" i="59"/>
  <c r="S342" i="58"/>
  <c r="S125" i="59"/>
  <c r="L94" i="58"/>
  <c r="M93" i="58"/>
  <c r="R169" i="58"/>
  <c r="R86" i="58" s="1"/>
  <c r="M199" i="59"/>
  <c r="L92" i="58"/>
  <c r="L98" i="58" s="1"/>
  <c r="Q494" i="58"/>
  <c r="K87" i="58"/>
  <c r="K514" i="58" s="1"/>
  <c r="Q170" i="58"/>
  <c r="Q459" i="58" s="1"/>
  <c r="Q86" i="58"/>
  <c r="N431" i="58"/>
  <c r="N460" i="58" s="1"/>
  <c r="R261" i="59"/>
  <c r="S127" i="59"/>
  <c r="M495" i="59"/>
  <c r="P296" i="59"/>
  <c r="Q247" i="59"/>
  <c r="Q249" i="59" s="1"/>
  <c r="Q324" i="59"/>
  <c r="R457" i="59"/>
  <c r="R489" i="58"/>
  <c r="R213" i="58"/>
  <c r="R214" i="58" s="1"/>
  <c r="R137" i="58"/>
  <c r="R456" i="58"/>
  <c r="R81" i="58" s="1"/>
  <c r="Q170" i="59"/>
  <c r="Q459" i="59" s="1"/>
  <c r="Q86" i="59"/>
  <c r="Q82" i="59"/>
  <c r="Q84" i="59" s="1"/>
  <c r="Q80" i="58"/>
  <c r="Q115" i="58"/>
  <c r="R384" i="58"/>
  <c r="R115" i="58" s="1"/>
  <c r="R261" i="58"/>
  <c r="S127" i="58"/>
  <c r="R213" i="59"/>
  <c r="R214" i="59" s="1"/>
  <c r="T162" i="58"/>
  <c r="T164" i="58" s="1"/>
  <c r="S164" i="58"/>
  <c r="R498" i="58"/>
  <c r="S383" i="58"/>
  <c r="S408" i="58"/>
  <c r="O183" i="58"/>
  <c r="R497" i="59"/>
  <c r="S379" i="59"/>
  <c r="M113" i="58"/>
  <c r="M85" i="58"/>
  <c r="Q82" i="58"/>
  <c r="Q84" i="58" s="1"/>
  <c r="S126" i="59"/>
  <c r="M192" i="58"/>
  <c r="M198" i="58" s="1"/>
  <c r="N185" i="58" s="1"/>
  <c r="M396" i="58"/>
  <c r="M191" i="58"/>
  <c r="S426" i="59"/>
  <c r="R99" i="59"/>
  <c r="R475" i="59"/>
  <c r="R483" i="59" s="1"/>
  <c r="P496" i="58"/>
  <c r="P474" i="58"/>
  <c r="P477" i="58" s="1"/>
  <c r="Q264" i="59"/>
  <c r="Q262" i="59"/>
  <c r="S339" i="58"/>
  <c r="R340" i="58"/>
  <c r="R344" i="58" s="1"/>
  <c r="M430" i="59"/>
  <c r="S330" i="58"/>
  <c r="R331" i="58"/>
  <c r="R335" i="58" s="1"/>
  <c r="R146" i="58"/>
  <c r="S317" i="58"/>
  <c r="R476" i="58"/>
  <c r="R318" i="58"/>
  <c r="S363" i="59"/>
  <c r="R366" i="59"/>
  <c r="R465" i="59"/>
  <c r="R74" i="59"/>
  <c r="R313" i="58"/>
  <c r="R492" i="58"/>
  <c r="R443" i="58"/>
  <c r="R109" i="58" s="1"/>
  <c r="S130" i="58"/>
  <c r="K461" i="58"/>
  <c r="Q80" i="59"/>
  <c r="R99" i="58"/>
  <c r="R475" i="58"/>
  <c r="R483" i="58" s="1"/>
  <c r="S426" i="58"/>
  <c r="Q324" i="58"/>
  <c r="R457" i="58"/>
  <c r="M432" i="58"/>
  <c r="N323" i="58"/>
  <c r="N325" i="58" s="1"/>
  <c r="N326" i="58" s="1"/>
  <c r="S130" i="59"/>
  <c r="R384" i="59"/>
  <c r="R115" i="59" s="1"/>
  <c r="S383" i="59"/>
  <c r="R498" i="59"/>
  <c r="R246" i="58"/>
  <c r="S168" i="58"/>
  <c r="R492" i="59"/>
  <c r="R443" i="59"/>
  <c r="R109" i="59" s="1"/>
  <c r="R410" i="58"/>
  <c r="S407" i="58"/>
  <c r="R464" i="58"/>
  <c r="M326" i="59"/>
  <c r="S168" i="59"/>
  <c r="R246" i="59"/>
  <c r="S339" i="59"/>
  <c r="Q114" i="59"/>
  <c r="R380" i="59"/>
  <c r="S236" i="59"/>
  <c r="S239" i="59" s="1"/>
  <c r="S242" i="59" s="1"/>
  <c r="T165" i="59"/>
  <c r="T236" i="59" s="1"/>
  <c r="T239" i="59" s="1"/>
  <c r="T242" i="59" s="1"/>
  <c r="R166" i="59"/>
  <c r="R169" i="59" s="1"/>
  <c r="R172" i="59"/>
  <c r="R175" i="59" s="1"/>
  <c r="M112" i="58"/>
  <c r="R497" i="58"/>
  <c r="S379" i="58"/>
  <c r="R499" i="58"/>
  <c r="S436" i="58"/>
  <c r="R129" i="58"/>
  <c r="R131" i="58" s="1"/>
  <c r="R455" i="58" s="1"/>
  <c r="S124" i="58"/>
  <c r="S14" i="58"/>
  <c r="S167" i="58" s="1"/>
  <c r="S154" i="58"/>
  <c r="S155" i="58" s="1"/>
  <c r="S307" i="58"/>
  <c r="S308" i="58" s="1"/>
  <c r="S312" i="58"/>
  <c r="S493" i="58" s="1"/>
  <c r="S136" i="58"/>
  <c r="S280" i="58"/>
  <c r="S304" i="58"/>
  <c r="S305" i="58" s="1"/>
  <c r="S216" i="58"/>
  <c r="S212" i="58" s="1"/>
  <c r="S284" i="58"/>
  <c r="S263" i="58"/>
  <c r="S365" i="58"/>
  <c r="S440" i="58"/>
  <c r="S15" i="58"/>
  <c r="S134" i="58"/>
  <c r="S140" i="58"/>
  <c r="S141" i="58" s="1"/>
  <c r="S276" i="58"/>
  <c r="T13" i="58"/>
  <c r="S190" i="58"/>
  <c r="R309" i="58"/>
  <c r="R40" i="58" s="1"/>
  <c r="R488" i="58"/>
  <c r="S442" i="58"/>
  <c r="T442" i="58" s="1"/>
  <c r="P249" i="59"/>
  <c r="P250" i="59" s="1"/>
  <c r="S124" i="59"/>
  <c r="R129" i="59"/>
  <c r="R131" i="59" s="1"/>
  <c r="R455" i="59" s="1"/>
  <c r="S451" i="58"/>
  <c r="S134" i="59"/>
  <c r="S276" i="59"/>
  <c r="S136" i="59"/>
  <c r="S365" i="59"/>
  <c r="S154" i="59"/>
  <c r="S155" i="59" s="1"/>
  <c r="S140" i="59"/>
  <c r="S141" i="59" s="1"/>
  <c r="S263" i="59"/>
  <c r="S307" i="59"/>
  <c r="S308" i="59" s="1"/>
  <c r="S15" i="59"/>
  <c r="S312" i="59"/>
  <c r="S493" i="59" s="1"/>
  <c r="S304" i="59"/>
  <c r="S284" i="59"/>
  <c r="S14" i="59"/>
  <c r="S167" i="59" s="1"/>
  <c r="S216" i="59"/>
  <c r="S212" i="59" s="1"/>
  <c r="S280" i="59"/>
  <c r="S440" i="59"/>
  <c r="T13" i="59"/>
  <c r="T333" i="59" s="1"/>
  <c r="R137" i="59"/>
  <c r="R456" i="59"/>
  <c r="R81" i="59" s="1"/>
  <c r="P466" i="58"/>
  <c r="P404" i="58"/>
  <c r="P96" i="58" s="1"/>
  <c r="P403" i="58"/>
  <c r="R437" i="58"/>
  <c r="Q116" i="58"/>
  <c r="S363" i="58"/>
  <c r="R366" i="58"/>
  <c r="R465" i="58"/>
  <c r="R364" i="58"/>
  <c r="R74" i="58"/>
  <c r="M186" i="59"/>
  <c r="L187" i="59"/>
  <c r="S126" i="58"/>
  <c r="L101" i="58"/>
  <c r="L110" i="58"/>
  <c r="L111" i="58" s="1"/>
  <c r="O196" i="58"/>
  <c r="R410" i="59"/>
  <c r="S407" i="59"/>
  <c r="R499" i="59"/>
  <c r="S436" i="59"/>
  <c r="T162" i="59"/>
  <c r="T164" i="59" s="1"/>
  <c r="S164" i="59"/>
  <c r="P296" i="58"/>
  <c r="Q247" i="58"/>
  <c r="Q249" i="58" s="1"/>
  <c r="S330" i="59"/>
  <c r="Q147" i="58"/>
  <c r="Q458" i="58"/>
  <c r="M186" i="58"/>
  <c r="L187" i="58"/>
  <c r="Q262" i="58"/>
  <c r="Q264" i="58"/>
  <c r="S236" i="58"/>
  <c r="S239" i="58" s="1"/>
  <c r="S242" i="58" s="1"/>
  <c r="T165" i="58"/>
  <c r="T236" i="58" s="1"/>
  <c r="T239" i="58" s="1"/>
  <c r="T242" i="58" s="1"/>
  <c r="K117" i="58"/>
  <c r="K118" i="58" s="1"/>
  <c r="L433" i="58"/>
  <c r="S451" i="59"/>
  <c r="Q319" i="58"/>
  <c r="Q149" i="58" s="1"/>
  <c r="Q114" i="58"/>
  <c r="R380" i="58"/>
  <c r="R114" i="58" s="1"/>
  <c r="N83" i="58"/>
  <c r="O150" i="58"/>
  <c r="O469" i="58"/>
  <c r="O482" i="58"/>
  <c r="Q116" i="59"/>
  <c r="R437" i="59"/>
  <c r="S442" i="59"/>
  <c r="N151" i="58"/>
  <c r="R309" i="59" l="1"/>
  <c r="R40" i="59" s="1"/>
  <c r="P402" i="59"/>
  <c r="O466" i="59"/>
  <c r="N96" i="59"/>
  <c r="O404" i="59"/>
  <c r="N186" i="58"/>
  <c r="S305" i="59"/>
  <c r="S488" i="59" s="1"/>
  <c r="J516" i="59"/>
  <c r="J37" i="59" s="1"/>
  <c r="J44" i="59" s="1"/>
  <c r="P317" i="59"/>
  <c r="O476" i="59"/>
  <c r="L398" i="59"/>
  <c r="M395" i="59"/>
  <c r="M393" i="59" s="1"/>
  <c r="M394" i="59" s="1"/>
  <c r="M388" i="59" s="1"/>
  <c r="L464" i="59"/>
  <c r="L469" i="59" s="1"/>
  <c r="L389" i="59"/>
  <c r="S295" i="59"/>
  <c r="T248" i="59"/>
  <c r="T295" i="59" s="1"/>
  <c r="K41" i="59"/>
  <c r="K38" i="59"/>
  <c r="K56" i="59"/>
  <c r="L489" i="59"/>
  <c r="L494" i="59" s="1"/>
  <c r="L196" i="59"/>
  <c r="M183" i="59" s="1"/>
  <c r="Q322" i="59"/>
  <c r="K392" i="59"/>
  <c r="T245" i="59"/>
  <c r="T429" i="59"/>
  <c r="T351" i="59"/>
  <c r="T354" i="59" s="1"/>
  <c r="N357" i="59"/>
  <c r="N361" i="59"/>
  <c r="N364" i="59" s="1"/>
  <c r="N367" i="59" s="1"/>
  <c r="N95" i="59" s="1"/>
  <c r="N329" i="59"/>
  <c r="N387" i="59"/>
  <c r="N316" i="59"/>
  <c r="N401" i="59"/>
  <c r="N403" i="59" s="1"/>
  <c r="N338" i="59"/>
  <c r="N340" i="59" s="1"/>
  <c r="N344" i="59" s="1"/>
  <c r="J50" i="59"/>
  <c r="J71" i="59"/>
  <c r="J208" i="59"/>
  <c r="K208" i="59" s="1"/>
  <c r="P298" i="59"/>
  <c r="P300" i="59" s="1"/>
  <c r="J72" i="59"/>
  <c r="J53" i="59"/>
  <c r="J55" i="59" s="1"/>
  <c r="J60" i="59"/>
  <c r="J63" i="59" s="1"/>
  <c r="J64" i="59" s="1"/>
  <c r="J517" i="59"/>
  <c r="J36" i="59" s="1"/>
  <c r="J511" i="59"/>
  <c r="J45" i="59" s="1"/>
  <c r="J48" i="59" s="1"/>
  <c r="R170" i="58"/>
  <c r="R459" i="58" s="1"/>
  <c r="Q250" i="58"/>
  <c r="R402" i="58"/>
  <c r="R466" i="58" s="1"/>
  <c r="R469" i="58" s="1"/>
  <c r="S313" i="59"/>
  <c r="S42" i="59" s="1"/>
  <c r="R82" i="59"/>
  <c r="R84" i="59" s="1"/>
  <c r="Q403" i="58"/>
  <c r="P298" i="58"/>
  <c r="P300" i="58" s="1"/>
  <c r="T333" i="58"/>
  <c r="T128" i="59"/>
  <c r="T125" i="58"/>
  <c r="T126" i="58"/>
  <c r="T128" i="58"/>
  <c r="Q250" i="59"/>
  <c r="Q265" i="58"/>
  <c r="T451" i="59"/>
  <c r="T442" i="59"/>
  <c r="S313" i="58"/>
  <c r="S42" i="58" s="1"/>
  <c r="T342" i="58"/>
  <c r="N199" i="59"/>
  <c r="R82" i="58"/>
  <c r="R84" i="58" s="1"/>
  <c r="R367" i="58"/>
  <c r="R95" i="58" s="1"/>
  <c r="Q265" i="59"/>
  <c r="R80" i="58"/>
  <c r="O83" i="58"/>
  <c r="O151" i="58"/>
  <c r="S499" i="59"/>
  <c r="T436" i="59"/>
  <c r="R116" i="58"/>
  <c r="S437" i="58"/>
  <c r="P150" i="58"/>
  <c r="S443" i="59"/>
  <c r="S109" i="59" s="1"/>
  <c r="S492" i="59"/>
  <c r="S452" i="58"/>
  <c r="T451" i="58"/>
  <c r="Q404" i="58"/>
  <c r="Q96" i="58" s="1"/>
  <c r="S489" i="58"/>
  <c r="S488" i="58"/>
  <c r="S309" i="58"/>
  <c r="S40" i="58" s="1"/>
  <c r="R170" i="59"/>
  <c r="R459" i="59" s="1"/>
  <c r="R86" i="59"/>
  <c r="N495" i="58"/>
  <c r="K203" i="58"/>
  <c r="K481" i="58"/>
  <c r="K463" i="58"/>
  <c r="T330" i="58"/>
  <c r="S331" i="58"/>
  <c r="S335" i="58" s="1"/>
  <c r="T339" i="58"/>
  <c r="T340" i="58" s="1"/>
  <c r="S340" i="58"/>
  <c r="S344" i="58" s="1"/>
  <c r="M197" i="58"/>
  <c r="M200" i="58" s="1"/>
  <c r="M193" i="58"/>
  <c r="M106" i="58" s="1"/>
  <c r="S497" i="59"/>
  <c r="T379" i="59"/>
  <c r="S384" i="58"/>
  <c r="T383" i="58"/>
  <c r="T498" i="58" s="1"/>
  <c r="S498" i="58"/>
  <c r="T342" i="59"/>
  <c r="R494" i="58"/>
  <c r="R247" i="59"/>
  <c r="Q296" i="59"/>
  <c r="P196" i="58"/>
  <c r="R262" i="59"/>
  <c r="R264" i="59"/>
  <c r="K88" i="58"/>
  <c r="R116" i="59"/>
  <c r="S437" i="59"/>
  <c r="S116" i="59" s="1"/>
  <c r="L117" i="58"/>
  <c r="L118" i="58" s="1"/>
  <c r="Q496" i="58"/>
  <c r="Q474" i="58"/>
  <c r="Q477" i="58" s="1"/>
  <c r="S172" i="59"/>
  <c r="S175" i="59" s="1"/>
  <c r="S166" i="59"/>
  <c r="S169" i="59" s="1"/>
  <c r="S410" i="59"/>
  <c r="T407" i="59"/>
  <c r="N186" i="59"/>
  <c r="S309" i="59"/>
  <c r="S40" i="59" s="1"/>
  <c r="S456" i="58"/>
  <c r="S81" i="58" s="1"/>
  <c r="S137" i="58"/>
  <c r="S499" i="58"/>
  <c r="T436" i="58"/>
  <c r="T499" i="58" s="1"/>
  <c r="N112" i="58"/>
  <c r="S246" i="59"/>
  <c r="T168" i="59"/>
  <c r="T246" i="59" s="1"/>
  <c r="L87" i="58"/>
  <c r="S246" i="58"/>
  <c r="T168" i="58"/>
  <c r="T246" i="58" s="1"/>
  <c r="S384" i="59"/>
  <c r="S115" i="59" s="1"/>
  <c r="S498" i="59"/>
  <c r="T383" i="59"/>
  <c r="M500" i="58"/>
  <c r="M501" i="58" s="1"/>
  <c r="M62" i="58"/>
  <c r="T130" i="58"/>
  <c r="R42" i="58"/>
  <c r="N323" i="59"/>
  <c r="N325" i="59" s="1"/>
  <c r="M397" i="58"/>
  <c r="M390" i="58" s="1"/>
  <c r="T126" i="59"/>
  <c r="M187" i="58"/>
  <c r="S452" i="59"/>
  <c r="N113" i="58"/>
  <c r="N85" i="58"/>
  <c r="N93" i="58"/>
  <c r="R319" i="58"/>
  <c r="R149" i="58" s="1"/>
  <c r="T172" i="59"/>
  <c r="T175" i="59" s="1"/>
  <c r="T166" i="59"/>
  <c r="S366" i="58"/>
  <c r="T363" i="58"/>
  <c r="S465" i="58"/>
  <c r="S74" i="58"/>
  <c r="S364" i="58"/>
  <c r="S213" i="59"/>
  <c r="S214" i="59" s="1"/>
  <c r="T125" i="59"/>
  <c r="R80" i="59"/>
  <c r="T140" i="58"/>
  <c r="T141" i="58" s="1"/>
  <c r="T134" i="58"/>
  <c r="T14" i="58"/>
  <c r="T167" i="58" s="1"/>
  <c r="T269" i="58" s="1"/>
  <c r="T271" i="58" s="1"/>
  <c r="T136" i="58"/>
  <c r="T280" i="58"/>
  <c r="T276" i="58"/>
  <c r="T307" i="58"/>
  <c r="T308" i="58" s="1"/>
  <c r="T304" i="58"/>
  <c r="T305" i="58" s="1"/>
  <c r="T263" i="58"/>
  <c r="T154" i="58"/>
  <c r="T155" i="58" s="1"/>
  <c r="T15" i="58"/>
  <c r="T365" i="58"/>
  <c r="T440" i="58"/>
  <c r="T216" i="58"/>
  <c r="T212" i="58" s="1"/>
  <c r="T284" i="58"/>
  <c r="T312" i="58"/>
  <c r="T493" i="58" s="1"/>
  <c r="T190" i="58"/>
  <c r="S269" i="58"/>
  <c r="S271" i="58" s="1"/>
  <c r="S272" i="58" s="1"/>
  <c r="S299" i="58" s="1"/>
  <c r="R114" i="59"/>
  <c r="S380" i="59"/>
  <c r="S114" i="59" s="1"/>
  <c r="N430" i="58"/>
  <c r="N432" i="58" s="1"/>
  <c r="T426" i="58"/>
  <c r="S475" i="58"/>
  <c r="S483" i="58" s="1"/>
  <c r="S99" i="58"/>
  <c r="S366" i="59"/>
  <c r="T363" i="59"/>
  <c r="S74" i="59"/>
  <c r="S465" i="59"/>
  <c r="S146" i="58"/>
  <c r="S476" i="58"/>
  <c r="T317" i="58"/>
  <c r="S318" i="58"/>
  <c r="N199" i="58"/>
  <c r="S99" i="59"/>
  <c r="S475" i="59"/>
  <c r="S483" i="59" s="1"/>
  <c r="T426" i="59"/>
  <c r="P183" i="58"/>
  <c r="S172" i="58"/>
  <c r="S175" i="58" s="1"/>
  <c r="S166" i="58"/>
  <c r="S169" i="58" s="1"/>
  <c r="S261" i="58"/>
  <c r="T127" i="58"/>
  <c r="R324" i="59"/>
  <c r="S457" i="59"/>
  <c r="T330" i="59"/>
  <c r="R247" i="58"/>
  <c r="Q296" i="58"/>
  <c r="P482" i="58"/>
  <c r="P469" i="58"/>
  <c r="T409" i="59"/>
  <c r="T15" i="59"/>
  <c r="T312" i="59"/>
  <c r="T216" i="59"/>
  <c r="T212" i="59" s="1"/>
  <c r="T365" i="59"/>
  <c r="T307" i="59"/>
  <c r="T308" i="59" s="1"/>
  <c r="T134" i="59"/>
  <c r="T304" i="59"/>
  <c r="T305" i="59" s="1"/>
  <c r="T280" i="59"/>
  <c r="T14" i="59"/>
  <c r="T167" i="59" s="1"/>
  <c r="T269" i="59" s="1"/>
  <c r="T271" i="59" s="1"/>
  <c r="T263" i="59"/>
  <c r="T440" i="59"/>
  <c r="T284" i="59"/>
  <c r="T136" i="59"/>
  <c r="T154" i="59"/>
  <c r="T155" i="59" s="1"/>
  <c r="T276" i="59"/>
  <c r="T140" i="59"/>
  <c r="T141" i="59" s="1"/>
  <c r="S269" i="59"/>
  <c r="S271" i="59" s="1"/>
  <c r="S272" i="59" s="1"/>
  <c r="S299" i="59" s="1"/>
  <c r="S137" i="59"/>
  <c r="S456" i="59"/>
  <c r="S81" i="59" s="1"/>
  <c r="S129" i="59"/>
  <c r="S131" i="59" s="1"/>
  <c r="T124" i="59"/>
  <c r="S492" i="58"/>
  <c r="S443" i="58"/>
  <c r="S109" i="58" s="1"/>
  <c r="S213" i="58"/>
  <c r="S214" i="58" s="1"/>
  <c r="S129" i="58"/>
  <c r="S131" i="58" s="1"/>
  <c r="S455" i="58" s="1"/>
  <c r="T124" i="58"/>
  <c r="S380" i="58"/>
  <c r="T379" i="58"/>
  <c r="T497" i="58" s="1"/>
  <c r="S497" i="58"/>
  <c r="T408" i="59"/>
  <c r="T339" i="59"/>
  <c r="M112" i="59"/>
  <c r="S410" i="58"/>
  <c r="T407" i="58"/>
  <c r="S464" i="58"/>
  <c r="T130" i="59"/>
  <c r="R324" i="58"/>
  <c r="S457" i="58"/>
  <c r="R147" i="58"/>
  <c r="R458" i="58"/>
  <c r="R474" i="58" s="1"/>
  <c r="R477" i="58" s="1"/>
  <c r="T408" i="58"/>
  <c r="T166" i="58"/>
  <c r="T172" i="58"/>
  <c r="T175" i="58" s="1"/>
  <c r="R262" i="58"/>
  <c r="R264" i="58"/>
  <c r="S261" i="59"/>
  <c r="T127" i="59"/>
  <c r="O431" i="58"/>
  <c r="T409" i="58"/>
  <c r="O199" i="58" l="1"/>
  <c r="J39" i="59"/>
  <c r="J43" i="59" s="1"/>
  <c r="J120" i="59" s="1"/>
  <c r="O96" i="59"/>
  <c r="P404" i="59"/>
  <c r="Q402" i="59"/>
  <c r="P466" i="59"/>
  <c r="Q298" i="59"/>
  <c r="Q300" i="59" s="1"/>
  <c r="N358" i="59"/>
  <c r="R322" i="59"/>
  <c r="N395" i="59"/>
  <c r="N393" i="59" s="1"/>
  <c r="N394" i="59" s="1"/>
  <c r="N388" i="59" s="1"/>
  <c r="M389" i="59"/>
  <c r="K105" i="59"/>
  <c r="O70" i="59"/>
  <c r="N331" i="59"/>
  <c r="N335" i="59" s="1"/>
  <c r="L431" i="59"/>
  <c r="K92" i="59"/>
  <c r="Q317" i="59"/>
  <c r="P476" i="59"/>
  <c r="N75" i="59"/>
  <c r="N356" i="59"/>
  <c r="N318" i="59"/>
  <c r="N319" i="59" s="1"/>
  <c r="L191" i="59"/>
  <c r="L192" i="59"/>
  <c r="L396" i="59"/>
  <c r="M190" i="59"/>
  <c r="K110" i="59"/>
  <c r="K111" i="59" s="1"/>
  <c r="K101" i="59"/>
  <c r="K94" i="59"/>
  <c r="J73" i="59"/>
  <c r="J76" i="59" s="1"/>
  <c r="J47" i="59"/>
  <c r="J57" i="59"/>
  <c r="J58" i="59"/>
  <c r="L208" i="59"/>
  <c r="K146" i="59"/>
  <c r="K149" i="59"/>
  <c r="S402" i="58"/>
  <c r="S466" i="58" s="1"/>
  <c r="S469" i="58" s="1"/>
  <c r="R403" i="58"/>
  <c r="Q298" i="58"/>
  <c r="Q300" i="58" s="1"/>
  <c r="T452" i="59"/>
  <c r="O93" i="58"/>
  <c r="T129" i="58"/>
  <c r="T131" i="58" s="1"/>
  <c r="T455" i="58" s="1"/>
  <c r="S367" i="58"/>
  <c r="S95" i="58" s="1"/>
  <c r="T169" i="58"/>
  <c r="T86" i="58" s="1"/>
  <c r="T272" i="59"/>
  <c r="T299" i="59" s="1"/>
  <c r="T313" i="58"/>
  <c r="T42" i="58" s="1"/>
  <c r="M433" i="58"/>
  <c r="M87" i="58" s="1"/>
  <c r="N184" i="58"/>
  <c r="N187" i="58" s="1"/>
  <c r="T344" i="58"/>
  <c r="T452" i="58"/>
  <c r="R265" i="58"/>
  <c r="O186" i="59"/>
  <c r="R265" i="59"/>
  <c r="T213" i="59"/>
  <c r="T214" i="59" s="1"/>
  <c r="S80" i="58"/>
  <c r="T261" i="59"/>
  <c r="N500" i="58"/>
  <c r="N501" i="58" s="1"/>
  <c r="N62" i="58"/>
  <c r="T313" i="59"/>
  <c r="T493" i="59"/>
  <c r="R296" i="58"/>
  <c r="S247" i="58"/>
  <c r="S249" i="58" s="1"/>
  <c r="Q183" i="58"/>
  <c r="T475" i="59"/>
  <c r="T483" i="59" s="1"/>
  <c r="T99" i="59"/>
  <c r="T366" i="59"/>
  <c r="T74" i="59"/>
  <c r="T465" i="59"/>
  <c r="T489" i="58"/>
  <c r="T443" i="58"/>
  <c r="T109" i="58" s="1"/>
  <c r="T492" i="58"/>
  <c r="T384" i="59"/>
  <c r="T115" i="59" s="1"/>
  <c r="T498" i="59"/>
  <c r="K470" i="58"/>
  <c r="K49" i="58" s="1"/>
  <c r="K473" i="58"/>
  <c r="P83" i="58"/>
  <c r="Q150" i="58"/>
  <c r="P151" i="58"/>
  <c r="Q196" i="58"/>
  <c r="S247" i="59"/>
  <c r="S455" i="59"/>
  <c r="S82" i="58"/>
  <c r="S84" i="58" s="1"/>
  <c r="T457" i="58"/>
  <c r="S324" i="58"/>
  <c r="T137" i="59"/>
  <c r="T456" i="59"/>
  <c r="T81" i="59" s="1"/>
  <c r="S147" i="58"/>
  <c r="S458" i="58"/>
  <c r="O323" i="58"/>
  <c r="O325" i="58" s="1"/>
  <c r="R496" i="58"/>
  <c r="S170" i="58"/>
  <c r="S459" i="58" s="1"/>
  <c r="S86" i="58"/>
  <c r="R249" i="58"/>
  <c r="R250" i="58" s="1"/>
  <c r="T272" i="58"/>
  <c r="T299" i="58" s="1"/>
  <c r="T488" i="58"/>
  <c r="T309" i="58"/>
  <c r="T40" i="58" s="1"/>
  <c r="S319" i="58"/>
  <c r="S149" i="58" s="1"/>
  <c r="M391" i="58"/>
  <c r="N398" i="58" s="1"/>
  <c r="T410" i="59"/>
  <c r="K484" i="58"/>
  <c r="K506" i="58" s="1"/>
  <c r="K487" i="58"/>
  <c r="K502" i="58" s="1"/>
  <c r="S494" i="58"/>
  <c r="S116" i="58"/>
  <c r="T437" i="58"/>
  <c r="T116" i="58" s="1"/>
  <c r="O186" i="58"/>
  <c r="R404" i="58"/>
  <c r="R96" i="58" s="1"/>
  <c r="T410" i="58"/>
  <c r="T464" i="58"/>
  <c r="S324" i="59"/>
  <c r="T457" i="59"/>
  <c r="T261" i="58"/>
  <c r="T146" i="58"/>
  <c r="T476" i="58"/>
  <c r="T318" i="58"/>
  <c r="S82" i="59"/>
  <c r="S84" i="59" s="1"/>
  <c r="T169" i="59"/>
  <c r="N326" i="59"/>
  <c r="N495" i="59"/>
  <c r="S115" i="58"/>
  <c r="T384" i="58"/>
  <c r="T115" i="58" s="1"/>
  <c r="T437" i="59"/>
  <c r="T116" i="59" s="1"/>
  <c r="T499" i="59"/>
  <c r="O460" i="58"/>
  <c r="P431" i="58"/>
  <c r="P460" i="58" s="1"/>
  <c r="S264" i="59"/>
  <c r="S262" i="59"/>
  <c r="S114" i="58"/>
  <c r="T380" i="58"/>
  <c r="T114" i="58" s="1"/>
  <c r="T213" i="58"/>
  <c r="T214" i="58" s="1"/>
  <c r="T129" i="59"/>
  <c r="T131" i="59" s="1"/>
  <c r="T492" i="59"/>
  <c r="T443" i="59"/>
  <c r="T109" i="59" s="1"/>
  <c r="T488" i="59"/>
  <c r="T309" i="59"/>
  <c r="T40" i="59" s="1"/>
  <c r="S262" i="58"/>
  <c r="S264" i="58"/>
  <c r="T99" i="58"/>
  <c r="T475" i="58"/>
  <c r="T483" i="58" s="1"/>
  <c r="R482" i="58"/>
  <c r="T137" i="58"/>
  <c r="T456" i="58"/>
  <c r="T81" i="58" s="1"/>
  <c r="T366" i="58"/>
  <c r="T465" i="58"/>
  <c r="T74" i="58"/>
  <c r="T364" i="58"/>
  <c r="N430" i="59"/>
  <c r="S170" i="59"/>
  <c r="S459" i="59" s="1"/>
  <c r="S86" i="59"/>
  <c r="K204" i="58"/>
  <c r="K205" i="58"/>
  <c r="K206" i="58"/>
  <c r="K90" i="58"/>
  <c r="K91" i="58" s="1"/>
  <c r="R249" i="59"/>
  <c r="R250" i="59" s="1"/>
  <c r="R296" i="59"/>
  <c r="Q482" i="58"/>
  <c r="T380" i="59"/>
  <c r="T114" i="59" s="1"/>
  <c r="T497" i="59"/>
  <c r="T331" i="58"/>
  <c r="T335" i="58" s="1"/>
  <c r="O85" i="58"/>
  <c r="O113" i="58"/>
  <c r="O199" i="59"/>
  <c r="R298" i="59" l="1"/>
  <c r="R300" i="59" s="1"/>
  <c r="P186" i="58"/>
  <c r="R402" i="59"/>
  <c r="Q466" i="59"/>
  <c r="P96" i="59"/>
  <c r="Q404" i="59"/>
  <c r="R298" i="58"/>
  <c r="R300" i="58" s="1"/>
  <c r="J7" i="59"/>
  <c r="J8" i="59" s="1"/>
  <c r="O395" i="59"/>
  <c r="N389" i="59"/>
  <c r="L397" i="59"/>
  <c r="L432" i="59"/>
  <c r="L198" i="59"/>
  <c r="M185" i="59" s="1"/>
  <c r="S322" i="59"/>
  <c r="S403" i="58"/>
  <c r="N190" i="59"/>
  <c r="M489" i="59"/>
  <c r="M494" i="59" s="1"/>
  <c r="M196" i="59"/>
  <c r="N183" i="59" s="1"/>
  <c r="L197" i="59"/>
  <c r="L193" i="59"/>
  <c r="L106" i="59" s="1"/>
  <c r="O357" i="59"/>
  <c r="O329" i="59"/>
  <c r="O361" i="59"/>
  <c r="O364" i="59" s="1"/>
  <c r="O367" i="59" s="1"/>
  <c r="O95" i="59" s="1"/>
  <c r="O401" i="59"/>
  <c r="O403" i="59" s="1"/>
  <c r="O316" i="59"/>
  <c r="O338" i="59"/>
  <c r="O340" i="59" s="1"/>
  <c r="O344" i="59" s="1"/>
  <c r="O387" i="59"/>
  <c r="Q476" i="59"/>
  <c r="R317" i="59"/>
  <c r="L460" i="59"/>
  <c r="M464" i="59"/>
  <c r="M469" i="59" s="1"/>
  <c r="T402" i="58"/>
  <c r="T466" i="58" s="1"/>
  <c r="T469" i="58" s="1"/>
  <c r="K458" i="59"/>
  <c r="K147" i="59"/>
  <c r="M208" i="59"/>
  <c r="L146" i="59"/>
  <c r="L149" i="59"/>
  <c r="K221" i="59"/>
  <c r="J77" i="59"/>
  <c r="M117" i="58"/>
  <c r="M118" i="58" s="1"/>
  <c r="T455" i="59"/>
  <c r="T80" i="59" s="1"/>
  <c r="T170" i="58"/>
  <c r="T459" i="58" s="1"/>
  <c r="P199" i="59"/>
  <c r="P93" i="58"/>
  <c r="S496" i="58"/>
  <c r="S265" i="59"/>
  <c r="P199" i="58"/>
  <c r="Q199" i="58" s="1"/>
  <c r="R196" i="58"/>
  <c r="S474" i="58"/>
  <c r="S477" i="58" s="1"/>
  <c r="K207" i="58"/>
  <c r="K485" i="58"/>
  <c r="T367" i="58"/>
  <c r="T95" i="58" s="1"/>
  <c r="S265" i="58"/>
  <c r="K478" i="58"/>
  <c r="K100" i="58"/>
  <c r="K119" i="58"/>
  <c r="O323" i="59"/>
  <c r="O325" i="59" s="1"/>
  <c r="O326" i="59" s="1"/>
  <c r="T147" i="58"/>
  <c r="T458" i="58"/>
  <c r="M392" i="58"/>
  <c r="M38" i="58"/>
  <c r="M41" i="58"/>
  <c r="M56" i="58"/>
  <c r="T324" i="58"/>
  <c r="S80" i="59"/>
  <c r="S250" i="58"/>
  <c r="T494" i="58"/>
  <c r="N112" i="59"/>
  <c r="T264" i="58"/>
  <c r="T262" i="58"/>
  <c r="O495" i="58"/>
  <c r="O326" i="58"/>
  <c r="S249" i="59"/>
  <c r="S250" i="59" s="1"/>
  <c r="S296" i="59"/>
  <c r="T247" i="59"/>
  <c r="R150" i="58"/>
  <c r="Q151" i="58"/>
  <c r="T82" i="58"/>
  <c r="T84" i="58" s="1"/>
  <c r="R183" i="58"/>
  <c r="T42" i="59"/>
  <c r="S404" i="58"/>
  <c r="S96" i="58" s="1"/>
  <c r="P186" i="59"/>
  <c r="Q431" i="58"/>
  <c r="Q460" i="58" s="1"/>
  <c r="N192" i="58"/>
  <c r="N198" i="58" s="1"/>
  <c r="O185" i="58" s="1"/>
  <c r="N191" i="58"/>
  <c r="N396" i="58"/>
  <c r="T86" i="59"/>
  <c r="T170" i="59"/>
  <c r="T459" i="59" s="1"/>
  <c r="T324" i="59"/>
  <c r="K508" i="58"/>
  <c r="K509" i="58" s="1"/>
  <c r="L507" i="58"/>
  <c r="O430" i="58"/>
  <c r="P85" i="58"/>
  <c r="P113" i="58"/>
  <c r="Q83" i="58"/>
  <c r="S296" i="58"/>
  <c r="T247" i="58"/>
  <c r="T262" i="59"/>
  <c r="T264" i="59"/>
  <c r="T319" i="58"/>
  <c r="T149" i="58" s="1"/>
  <c r="T80" i="58"/>
  <c r="T82" i="59"/>
  <c r="T84" i="59" s="1"/>
  <c r="S298" i="58" l="1"/>
  <c r="S300" i="58" s="1"/>
  <c r="S298" i="59"/>
  <c r="S300" i="59" s="1"/>
  <c r="T403" i="58"/>
  <c r="Q96" i="59"/>
  <c r="R404" i="59"/>
  <c r="S402" i="59"/>
  <c r="R466" i="59"/>
  <c r="L200" i="59"/>
  <c r="Q186" i="58"/>
  <c r="R186" i="58" s="1"/>
  <c r="N489" i="59"/>
  <c r="N494" i="59" s="1"/>
  <c r="O190" i="59"/>
  <c r="N196" i="59"/>
  <c r="O183" i="59" s="1"/>
  <c r="L390" i="59"/>
  <c r="L433" i="59"/>
  <c r="L62" i="59"/>
  <c r="L500" i="59"/>
  <c r="S317" i="59"/>
  <c r="R476" i="59"/>
  <c r="O358" i="59"/>
  <c r="O393" i="59"/>
  <c r="O394" i="59" s="1"/>
  <c r="O388" i="59" s="1"/>
  <c r="M431" i="59"/>
  <c r="M460" i="59" s="1"/>
  <c r="N464" i="59"/>
  <c r="N469" i="59" s="1"/>
  <c r="O75" i="59"/>
  <c r="O356" i="59"/>
  <c r="O318" i="59"/>
  <c r="O319" i="59" s="1"/>
  <c r="Q186" i="59"/>
  <c r="P70" i="59"/>
  <c r="O331" i="59"/>
  <c r="O335" i="59" s="1"/>
  <c r="M184" i="59"/>
  <c r="M187" i="59" s="1"/>
  <c r="T322" i="59"/>
  <c r="L391" i="59"/>
  <c r="K496" i="59"/>
  <c r="K501" i="59" s="1"/>
  <c r="L458" i="59"/>
  <c r="L474" i="59" s="1"/>
  <c r="N208" i="59"/>
  <c r="M146" i="59"/>
  <c r="M149" i="59"/>
  <c r="K474" i="59"/>
  <c r="L147" i="59"/>
  <c r="K150" i="59"/>
  <c r="K151" i="59" s="1"/>
  <c r="S196" i="58"/>
  <c r="S482" i="58"/>
  <c r="T265" i="59"/>
  <c r="O430" i="59"/>
  <c r="T265" i="58"/>
  <c r="R199" i="58"/>
  <c r="S199" i="58" s="1"/>
  <c r="L461" i="58"/>
  <c r="N193" i="58"/>
  <c r="N106" i="58" s="1"/>
  <c r="N197" i="58"/>
  <c r="Q93" i="58"/>
  <c r="O112" i="59"/>
  <c r="M94" i="58"/>
  <c r="M105" i="58"/>
  <c r="M92" i="58"/>
  <c r="O495" i="59"/>
  <c r="T404" i="58"/>
  <c r="T96" i="58" s="1"/>
  <c r="Q113" i="58"/>
  <c r="Q85" i="58"/>
  <c r="O432" i="58"/>
  <c r="P323" i="58"/>
  <c r="P325" i="58" s="1"/>
  <c r="P326" i="58" s="1"/>
  <c r="K69" i="58"/>
  <c r="K510" i="58"/>
  <c r="K46" i="58" s="1"/>
  <c r="Q199" i="59"/>
  <c r="R83" i="58"/>
  <c r="R151" i="58"/>
  <c r="O112" i="58"/>
  <c r="M101" i="58"/>
  <c r="M110" i="58"/>
  <c r="M111" i="58" s="1"/>
  <c r="T296" i="58"/>
  <c r="T249" i="58"/>
  <c r="T250" i="58" s="1"/>
  <c r="R431" i="58"/>
  <c r="S183" i="58"/>
  <c r="T296" i="59"/>
  <c r="T249" i="59"/>
  <c r="T250" i="59" s="1"/>
  <c r="K513" i="58"/>
  <c r="K102" i="58"/>
  <c r="K103" i="58" s="1"/>
  <c r="S150" i="58"/>
  <c r="K72" i="58"/>
  <c r="K53" i="58"/>
  <c r="K60" i="58"/>
  <c r="K511" i="58"/>
  <c r="K45" i="58" s="1"/>
  <c r="N397" i="58"/>
  <c r="N391" i="58" s="1"/>
  <c r="T496" i="58"/>
  <c r="T474" i="58"/>
  <c r="T298" i="59" l="1"/>
  <c r="T300" i="59" s="1"/>
  <c r="S466" i="59"/>
  <c r="T402" i="59"/>
  <c r="T466" i="59" s="1"/>
  <c r="R96" i="59"/>
  <c r="S404" i="59"/>
  <c r="R199" i="59"/>
  <c r="P357" i="59"/>
  <c r="P361" i="59"/>
  <c r="P364" i="59" s="1"/>
  <c r="P367" i="59" s="1"/>
  <c r="P95" i="59" s="1"/>
  <c r="P316" i="59"/>
  <c r="P387" i="59"/>
  <c r="P401" i="59"/>
  <c r="P403" i="59" s="1"/>
  <c r="P338" i="59"/>
  <c r="P340" i="59" s="1"/>
  <c r="P344" i="59" s="1"/>
  <c r="P329" i="59"/>
  <c r="L117" i="59"/>
  <c r="O489" i="59"/>
  <c r="O494" i="59" s="1"/>
  <c r="O196" i="59"/>
  <c r="P395" i="59"/>
  <c r="P190" i="59" s="1"/>
  <c r="O464" i="59"/>
  <c r="O469" i="59" s="1"/>
  <c r="T317" i="59"/>
  <c r="T476" i="59" s="1"/>
  <c r="S476" i="59"/>
  <c r="M398" i="59"/>
  <c r="L38" i="59"/>
  <c r="L41" i="59"/>
  <c r="L94" i="59" s="1"/>
  <c r="L56" i="59"/>
  <c r="N431" i="59"/>
  <c r="M432" i="59"/>
  <c r="O389" i="59"/>
  <c r="L392" i="59"/>
  <c r="L92" i="59"/>
  <c r="L87" i="59"/>
  <c r="M147" i="59"/>
  <c r="K477" i="59"/>
  <c r="K482" i="59"/>
  <c r="O208" i="59"/>
  <c r="N146" i="59"/>
  <c r="N149" i="59"/>
  <c r="K507" i="59"/>
  <c r="K461" i="59" s="1"/>
  <c r="L150" i="59"/>
  <c r="K83" i="59"/>
  <c r="M458" i="59"/>
  <c r="M474" i="59" s="1"/>
  <c r="L496" i="59"/>
  <c r="L501" i="59" s="1"/>
  <c r="L151" i="59"/>
  <c r="L477" i="59"/>
  <c r="L482" i="59"/>
  <c r="R186" i="59"/>
  <c r="S186" i="59" s="1"/>
  <c r="P323" i="59"/>
  <c r="P325" i="59" s="1"/>
  <c r="P495" i="59" s="1"/>
  <c r="T196" i="58"/>
  <c r="P430" i="58"/>
  <c r="Q323" i="58" s="1"/>
  <c r="Q325" i="58" s="1"/>
  <c r="S186" i="58"/>
  <c r="M98" i="58"/>
  <c r="K48" i="58"/>
  <c r="P112" i="58"/>
  <c r="N41" i="58"/>
  <c r="N105" i="58" s="1"/>
  <c r="N38" i="58"/>
  <c r="N56" i="58"/>
  <c r="O62" i="58"/>
  <c r="O500" i="58"/>
  <c r="O501" i="58" s="1"/>
  <c r="K50" i="58"/>
  <c r="K47" i="58"/>
  <c r="O184" i="58"/>
  <c r="O187" i="58" s="1"/>
  <c r="N200" i="58"/>
  <c r="N433" i="58"/>
  <c r="L203" i="58"/>
  <c r="L481" i="58"/>
  <c r="L463" i="58"/>
  <c r="T150" i="58"/>
  <c r="T151" i="58" s="1"/>
  <c r="S151" i="58"/>
  <c r="T183" i="58"/>
  <c r="T477" i="58"/>
  <c r="T482" i="58"/>
  <c r="N390" i="58"/>
  <c r="R93" i="58"/>
  <c r="K61" i="58"/>
  <c r="K63" i="58" s="1"/>
  <c r="K71" i="58"/>
  <c r="K73" i="58" s="1"/>
  <c r="K76" i="58" s="1"/>
  <c r="K515" i="58"/>
  <c r="L514" i="58"/>
  <c r="S431" i="58"/>
  <c r="S460" i="58" s="1"/>
  <c r="R460" i="58"/>
  <c r="T298" i="58"/>
  <c r="T300" i="58" s="1"/>
  <c r="R113" i="58"/>
  <c r="S83" i="58"/>
  <c r="R85" i="58"/>
  <c r="P495" i="58"/>
  <c r="S96" i="59" l="1"/>
  <c r="T404" i="59"/>
  <c r="T96" i="59" s="1"/>
  <c r="M150" i="59"/>
  <c r="M151" i="59" s="1"/>
  <c r="P489" i="59"/>
  <c r="P494" i="59" s="1"/>
  <c r="P196" i="59"/>
  <c r="M396" i="59"/>
  <c r="M192" i="59"/>
  <c r="M191" i="59"/>
  <c r="Q70" i="59"/>
  <c r="P331" i="59"/>
  <c r="P335" i="59" s="1"/>
  <c r="S199" i="59"/>
  <c r="T186" i="59" s="1"/>
  <c r="N460" i="59"/>
  <c r="O431" i="59"/>
  <c r="O460" i="59" s="1"/>
  <c r="N432" i="59"/>
  <c r="L105" i="59"/>
  <c r="P75" i="59"/>
  <c r="P356" i="59"/>
  <c r="P318" i="59"/>
  <c r="P319" i="59" s="1"/>
  <c r="M62" i="59"/>
  <c r="M500" i="59"/>
  <c r="L110" i="59"/>
  <c r="L111" i="59" s="1"/>
  <c r="L101" i="59"/>
  <c r="P358" i="59"/>
  <c r="P393" i="59"/>
  <c r="P394" i="59" s="1"/>
  <c r="P388" i="59" s="1"/>
  <c r="P389" i="59" s="1"/>
  <c r="P183" i="59"/>
  <c r="Q183" i="59" s="1"/>
  <c r="M477" i="59"/>
  <c r="M482" i="59"/>
  <c r="K85" i="59"/>
  <c r="K113" i="59"/>
  <c r="K118" i="59" s="1"/>
  <c r="L83" i="59"/>
  <c r="L93" i="59" s="1"/>
  <c r="L98" i="59" s="1"/>
  <c r="N147" i="59"/>
  <c r="K93" i="59"/>
  <c r="K98" i="59" s="1"/>
  <c r="P208" i="59"/>
  <c r="O146" i="59"/>
  <c r="O149" i="59"/>
  <c r="M496" i="59"/>
  <c r="N458" i="59"/>
  <c r="K203" i="59"/>
  <c r="K481" i="59"/>
  <c r="K463" i="59"/>
  <c r="P326" i="59"/>
  <c r="P112" i="59" s="1"/>
  <c r="P430" i="59"/>
  <c r="Q323" i="59" s="1"/>
  <c r="Q325" i="59" s="1"/>
  <c r="P432" i="58"/>
  <c r="P500" i="58" s="1"/>
  <c r="P501" i="58" s="1"/>
  <c r="S93" i="58"/>
  <c r="Q430" i="58"/>
  <c r="R323" i="58" s="1"/>
  <c r="R325" i="58" s="1"/>
  <c r="L221" i="58"/>
  <c r="K471" i="58"/>
  <c r="T199" i="58"/>
  <c r="T186" i="58"/>
  <c r="S113" i="58"/>
  <c r="T83" i="58"/>
  <c r="T93" i="58" s="1"/>
  <c r="S85" i="58"/>
  <c r="K517" i="58"/>
  <c r="K36" i="58" s="1"/>
  <c r="K68" i="58"/>
  <c r="K54" i="58" s="1"/>
  <c r="K55" i="58" s="1"/>
  <c r="K57" i="58" s="1"/>
  <c r="K516" i="58"/>
  <c r="K37" i="58" s="1"/>
  <c r="Q495" i="58"/>
  <c r="N101" i="58"/>
  <c r="N110" i="58"/>
  <c r="N111" i="58" s="1"/>
  <c r="N117" i="58"/>
  <c r="N118" i="58" s="1"/>
  <c r="K503" i="58"/>
  <c r="K65" i="58"/>
  <c r="O398" i="58"/>
  <c r="N392" i="58"/>
  <c r="N94" i="58"/>
  <c r="N92" i="58"/>
  <c r="L470" i="58"/>
  <c r="L473" i="58"/>
  <c r="N87" i="58"/>
  <c r="L88" i="58"/>
  <c r="L484" i="58"/>
  <c r="L506" i="58" s="1"/>
  <c r="L487" i="58"/>
  <c r="L502" i="58" s="1"/>
  <c r="Q326" i="58"/>
  <c r="T431" i="58"/>
  <c r="T460" i="58" s="1"/>
  <c r="N150" i="59" l="1"/>
  <c r="N151" i="59" s="1"/>
  <c r="T199" i="59"/>
  <c r="M197" i="59"/>
  <c r="M193" i="59"/>
  <c r="M106" i="59" s="1"/>
  <c r="N500" i="59"/>
  <c r="N62" i="59"/>
  <c r="M501" i="59"/>
  <c r="K514" i="59"/>
  <c r="K88" i="59" s="1"/>
  <c r="K90" i="59" s="1"/>
  <c r="K91" i="59" s="1"/>
  <c r="P431" i="59"/>
  <c r="P460" i="59" s="1"/>
  <c r="O432" i="59"/>
  <c r="M198" i="59"/>
  <c r="N185" i="59" s="1"/>
  <c r="Q395" i="59"/>
  <c r="Q190" i="59" s="1"/>
  <c r="P464" i="59"/>
  <c r="P469" i="59" s="1"/>
  <c r="Q357" i="59"/>
  <c r="Q316" i="59"/>
  <c r="Q387" i="59"/>
  <c r="Q361" i="59"/>
  <c r="Q364" i="59" s="1"/>
  <c r="Q367" i="59" s="1"/>
  <c r="Q95" i="59" s="1"/>
  <c r="Q338" i="59"/>
  <c r="Q340" i="59" s="1"/>
  <c r="Q344" i="59" s="1"/>
  <c r="Q329" i="59"/>
  <c r="Q401" i="59"/>
  <c r="Q403" i="59" s="1"/>
  <c r="M397" i="59"/>
  <c r="K473" i="59"/>
  <c r="K470" i="59"/>
  <c r="Q208" i="59"/>
  <c r="P146" i="59"/>
  <c r="P149" i="59"/>
  <c r="K487" i="59"/>
  <c r="K502" i="59" s="1"/>
  <c r="K484" i="59"/>
  <c r="K506" i="59" s="1"/>
  <c r="O458" i="59"/>
  <c r="O474" i="59" s="1"/>
  <c r="N496" i="59"/>
  <c r="O147" i="59"/>
  <c r="N474" i="59"/>
  <c r="L113" i="59"/>
  <c r="L118" i="59" s="1"/>
  <c r="M83" i="59"/>
  <c r="M93" i="59" s="1"/>
  <c r="L85" i="59"/>
  <c r="Q432" i="58"/>
  <c r="Q62" i="58" s="1"/>
  <c r="P62" i="58"/>
  <c r="K7" i="58"/>
  <c r="K8" i="58" s="1"/>
  <c r="R430" i="58"/>
  <c r="S323" i="58" s="1"/>
  <c r="S325" i="58" s="1"/>
  <c r="M507" i="58"/>
  <c r="L508" i="58"/>
  <c r="L90" i="58"/>
  <c r="L91" i="58" s="1"/>
  <c r="L205" i="58"/>
  <c r="L204" i="58"/>
  <c r="L206" i="58"/>
  <c r="O191" i="58"/>
  <c r="O396" i="58"/>
  <c r="O192" i="58"/>
  <c r="O198" i="58" s="1"/>
  <c r="P185" i="58" s="1"/>
  <c r="Q326" i="59"/>
  <c r="Q495" i="59"/>
  <c r="N98" i="58"/>
  <c r="T113" i="58"/>
  <c r="T85" i="58"/>
  <c r="Q112" i="58"/>
  <c r="R326" i="58"/>
  <c r="L49" i="58"/>
  <c r="L478" i="58"/>
  <c r="K44" i="58"/>
  <c r="K39" i="58"/>
  <c r="K43" i="58" s="1"/>
  <c r="L485" i="58"/>
  <c r="Q430" i="59"/>
  <c r="R495" i="58"/>
  <c r="K204" i="59" l="1"/>
  <c r="P432" i="59"/>
  <c r="K205" i="59"/>
  <c r="Q393" i="59"/>
  <c r="Q394" i="59" s="1"/>
  <c r="Q388" i="59" s="1"/>
  <c r="Q358" i="59"/>
  <c r="Q489" i="59"/>
  <c r="Q494" i="59" s="1"/>
  <c r="Q196" i="59"/>
  <c r="N501" i="59"/>
  <c r="K206" i="59"/>
  <c r="R70" i="59"/>
  <c r="Q331" i="59"/>
  <c r="Q335" i="59" s="1"/>
  <c r="Q75" i="59"/>
  <c r="Q356" i="59"/>
  <c r="Q318" i="59"/>
  <c r="Q319" i="59" s="1"/>
  <c r="O500" i="59"/>
  <c r="O62" i="59"/>
  <c r="M391" i="59"/>
  <c r="M390" i="59"/>
  <c r="N184" i="59"/>
  <c r="M200" i="59"/>
  <c r="M433" i="59"/>
  <c r="O477" i="59"/>
  <c r="O482" i="59"/>
  <c r="R208" i="59"/>
  <c r="Q146" i="59"/>
  <c r="L507" i="59"/>
  <c r="L461" i="59" s="1"/>
  <c r="K508" i="59"/>
  <c r="M113" i="59"/>
  <c r="N83" i="59"/>
  <c r="M85" i="59"/>
  <c r="O496" i="59"/>
  <c r="O501" i="59" s="1"/>
  <c r="P458" i="59"/>
  <c r="K478" i="59"/>
  <c r="K49" i="59"/>
  <c r="N477" i="59"/>
  <c r="N482" i="59"/>
  <c r="K485" i="59"/>
  <c r="K119" i="59"/>
  <c r="K100" i="59"/>
  <c r="P147" i="59"/>
  <c r="O150" i="59"/>
  <c r="Q500" i="58"/>
  <c r="Q501" i="58" s="1"/>
  <c r="R432" i="58"/>
  <c r="R500" i="58" s="1"/>
  <c r="R501" i="58" s="1"/>
  <c r="L207" i="58"/>
  <c r="R112" i="58"/>
  <c r="S326" i="58"/>
  <c r="S495" i="58"/>
  <c r="L69" i="58"/>
  <c r="Q112" i="59"/>
  <c r="O397" i="58"/>
  <c r="O391" i="58" s="1"/>
  <c r="O197" i="58"/>
  <c r="O193" i="58"/>
  <c r="O106" i="58" s="1"/>
  <c r="L509" i="58"/>
  <c r="R323" i="59"/>
  <c r="R325" i="59" s="1"/>
  <c r="R326" i="59" s="1"/>
  <c r="K120" i="58"/>
  <c r="K59" i="58"/>
  <c r="S430" i="58"/>
  <c r="L119" i="58"/>
  <c r="L100" i="58"/>
  <c r="M461" i="58"/>
  <c r="P62" i="59" l="1"/>
  <c r="P500" i="59"/>
  <c r="M87" i="59"/>
  <c r="P150" i="59"/>
  <c r="P151" i="59" s="1"/>
  <c r="K207" i="59"/>
  <c r="N187" i="59"/>
  <c r="M41" i="59"/>
  <c r="M92" i="59" s="1"/>
  <c r="M38" i="59"/>
  <c r="M56" i="59"/>
  <c r="R357" i="59"/>
  <c r="R316" i="59"/>
  <c r="R387" i="59"/>
  <c r="R329" i="59"/>
  <c r="R338" i="59"/>
  <c r="R340" i="59" s="1"/>
  <c r="R344" i="59" s="1"/>
  <c r="R401" i="59"/>
  <c r="R403" i="59" s="1"/>
  <c r="R361" i="59"/>
  <c r="R364" i="59" s="1"/>
  <c r="R367" i="59" s="1"/>
  <c r="R95" i="59" s="1"/>
  <c r="R395" i="59"/>
  <c r="Q464" i="59"/>
  <c r="Q469" i="59" s="1"/>
  <c r="R183" i="59"/>
  <c r="O151" i="59"/>
  <c r="Q149" i="59"/>
  <c r="Q431" i="59"/>
  <c r="M117" i="59"/>
  <c r="M118" i="59" s="1"/>
  <c r="M392" i="59"/>
  <c r="N398" i="59"/>
  <c r="Q389" i="59"/>
  <c r="K69" i="59"/>
  <c r="K102" i="59"/>
  <c r="K103" i="59" s="1"/>
  <c r="K513" i="59"/>
  <c r="L514" i="59" s="1"/>
  <c r="L88" i="59" s="1"/>
  <c r="L481" i="59"/>
  <c r="L203" i="59"/>
  <c r="L463" i="59"/>
  <c r="P496" i="59"/>
  <c r="Q458" i="59"/>
  <c r="Q147" i="59"/>
  <c r="N113" i="59"/>
  <c r="N85" i="59"/>
  <c r="O83" i="59"/>
  <c r="P474" i="59"/>
  <c r="K509" i="59"/>
  <c r="N93" i="59"/>
  <c r="S208" i="59"/>
  <c r="R146" i="59"/>
  <c r="R62" i="58"/>
  <c r="R430" i="59"/>
  <c r="R112" i="59"/>
  <c r="P184" i="58"/>
  <c r="O200" i="58"/>
  <c r="O433" i="58"/>
  <c r="O38" i="58"/>
  <c r="O41" i="58"/>
  <c r="O105" i="58" s="1"/>
  <c r="O56" i="58"/>
  <c r="S112" i="58"/>
  <c r="L513" i="58"/>
  <c r="L102" i="58"/>
  <c r="L103" i="58" s="1"/>
  <c r="T323" i="58"/>
  <c r="T325" i="58" s="1"/>
  <c r="T326" i="58" s="1"/>
  <c r="T112" i="58" s="1"/>
  <c r="S432" i="58"/>
  <c r="M203" i="58"/>
  <c r="M481" i="58"/>
  <c r="M463" i="58"/>
  <c r="L72" i="58"/>
  <c r="L60" i="58"/>
  <c r="L53" i="58"/>
  <c r="L511" i="58"/>
  <c r="L45" i="58" s="1"/>
  <c r="L510" i="58"/>
  <c r="L46" i="58" s="1"/>
  <c r="R495" i="59"/>
  <c r="O390" i="58"/>
  <c r="L61" i="58"/>
  <c r="L71" i="58"/>
  <c r="P501" i="59" l="1"/>
  <c r="Q150" i="59"/>
  <c r="Q151" i="59" s="1"/>
  <c r="M94" i="59"/>
  <c r="M98" i="59" s="1"/>
  <c r="O93" i="59"/>
  <c r="K515" i="59"/>
  <c r="K517" i="59" s="1"/>
  <c r="K36" i="59" s="1"/>
  <c r="N396" i="59"/>
  <c r="N192" i="59"/>
  <c r="N191" i="59"/>
  <c r="R190" i="59"/>
  <c r="S70" i="59"/>
  <c r="R331" i="59"/>
  <c r="R335" i="59" s="1"/>
  <c r="M105" i="59"/>
  <c r="R358" i="59"/>
  <c r="R393" i="59"/>
  <c r="R394" i="59" s="1"/>
  <c r="R388" i="59" s="1"/>
  <c r="S395" i="59" s="1"/>
  <c r="Q432" i="59"/>
  <c r="Q460" i="59"/>
  <c r="R356" i="59"/>
  <c r="R75" i="59"/>
  <c r="R318" i="59"/>
  <c r="R319" i="59" s="1"/>
  <c r="M110" i="59"/>
  <c r="M111" i="59" s="1"/>
  <c r="M101" i="59"/>
  <c r="K510" i="59"/>
  <c r="K46" i="59" s="1"/>
  <c r="K53" i="59"/>
  <c r="K511" i="59"/>
  <c r="K45" i="59" s="1"/>
  <c r="K72" i="59"/>
  <c r="K60" i="59"/>
  <c r="Q496" i="59"/>
  <c r="R458" i="59"/>
  <c r="R474" i="59" s="1"/>
  <c r="L484" i="59"/>
  <c r="L506" i="59" s="1"/>
  <c r="L487" i="59"/>
  <c r="L502" i="59" s="1"/>
  <c r="K71" i="59"/>
  <c r="K61" i="59"/>
  <c r="P477" i="59"/>
  <c r="P482" i="59"/>
  <c r="L90" i="59"/>
  <c r="L91" i="59" s="1"/>
  <c r="L206" i="59"/>
  <c r="L204" i="59"/>
  <c r="L205" i="59"/>
  <c r="R147" i="59"/>
  <c r="T208" i="59"/>
  <c r="S146" i="59"/>
  <c r="P83" i="59"/>
  <c r="O113" i="59"/>
  <c r="O85" i="59"/>
  <c r="Q474" i="59"/>
  <c r="L470" i="59"/>
  <c r="L473" i="59"/>
  <c r="S323" i="59"/>
  <c r="S325" i="59" s="1"/>
  <c r="S326" i="59" s="1"/>
  <c r="T430" i="58"/>
  <c r="T432" i="58" s="1"/>
  <c r="T500" i="58" s="1"/>
  <c r="O87" i="58"/>
  <c r="L48" i="58"/>
  <c r="O101" i="58"/>
  <c r="O110" i="58"/>
  <c r="O111" i="58" s="1"/>
  <c r="L50" i="58"/>
  <c r="L47" i="58"/>
  <c r="M470" i="58"/>
  <c r="M473" i="58"/>
  <c r="S500" i="58"/>
  <c r="S501" i="58" s="1"/>
  <c r="S62" i="58"/>
  <c r="M514" i="58"/>
  <c r="L515" i="58"/>
  <c r="P187" i="58"/>
  <c r="L63" i="58"/>
  <c r="M487" i="58"/>
  <c r="M502" i="58" s="1"/>
  <c r="M484" i="58"/>
  <c r="M506" i="58" s="1"/>
  <c r="P398" i="58"/>
  <c r="O94" i="58"/>
  <c r="O92" i="58"/>
  <c r="O392" i="58"/>
  <c r="L73" i="58"/>
  <c r="L76" i="58" s="1"/>
  <c r="T495" i="58"/>
  <c r="O117" i="58"/>
  <c r="O118" i="58" s="1"/>
  <c r="K68" i="59" l="1"/>
  <c r="K54" i="59" s="1"/>
  <c r="K55" i="59" s="1"/>
  <c r="K57" i="59" s="1"/>
  <c r="K516" i="59"/>
  <c r="K37" i="59" s="1"/>
  <c r="K44" i="59" s="1"/>
  <c r="K73" i="59"/>
  <c r="K76" i="59" s="1"/>
  <c r="L221" i="59" s="1"/>
  <c r="L207" i="59"/>
  <c r="R489" i="59"/>
  <c r="R494" i="59" s="1"/>
  <c r="S190" i="59"/>
  <c r="R196" i="59"/>
  <c r="N193" i="59"/>
  <c r="N106" i="59" s="1"/>
  <c r="N197" i="59"/>
  <c r="O184" i="59" s="1"/>
  <c r="S338" i="59"/>
  <c r="S340" i="59" s="1"/>
  <c r="S344" i="59" s="1"/>
  <c r="S357" i="59"/>
  <c r="S361" i="59"/>
  <c r="S364" i="59" s="1"/>
  <c r="S367" i="59" s="1"/>
  <c r="S95" i="59" s="1"/>
  <c r="S316" i="59"/>
  <c r="S387" i="59"/>
  <c r="S329" i="59"/>
  <c r="S401" i="59"/>
  <c r="S403" i="59" s="1"/>
  <c r="N198" i="59"/>
  <c r="O185" i="59" s="1"/>
  <c r="R149" i="59"/>
  <c r="R150" i="59" s="1"/>
  <c r="R151" i="59" s="1"/>
  <c r="Q500" i="59"/>
  <c r="Q501" i="59" s="1"/>
  <c r="Q62" i="59"/>
  <c r="R389" i="59"/>
  <c r="R464" i="59"/>
  <c r="R469" i="59" s="1"/>
  <c r="N397" i="59"/>
  <c r="N391" i="59" s="1"/>
  <c r="R477" i="59"/>
  <c r="K50" i="59"/>
  <c r="K47" i="59"/>
  <c r="Q477" i="59"/>
  <c r="Q482" i="59"/>
  <c r="K63" i="59"/>
  <c r="M507" i="59"/>
  <c r="M461" i="59" s="1"/>
  <c r="L508" i="59"/>
  <c r="Q83" i="59"/>
  <c r="P85" i="59"/>
  <c r="P113" i="59"/>
  <c r="S147" i="59"/>
  <c r="R496" i="59"/>
  <c r="S458" i="59"/>
  <c r="S474" i="59" s="1"/>
  <c r="K48" i="59"/>
  <c r="L49" i="59"/>
  <c r="L478" i="59"/>
  <c r="T146" i="59"/>
  <c r="P93" i="59"/>
  <c r="L119" i="59"/>
  <c r="L100" i="59"/>
  <c r="L485" i="59"/>
  <c r="T62" i="58"/>
  <c r="S430" i="59"/>
  <c r="S495" i="59"/>
  <c r="M485" i="58"/>
  <c r="O98" i="58"/>
  <c r="M88" i="58"/>
  <c r="S112" i="59"/>
  <c r="N507" i="58"/>
  <c r="M508" i="58"/>
  <c r="M509" i="58" s="1"/>
  <c r="P192" i="58"/>
  <c r="P198" i="58" s="1"/>
  <c r="Q185" i="58" s="1"/>
  <c r="P191" i="58"/>
  <c r="P396" i="58"/>
  <c r="T501" i="58"/>
  <c r="M49" i="58"/>
  <c r="M478" i="58"/>
  <c r="L471" i="58"/>
  <c r="M221" i="58"/>
  <c r="L68" i="58"/>
  <c r="L54" i="58" s="1"/>
  <c r="L55" i="58" s="1"/>
  <c r="L57" i="58" s="1"/>
  <c r="L516" i="58"/>
  <c r="L37" i="58" s="1"/>
  <c r="L517" i="58"/>
  <c r="L36" i="58" s="1"/>
  <c r="L503" i="58"/>
  <c r="L65" i="58"/>
  <c r="K39" i="59" l="1"/>
  <c r="K43" i="59" s="1"/>
  <c r="K471" i="59"/>
  <c r="R482" i="59"/>
  <c r="K7" i="59"/>
  <c r="K8" i="59" s="1"/>
  <c r="O187" i="59"/>
  <c r="T70" i="59"/>
  <c r="S331" i="59"/>
  <c r="S335" i="59" s="1"/>
  <c r="N390" i="59"/>
  <c r="S356" i="59"/>
  <c r="S75" i="59"/>
  <c r="S318" i="59"/>
  <c r="S319" i="59" s="1"/>
  <c r="S183" i="59"/>
  <c r="R431" i="59"/>
  <c r="N200" i="59"/>
  <c r="N433" i="59"/>
  <c r="O398" i="59"/>
  <c r="N38" i="59"/>
  <c r="N56" i="59"/>
  <c r="N41" i="59"/>
  <c r="S358" i="59"/>
  <c r="S489" i="59"/>
  <c r="S494" i="59" s="1"/>
  <c r="S196" i="59"/>
  <c r="S393" i="59"/>
  <c r="S394" i="59" s="1"/>
  <c r="K59" i="59"/>
  <c r="K120" i="59"/>
  <c r="L509" i="59"/>
  <c r="L69" i="59"/>
  <c r="Q93" i="59"/>
  <c r="Q85" i="59"/>
  <c r="R83" i="59"/>
  <c r="R93" i="59" s="1"/>
  <c r="Q113" i="59"/>
  <c r="L513" i="59"/>
  <c r="M514" i="59" s="1"/>
  <c r="M88" i="59" s="1"/>
  <c r="M204" i="59" s="1"/>
  <c r="L102" i="59"/>
  <c r="L103" i="59" s="1"/>
  <c r="T147" i="59"/>
  <c r="S496" i="59"/>
  <c r="T458" i="59"/>
  <c r="T474" i="59" s="1"/>
  <c r="M463" i="59"/>
  <c r="M203" i="59"/>
  <c r="M481" i="59"/>
  <c r="S477" i="59"/>
  <c r="K65" i="59"/>
  <c r="K503" i="59"/>
  <c r="T323" i="59"/>
  <c r="T325" i="59" s="1"/>
  <c r="T326" i="59" s="1"/>
  <c r="L7" i="58"/>
  <c r="L8" i="58" s="1"/>
  <c r="N461" i="58"/>
  <c r="M204" i="58"/>
  <c r="M205" i="58"/>
  <c r="M206" i="58"/>
  <c r="M90" i="58"/>
  <c r="M91" i="58" s="1"/>
  <c r="P397" i="58"/>
  <c r="P391" i="58" s="1"/>
  <c r="T495" i="59"/>
  <c r="L44" i="58"/>
  <c r="L39" i="58"/>
  <c r="L43" i="58" s="1"/>
  <c r="P197" i="58"/>
  <c r="Q184" i="58" s="1"/>
  <c r="P193" i="58"/>
  <c r="P106" i="58" s="1"/>
  <c r="M69" i="58"/>
  <c r="M510" i="58"/>
  <c r="M46" i="58" s="1"/>
  <c r="M72" i="58"/>
  <c r="M60" i="58"/>
  <c r="M53" i="58"/>
  <c r="M511" i="58"/>
  <c r="M45" i="58" s="1"/>
  <c r="T430" i="59" l="1"/>
  <c r="T183" i="59"/>
  <c r="T496" i="59"/>
  <c r="S431" i="59"/>
  <c r="S460" i="59" s="1"/>
  <c r="R432" i="59"/>
  <c r="M206" i="59"/>
  <c r="N105" i="59"/>
  <c r="O396" i="59"/>
  <c r="O191" i="59"/>
  <c r="O192" i="59"/>
  <c r="T357" i="59"/>
  <c r="T316" i="59"/>
  <c r="T387" i="59"/>
  <c r="T338" i="59"/>
  <c r="T340" i="59" s="1"/>
  <c r="T344" i="59" s="1"/>
  <c r="T401" i="59"/>
  <c r="T403" i="59" s="1"/>
  <c r="T361" i="59"/>
  <c r="T364" i="59" s="1"/>
  <c r="T367" i="59" s="1"/>
  <c r="T95" i="59" s="1"/>
  <c r="T329" i="59"/>
  <c r="T331" i="59" s="1"/>
  <c r="T335" i="59" s="1"/>
  <c r="S388" i="59"/>
  <c r="N117" i="59"/>
  <c r="N118" i="59" s="1"/>
  <c r="R460" i="59"/>
  <c r="N101" i="59"/>
  <c r="N110" i="59"/>
  <c r="N111" i="59" s="1"/>
  <c r="N87" i="59"/>
  <c r="S149" i="59"/>
  <c r="S150" i="59" s="1"/>
  <c r="N392" i="59"/>
  <c r="N94" i="59"/>
  <c r="N92" i="59"/>
  <c r="M205" i="59"/>
  <c r="M470" i="59"/>
  <c r="M473" i="59"/>
  <c r="T477" i="59"/>
  <c r="L72" i="59"/>
  <c r="L60" i="59"/>
  <c r="L53" i="59"/>
  <c r="L511" i="59"/>
  <c r="L45" i="59" s="1"/>
  <c r="L71" i="59"/>
  <c r="L61" i="59"/>
  <c r="M90" i="59"/>
  <c r="M91" i="59" s="1"/>
  <c r="M119" i="59" s="1"/>
  <c r="L515" i="59"/>
  <c r="M487" i="59"/>
  <c r="M502" i="59" s="1"/>
  <c r="M484" i="59"/>
  <c r="M506" i="59" s="1"/>
  <c r="R113" i="59"/>
  <c r="R85" i="59"/>
  <c r="L510" i="59"/>
  <c r="L46" i="59" s="1"/>
  <c r="M48" i="58"/>
  <c r="Q187" i="58"/>
  <c r="M61" i="58"/>
  <c r="M63" i="58" s="1"/>
  <c r="M71" i="58"/>
  <c r="M73" i="58" s="1"/>
  <c r="M76" i="58" s="1"/>
  <c r="T112" i="59"/>
  <c r="N203" i="58"/>
  <c r="N481" i="58"/>
  <c r="N463" i="58"/>
  <c r="M50" i="58"/>
  <c r="M47" i="58"/>
  <c r="P390" i="58"/>
  <c r="M207" i="58"/>
  <c r="P200" i="58"/>
  <c r="P433" i="58"/>
  <c r="L120" i="58"/>
  <c r="L59" i="58"/>
  <c r="P56" i="58"/>
  <c r="P38" i="58"/>
  <c r="P41" i="58"/>
  <c r="P105" i="58" s="1"/>
  <c r="M119" i="58"/>
  <c r="M100" i="58"/>
  <c r="M485" i="59" l="1"/>
  <c r="M100" i="59"/>
  <c r="M102" i="59" s="1"/>
  <c r="M103" i="59" s="1"/>
  <c r="L73" i="59"/>
  <c r="L76" i="59" s="1"/>
  <c r="M221" i="59" s="1"/>
  <c r="S151" i="59"/>
  <c r="S83" i="59"/>
  <c r="S85" i="59" s="1"/>
  <c r="M207" i="59"/>
  <c r="T358" i="59"/>
  <c r="T356" i="59"/>
  <c r="T75" i="59"/>
  <c r="T318" i="59"/>
  <c r="T319" i="59" s="1"/>
  <c r="T149" i="59" s="1"/>
  <c r="T150" i="59" s="1"/>
  <c r="T151" i="59" s="1"/>
  <c r="T395" i="59"/>
  <c r="T190" i="59" s="1"/>
  <c r="S464" i="59"/>
  <c r="S389" i="59"/>
  <c r="O397" i="59"/>
  <c r="O391" i="59" s="1"/>
  <c r="R500" i="59"/>
  <c r="R501" i="59" s="1"/>
  <c r="R62" i="59"/>
  <c r="L63" i="59"/>
  <c r="O193" i="59"/>
  <c r="O106" i="59" s="1"/>
  <c r="O197" i="59"/>
  <c r="N98" i="59"/>
  <c r="O198" i="59"/>
  <c r="P185" i="59" s="1"/>
  <c r="S432" i="59"/>
  <c r="L516" i="59"/>
  <c r="L37" i="59" s="1"/>
  <c r="L68" i="59"/>
  <c r="L54" i="59" s="1"/>
  <c r="L55" i="59" s="1"/>
  <c r="L57" i="59" s="1"/>
  <c r="L50" i="59"/>
  <c r="L47" i="59"/>
  <c r="L471" i="59"/>
  <c r="N507" i="59"/>
  <c r="N461" i="59" s="1"/>
  <c r="M508" i="59"/>
  <c r="L517" i="59"/>
  <c r="L36" i="59" s="1"/>
  <c r="M49" i="59"/>
  <c r="M478" i="59"/>
  <c r="L48" i="59"/>
  <c r="P117" i="58"/>
  <c r="P118" i="58" s="1"/>
  <c r="P87" i="58"/>
  <c r="P101" i="58"/>
  <c r="P110" i="58"/>
  <c r="P111" i="58" s="1"/>
  <c r="N221" i="58"/>
  <c r="M471" i="58"/>
  <c r="M513" i="58"/>
  <c r="M102" i="58"/>
  <c r="M103" i="58" s="1"/>
  <c r="P392" i="58"/>
  <c r="P94" i="58"/>
  <c r="P92" i="58"/>
  <c r="Q398" i="58"/>
  <c r="M503" i="58"/>
  <c r="M65" i="58"/>
  <c r="N473" i="58"/>
  <c r="N470" i="58"/>
  <c r="N484" i="58"/>
  <c r="N506" i="58" s="1"/>
  <c r="N487" i="58"/>
  <c r="N502" i="58" s="1"/>
  <c r="M513" i="59"/>
  <c r="L7" i="59" l="1"/>
  <c r="L8" i="59" s="1"/>
  <c r="S93" i="59"/>
  <c r="S113" i="59"/>
  <c r="S500" i="59"/>
  <c r="S501" i="59" s="1"/>
  <c r="S62" i="59"/>
  <c r="O200" i="59"/>
  <c r="O433" i="59"/>
  <c r="S469" i="59"/>
  <c r="S482" i="59"/>
  <c r="T83" i="59"/>
  <c r="T85" i="59" s="1"/>
  <c r="O38" i="59"/>
  <c r="O41" i="59"/>
  <c r="O56" i="59"/>
  <c r="T489" i="59"/>
  <c r="T494" i="59" s="1"/>
  <c r="T196" i="59"/>
  <c r="T431" i="59" s="1"/>
  <c r="T393" i="59"/>
  <c r="T394" i="59" s="1"/>
  <c r="T388" i="59" s="1"/>
  <c r="P184" i="59"/>
  <c r="O390" i="59"/>
  <c r="N481" i="59"/>
  <c r="N203" i="59"/>
  <c r="N463" i="59"/>
  <c r="T113" i="59"/>
  <c r="L65" i="59"/>
  <c r="L503" i="59"/>
  <c r="M509" i="59"/>
  <c r="M69" i="59"/>
  <c r="L39" i="59"/>
  <c r="L43" i="59" s="1"/>
  <c r="L44" i="59"/>
  <c r="N485" i="58"/>
  <c r="Q396" i="58"/>
  <c r="Q192" i="58"/>
  <c r="Q198" i="58" s="1"/>
  <c r="R185" i="58" s="1"/>
  <c r="Q191" i="58"/>
  <c r="N514" i="59"/>
  <c r="M515" i="59"/>
  <c r="O507" i="58"/>
  <c r="N508" i="58"/>
  <c r="N509" i="58" s="1"/>
  <c r="N49" i="58"/>
  <c r="N478" i="58"/>
  <c r="P98" i="58"/>
  <c r="N514" i="58"/>
  <c r="M515" i="58"/>
  <c r="T460" i="59" l="1"/>
  <c r="T432" i="59"/>
  <c r="O392" i="59"/>
  <c r="P398" i="59"/>
  <c r="O94" i="59"/>
  <c r="O92" i="59"/>
  <c r="T93" i="59"/>
  <c r="P187" i="59"/>
  <c r="O110" i="59"/>
  <c r="O111" i="59" s="1"/>
  <c r="O101" i="59"/>
  <c r="O117" i="59"/>
  <c r="O118" i="59" s="1"/>
  <c r="O87" i="59"/>
  <c r="T464" i="59"/>
  <c r="T389" i="59"/>
  <c r="O105" i="59"/>
  <c r="M60" i="59"/>
  <c r="M72" i="59"/>
  <c r="M53" i="59"/>
  <c r="M511" i="59"/>
  <c r="M45" i="59" s="1"/>
  <c r="N473" i="59"/>
  <c r="N470" i="59"/>
  <c r="L120" i="59"/>
  <c r="L59" i="59"/>
  <c r="M61" i="59"/>
  <c r="M71" i="59"/>
  <c r="M73" i="59" s="1"/>
  <c r="M76" i="59" s="1"/>
  <c r="M510" i="59"/>
  <c r="M46" i="59" s="1"/>
  <c r="N484" i="59"/>
  <c r="N487" i="59"/>
  <c r="N502" i="59" s="1"/>
  <c r="N53" i="58"/>
  <c r="N72" i="58"/>
  <c r="N60" i="58"/>
  <c r="N511" i="58"/>
  <c r="N45" i="58" s="1"/>
  <c r="M68" i="58"/>
  <c r="M516" i="58"/>
  <c r="M37" i="58" s="1"/>
  <c r="M517" i="58"/>
  <c r="M36" i="58" s="1"/>
  <c r="N88" i="59"/>
  <c r="Q197" i="58"/>
  <c r="R184" i="58" s="1"/>
  <c r="Q193" i="58"/>
  <c r="Q106" i="58" s="1"/>
  <c r="N88" i="58"/>
  <c r="O461" i="58"/>
  <c r="M68" i="59"/>
  <c r="M516" i="59"/>
  <c r="M37" i="59" s="1"/>
  <c r="M517" i="59"/>
  <c r="M36" i="59" s="1"/>
  <c r="Q397" i="58"/>
  <c r="Q390" i="58" s="1"/>
  <c r="N69" i="58"/>
  <c r="N510" i="58"/>
  <c r="N46" i="58" s="1"/>
  <c r="M63" i="59" l="1"/>
  <c r="O98" i="59"/>
  <c r="T469" i="59"/>
  <c r="T482" i="59"/>
  <c r="T62" i="59"/>
  <c r="T500" i="59"/>
  <c r="T501" i="59" s="1"/>
  <c r="M48" i="59"/>
  <c r="P396" i="59"/>
  <c r="P192" i="59"/>
  <c r="P191" i="59"/>
  <c r="N506" i="59"/>
  <c r="N485" i="59"/>
  <c r="N221" i="59"/>
  <c r="M471" i="59"/>
  <c r="N478" i="59"/>
  <c r="N49" i="59"/>
  <c r="M50" i="59"/>
  <c r="M47" i="59"/>
  <c r="Q391" i="58"/>
  <c r="Q392" i="58" s="1"/>
  <c r="M54" i="58"/>
  <c r="M55" i="58" s="1"/>
  <c r="M57" i="58" s="1"/>
  <c r="M7" i="58" s="1"/>
  <c r="M8" i="58" s="1"/>
  <c r="M54" i="59"/>
  <c r="M55" i="59" s="1"/>
  <c r="M57" i="59" s="1"/>
  <c r="M7" i="59" s="1"/>
  <c r="M8" i="59" s="1"/>
  <c r="R187" i="58"/>
  <c r="N61" i="58"/>
  <c r="N63" i="58" s="1"/>
  <c r="N71" i="58"/>
  <c r="N73" i="58" s="1"/>
  <c r="N76" i="58" s="1"/>
  <c r="O203" i="58"/>
  <c r="O463" i="58"/>
  <c r="O481" i="58"/>
  <c r="N48" i="58"/>
  <c r="N206" i="59"/>
  <c r="N205" i="59"/>
  <c r="N204" i="59"/>
  <c r="N90" i="59"/>
  <c r="N91" i="59" s="1"/>
  <c r="N50" i="58"/>
  <c r="N47" i="58"/>
  <c r="M44" i="59"/>
  <c r="M39" i="59"/>
  <c r="M43" i="59" s="1"/>
  <c r="Q200" i="58"/>
  <c r="Q433" i="58"/>
  <c r="M44" i="58"/>
  <c r="M39" i="58"/>
  <c r="M43" i="58" s="1"/>
  <c r="N205" i="58"/>
  <c r="N206" i="58"/>
  <c r="N204" i="58"/>
  <c r="N90" i="58"/>
  <c r="N91" i="58" s="1"/>
  <c r="P197" i="59" l="1"/>
  <c r="Q184" i="59" s="1"/>
  <c r="P193" i="59"/>
  <c r="P106" i="59" s="1"/>
  <c r="P198" i="59"/>
  <c r="Q185" i="59" s="1"/>
  <c r="P397" i="59"/>
  <c r="P390" i="59" s="1"/>
  <c r="M503" i="59"/>
  <c r="M65" i="59"/>
  <c r="N508" i="59"/>
  <c r="N69" i="59" s="1"/>
  <c r="O507" i="59"/>
  <c r="O461" i="59" s="1"/>
  <c r="Q41" i="58"/>
  <c r="Q94" i="58" s="1"/>
  <c r="Q38" i="58"/>
  <c r="Q101" i="58" s="1"/>
  <c r="Q56" i="58"/>
  <c r="R398" i="58"/>
  <c r="R191" i="58" s="1"/>
  <c r="N207" i="59"/>
  <c r="N207" i="58"/>
  <c r="N503" i="58"/>
  <c r="N65" i="58"/>
  <c r="N119" i="59"/>
  <c r="N100" i="59"/>
  <c r="Q92" i="58"/>
  <c r="Q117" i="58"/>
  <c r="Q118" i="58" s="1"/>
  <c r="M120" i="58"/>
  <c r="M59" i="58"/>
  <c r="Q87" i="58"/>
  <c r="O484" i="58"/>
  <c r="O506" i="58" s="1"/>
  <c r="O487" i="58"/>
  <c r="O502" i="58" s="1"/>
  <c r="O221" i="58"/>
  <c r="N471" i="58"/>
  <c r="N119" i="58"/>
  <c r="N100" i="58"/>
  <c r="M120" i="59"/>
  <c r="M59" i="59"/>
  <c r="O473" i="58"/>
  <c r="O470" i="58"/>
  <c r="R192" i="58" l="1"/>
  <c r="R198" i="58" s="1"/>
  <c r="S185" i="58" s="1"/>
  <c r="Q187" i="59"/>
  <c r="Q98" i="58"/>
  <c r="P391" i="59"/>
  <c r="Q398" i="59" s="1"/>
  <c r="P200" i="59"/>
  <c r="P433" i="59"/>
  <c r="N71" i="59"/>
  <c r="N61" i="59"/>
  <c r="O481" i="59"/>
  <c r="O463" i="59"/>
  <c r="O203" i="59"/>
  <c r="N509" i="59"/>
  <c r="Q110" i="58"/>
  <c r="Q111" i="58" s="1"/>
  <c r="Q105" i="58"/>
  <c r="R396" i="58"/>
  <c r="R397" i="58" s="1"/>
  <c r="R391" i="58" s="1"/>
  <c r="P507" i="58"/>
  <c r="O508" i="58"/>
  <c r="O485" i="58"/>
  <c r="R197" i="58"/>
  <c r="S184" i="58" s="1"/>
  <c r="N513" i="58"/>
  <c r="N102" i="58"/>
  <c r="N103" i="58" s="1"/>
  <c r="O49" i="58"/>
  <c r="O478" i="58"/>
  <c r="N102" i="59"/>
  <c r="N103" i="59" s="1"/>
  <c r="N513" i="59"/>
  <c r="R193" i="58" l="1"/>
  <c r="R106" i="58" s="1"/>
  <c r="S187" i="58"/>
  <c r="P117" i="59"/>
  <c r="P118" i="59" s="1"/>
  <c r="P87" i="59"/>
  <c r="Q396" i="59"/>
  <c r="Q397" i="59" s="1"/>
  <c r="Q192" i="59"/>
  <c r="Q191" i="59"/>
  <c r="P41" i="59"/>
  <c r="P56" i="59"/>
  <c r="P38" i="59"/>
  <c r="P392" i="59"/>
  <c r="O470" i="59"/>
  <c r="O473" i="59"/>
  <c r="O484" i="59"/>
  <c r="O487" i="59"/>
  <c r="O502" i="59" s="1"/>
  <c r="N510" i="59"/>
  <c r="N46" i="59" s="1"/>
  <c r="N511" i="59"/>
  <c r="N45" i="59" s="1"/>
  <c r="N72" i="59"/>
  <c r="N73" i="59" s="1"/>
  <c r="N76" i="59" s="1"/>
  <c r="N60" i="59"/>
  <c r="N63" i="59" s="1"/>
  <c r="N53" i="59"/>
  <c r="O514" i="58"/>
  <c r="N515" i="58"/>
  <c r="R390" i="58"/>
  <c r="R56" i="58"/>
  <c r="R41" i="58"/>
  <c r="R105" i="58" s="1"/>
  <c r="R38" i="58"/>
  <c r="O69" i="58"/>
  <c r="R200" i="58"/>
  <c r="R433" i="58"/>
  <c r="O509" i="58"/>
  <c r="O510" i="58" s="1"/>
  <c r="O46" i="58" s="1"/>
  <c r="O514" i="59"/>
  <c r="N515" i="59"/>
  <c r="P461" i="58"/>
  <c r="N48" i="59" l="1"/>
  <c r="Q390" i="59"/>
  <c r="Q391" i="59"/>
  <c r="Q38" i="59" s="1"/>
  <c r="P101" i="59"/>
  <c r="P110" i="59"/>
  <c r="P111" i="59" s="1"/>
  <c r="Q198" i="59"/>
  <c r="R185" i="59" s="1"/>
  <c r="P105" i="59"/>
  <c r="P92" i="59"/>
  <c r="P94" i="59"/>
  <c r="Q197" i="59"/>
  <c r="Q193" i="59"/>
  <c r="Q106" i="59" s="1"/>
  <c r="O221" i="59"/>
  <c r="N471" i="59"/>
  <c r="O506" i="59"/>
  <c r="O485" i="59"/>
  <c r="N50" i="59"/>
  <c r="N47" i="59"/>
  <c r="O478" i="59"/>
  <c r="O49" i="59"/>
  <c r="R87" i="58"/>
  <c r="N68" i="59"/>
  <c r="N517" i="59"/>
  <c r="N36" i="59" s="1"/>
  <c r="N516" i="59"/>
  <c r="N37" i="59" s="1"/>
  <c r="R101" i="58"/>
  <c r="R110" i="58"/>
  <c r="R111" i="58" s="1"/>
  <c r="N68" i="58"/>
  <c r="N517" i="58"/>
  <c r="N36" i="58" s="1"/>
  <c r="N516" i="58"/>
  <c r="N37" i="58" s="1"/>
  <c r="O50" i="58"/>
  <c r="O88" i="58"/>
  <c r="P203" i="58"/>
  <c r="P481" i="58"/>
  <c r="P463" i="58"/>
  <c r="O88" i="59"/>
  <c r="O53" i="58"/>
  <c r="O72" i="58"/>
  <c r="O60" i="58"/>
  <c r="O511" i="58"/>
  <c r="O45" i="58" s="1"/>
  <c r="O48" i="58" s="1"/>
  <c r="R117" i="58"/>
  <c r="R118" i="58" s="1"/>
  <c r="O61" i="58"/>
  <c r="O71" i="58"/>
  <c r="R392" i="58"/>
  <c r="R94" i="58"/>
  <c r="R92" i="58"/>
  <c r="S398" i="58"/>
  <c r="Q101" i="59" l="1"/>
  <c r="Q110" i="59"/>
  <c r="Q111" i="59" s="1"/>
  <c r="Q56" i="59"/>
  <c r="P98" i="59"/>
  <c r="R184" i="59"/>
  <c r="R187" i="59" s="1"/>
  <c r="Q200" i="59"/>
  <c r="Q433" i="59"/>
  <c r="Q41" i="59"/>
  <c r="Q92" i="59" s="1"/>
  <c r="Q392" i="59"/>
  <c r="R398" i="59"/>
  <c r="O508" i="59"/>
  <c r="O509" i="59" s="1"/>
  <c r="P507" i="59"/>
  <c r="P461" i="59" s="1"/>
  <c r="N65" i="59"/>
  <c r="N503" i="59"/>
  <c r="R98" i="58"/>
  <c r="N54" i="58"/>
  <c r="N55" i="58" s="1"/>
  <c r="N57" i="58" s="1"/>
  <c r="N7" i="58" s="1"/>
  <c r="N8" i="58" s="1"/>
  <c r="N54" i="59"/>
  <c r="N55" i="59" s="1"/>
  <c r="N57" i="59" s="1"/>
  <c r="N7" i="59" s="1"/>
  <c r="N8" i="59" s="1"/>
  <c r="P470" i="58"/>
  <c r="P473" i="58"/>
  <c r="N39" i="59"/>
  <c r="N43" i="59" s="1"/>
  <c r="N44" i="59"/>
  <c r="S192" i="58"/>
  <c r="S198" i="58" s="1"/>
  <c r="T185" i="58" s="1"/>
  <c r="S191" i="58"/>
  <c r="S396" i="58"/>
  <c r="O63" i="58"/>
  <c r="O205" i="59"/>
  <c r="O204" i="59"/>
  <c r="O206" i="59"/>
  <c r="O90" i="59"/>
  <c r="O91" i="59" s="1"/>
  <c r="P487" i="58"/>
  <c r="P502" i="58" s="1"/>
  <c r="P484" i="58"/>
  <c r="P506" i="58" s="1"/>
  <c r="O204" i="58"/>
  <c r="O206" i="58"/>
  <c r="O205" i="58"/>
  <c r="O90" i="58"/>
  <c r="O91" i="58" s="1"/>
  <c r="N44" i="58"/>
  <c r="N39" i="58"/>
  <c r="N43" i="58" s="1"/>
  <c r="O73" i="58"/>
  <c r="O76" i="58" s="1"/>
  <c r="O47" i="58"/>
  <c r="R191" i="59" l="1"/>
  <c r="R396" i="59"/>
  <c r="R192" i="59"/>
  <c r="Q117" i="59"/>
  <c r="Q118" i="59" s="1"/>
  <c r="Q105" i="59"/>
  <c r="Q87" i="59"/>
  <c r="Q94" i="59"/>
  <c r="O72" i="59"/>
  <c r="O511" i="59"/>
  <c r="O45" i="59" s="1"/>
  <c r="O60" i="59"/>
  <c r="O53" i="59"/>
  <c r="P481" i="59"/>
  <c r="P203" i="59"/>
  <c r="P463" i="59"/>
  <c r="O69" i="59"/>
  <c r="O510" i="59"/>
  <c r="O46" i="59" s="1"/>
  <c r="O207" i="58"/>
  <c r="S397" i="58"/>
  <c r="S391" i="58" s="1"/>
  <c r="P49" i="58"/>
  <c r="P478" i="58"/>
  <c r="O503" i="58"/>
  <c r="O65" i="58"/>
  <c r="O119" i="58"/>
  <c r="O100" i="58"/>
  <c r="P485" i="58"/>
  <c r="O119" i="59"/>
  <c r="O100" i="59"/>
  <c r="S197" i="58"/>
  <c r="S193" i="58"/>
  <c r="S106" i="58" s="1"/>
  <c r="O471" i="58"/>
  <c r="P221" i="58"/>
  <c r="Q507" i="58"/>
  <c r="P508" i="58"/>
  <c r="N120" i="59"/>
  <c r="N59" i="59"/>
  <c r="N120" i="58"/>
  <c r="N59" i="58"/>
  <c r="O207" i="59"/>
  <c r="R197" i="59" l="1"/>
  <c r="R193" i="59"/>
  <c r="R106" i="59" s="1"/>
  <c r="R198" i="59"/>
  <c r="S185" i="59" s="1"/>
  <c r="R397" i="59"/>
  <c r="R390" i="59" s="1"/>
  <c r="Q98" i="59"/>
  <c r="O71" i="59"/>
  <c r="O73" i="59" s="1"/>
  <c r="O76" i="59" s="1"/>
  <c r="O61" i="59"/>
  <c r="O63" i="59" s="1"/>
  <c r="P470" i="59"/>
  <c r="P473" i="59"/>
  <c r="O48" i="59"/>
  <c r="O47" i="59"/>
  <c r="O50" i="59"/>
  <c r="P487" i="59"/>
  <c r="P502" i="59" s="1"/>
  <c r="P484" i="59"/>
  <c r="T184" i="58"/>
  <c r="T187" i="58" s="1"/>
  <c r="S200" i="58"/>
  <c r="S433" i="58"/>
  <c r="P69" i="58"/>
  <c r="P509" i="58"/>
  <c r="P510" i="58" s="1"/>
  <c r="P46" i="58" s="1"/>
  <c r="O513" i="58"/>
  <c r="O102" i="58"/>
  <c r="O103" i="58" s="1"/>
  <c r="S390" i="58"/>
  <c r="Q461" i="58"/>
  <c r="O102" i="59"/>
  <c r="O103" i="59" s="1"/>
  <c r="O513" i="59"/>
  <c r="S38" i="58"/>
  <c r="S41" i="58"/>
  <c r="S105" i="58" s="1"/>
  <c r="S56" i="58"/>
  <c r="R391" i="59" l="1"/>
  <c r="S184" i="59"/>
  <c r="S187" i="59" s="1"/>
  <c r="R200" i="59"/>
  <c r="R433" i="59"/>
  <c r="P478" i="59"/>
  <c r="P49" i="59"/>
  <c r="O471" i="59"/>
  <c r="P221" i="59"/>
  <c r="O65" i="59"/>
  <c r="O503" i="59"/>
  <c r="P506" i="59"/>
  <c r="P485" i="59"/>
  <c r="S94" i="58"/>
  <c r="S92" i="58"/>
  <c r="S392" i="58"/>
  <c r="T398" i="58"/>
  <c r="S87" i="58"/>
  <c r="S117" i="58"/>
  <c r="S118" i="58" s="1"/>
  <c r="P514" i="59"/>
  <c r="O515" i="59"/>
  <c r="Q203" i="58"/>
  <c r="Q463" i="58"/>
  <c r="Q481" i="58"/>
  <c r="P514" i="58"/>
  <c r="O515" i="58"/>
  <c r="S101" i="58"/>
  <c r="S110" i="58"/>
  <c r="S111" i="58" s="1"/>
  <c r="P50" i="58"/>
  <c r="P61" i="58"/>
  <c r="P71" i="58"/>
  <c r="P53" i="58"/>
  <c r="P72" i="58"/>
  <c r="P60" i="58"/>
  <c r="P511" i="58"/>
  <c r="P45" i="58" s="1"/>
  <c r="P48" i="58" s="1"/>
  <c r="P73" i="58" l="1"/>
  <c r="P76" i="58" s="1"/>
  <c r="P471" i="58" s="1"/>
  <c r="R117" i="59"/>
  <c r="R118" i="59" s="1"/>
  <c r="R38" i="59"/>
  <c r="R41" i="59"/>
  <c r="R56" i="59"/>
  <c r="S398" i="59"/>
  <c r="R87" i="59"/>
  <c r="R94" i="59"/>
  <c r="R392" i="59"/>
  <c r="Q507" i="59"/>
  <c r="Q461" i="59" s="1"/>
  <c r="P508" i="59"/>
  <c r="S98" i="58"/>
  <c r="P63" i="58"/>
  <c r="P47" i="58"/>
  <c r="T396" i="58"/>
  <c r="T191" i="58"/>
  <c r="T192" i="58"/>
  <c r="T198" i="58" s="1"/>
  <c r="Q221" i="58"/>
  <c r="Q473" i="58"/>
  <c r="Q470" i="58"/>
  <c r="P88" i="59"/>
  <c r="O68" i="58"/>
  <c r="O517" i="58"/>
  <c r="O36" i="58" s="1"/>
  <c r="O516" i="58"/>
  <c r="O37" i="58" s="1"/>
  <c r="Q484" i="58"/>
  <c r="Q506" i="58" s="1"/>
  <c r="Q487" i="58"/>
  <c r="Q502" i="58" s="1"/>
  <c r="P88" i="58"/>
  <c r="O68" i="59"/>
  <c r="O516" i="59"/>
  <c r="O37" i="59" s="1"/>
  <c r="O517" i="59"/>
  <c r="O36" i="59" s="1"/>
  <c r="R105" i="59" l="1"/>
  <c r="R92" i="59"/>
  <c r="R101" i="59"/>
  <c r="R110" i="59"/>
  <c r="R111" i="59" s="1"/>
  <c r="S396" i="59"/>
  <c r="S192" i="59"/>
  <c r="S191" i="59"/>
  <c r="P509" i="59"/>
  <c r="P510" i="59" s="1"/>
  <c r="P46" i="59" s="1"/>
  <c r="P69" i="59"/>
  <c r="Q203" i="59"/>
  <c r="Q463" i="59"/>
  <c r="Q481" i="59"/>
  <c r="P65" i="58"/>
  <c r="P503" i="58"/>
  <c r="Q485" i="58"/>
  <c r="O54" i="59"/>
  <c r="O55" i="59" s="1"/>
  <c r="O57" i="59" s="1"/>
  <c r="O7" i="59" s="1"/>
  <c r="O8" i="59" s="1"/>
  <c r="O54" i="58"/>
  <c r="O55" i="58" s="1"/>
  <c r="O57" i="58" s="1"/>
  <c r="O7" i="58" s="1"/>
  <c r="O8" i="58" s="1"/>
  <c r="T397" i="58"/>
  <c r="T390" i="58" s="1"/>
  <c r="O44" i="59"/>
  <c r="O39" i="59"/>
  <c r="O43" i="59" s="1"/>
  <c r="P206" i="58"/>
  <c r="P204" i="58"/>
  <c r="P205" i="58"/>
  <c r="P90" i="58"/>
  <c r="P91" i="58" s="1"/>
  <c r="R507" i="58"/>
  <c r="Q508" i="58"/>
  <c r="P204" i="59"/>
  <c r="P206" i="59"/>
  <c r="P205" i="59"/>
  <c r="P90" i="59"/>
  <c r="P91" i="59" s="1"/>
  <c r="O44" i="58"/>
  <c r="O39" i="58"/>
  <c r="O43" i="58" s="1"/>
  <c r="Q49" i="58"/>
  <c r="Q478" i="58"/>
  <c r="T197" i="58"/>
  <c r="T193" i="58"/>
  <c r="T106" i="58" s="1"/>
  <c r="S397" i="59" l="1"/>
  <c r="S197" i="59"/>
  <c r="S193" i="59"/>
  <c r="S106" i="59" s="1"/>
  <c r="R98" i="59"/>
  <c r="S198" i="59"/>
  <c r="T185" i="59" s="1"/>
  <c r="P50" i="59"/>
  <c r="Q484" i="59"/>
  <c r="Q487" i="59"/>
  <c r="Q502" i="59" s="1"/>
  <c r="P61" i="59"/>
  <c r="P71" i="59"/>
  <c r="Q473" i="59"/>
  <c r="Q470" i="59"/>
  <c r="P60" i="59"/>
  <c r="P53" i="59"/>
  <c r="P72" i="59"/>
  <c r="P511" i="59"/>
  <c r="P45" i="59" s="1"/>
  <c r="P48" i="59" s="1"/>
  <c r="T391" i="58"/>
  <c r="T41" i="58" s="1"/>
  <c r="T94" i="58" s="1"/>
  <c r="P207" i="59"/>
  <c r="T200" i="58"/>
  <c r="T433" i="58"/>
  <c r="T117" i="58" s="1"/>
  <c r="T118" i="58" s="1"/>
  <c r="R461" i="58"/>
  <c r="Q69" i="58"/>
  <c r="P119" i="59"/>
  <c r="P100" i="59"/>
  <c r="P119" i="58"/>
  <c r="P100" i="58"/>
  <c r="O120" i="59"/>
  <c r="O59" i="59"/>
  <c r="O120" i="58"/>
  <c r="O59" i="58"/>
  <c r="Q509" i="58"/>
  <c r="Q510" i="58" s="1"/>
  <c r="Q46" i="58" s="1"/>
  <c r="P207" i="58"/>
  <c r="S391" i="59" l="1"/>
  <c r="T184" i="59"/>
  <c r="T187" i="59" s="1"/>
  <c r="S200" i="59"/>
  <c r="S433" i="59"/>
  <c r="S390" i="59"/>
  <c r="Q506" i="59"/>
  <c r="Q485" i="59"/>
  <c r="Q478" i="59"/>
  <c r="Q49" i="59"/>
  <c r="P73" i="59"/>
  <c r="P76" i="59" s="1"/>
  <c r="P63" i="59"/>
  <c r="P47" i="59"/>
  <c r="T56" i="58"/>
  <c r="T38" i="58"/>
  <c r="T101" i="58" s="1"/>
  <c r="T392" i="58"/>
  <c r="T87" i="58"/>
  <c r="Q53" i="58"/>
  <c r="Q72" i="58"/>
  <c r="Q60" i="58"/>
  <c r="Q511" i="58"/>
  <c r="Q45" i="58" s="1"/>
  <c r="Q48" i="58" s="1"/>
  <c r="P102" i="59"/>
  <c r="P103" i="59" s="1"/>
  <c r="P513" i="59"/>
  <c r="P513" i="58"/>
  <c r="P102" i="58"/>
  <c r="P103" i="58" s="1"/>
  <c r="T92" i="58"/>
  <c r="T98" i="58" s="1"/>
  <c r="T105" i="58"/>
  <c r="Q50" i="58"/>
  <c r="R203" i="58"/>
  <c r="R481" i="58"/>
  <c r="R463" i="58"/>
  <c r="Q71" i="58"/>
  <c r="Q61" i="58"/>
  <c r="T110" i="58" l="1"/>
  <c r="T111" i="58" s="1"/>
  <c r="S87" i="59"/>
  <c r="S392" i="59"/>
  <c r="T398" i="59"/>
  <c r="S117" i="59"/>
  <c r="S118" i="59" s="1"/>
  <c r="S56" i="59"/>
  <c r="S41" i="59"/>
  <c r="S92" i="59" s="1"/>
  <c r="S38" i="59"/>
  <c r="P65" i="59"/>
  <c r="P503" i="59"/>
  <c r="Q221" i="59"/>
  <c r="P471" i="59"/>
  <c r="R507" i="59"/>
  <c r="R461" i="59" s="1"/>
  <c r="Q508" i="59"/>
  <c r="Q509" i="59" s="1"/>
  <c r="Q47" i="58"/>
  <c r="Q503" i="58" s="1"/>
  <c r="Q63" i="58"/>
  <c r="R473" i="58"/>
  <c r="R470" i="58"/>
  <c r="R487" i="58"/>
  <c r="R502" i="58" s="1"/>
  <c r="R484" i="58"/>
  <c r="R506" i="58" s="1"/>
  <c r="Q514" i="58"/>
  <c r="P515" i="58"/>
  <c r="Q514" i="59"/>
  <c r="P515" i="59"/>
  <c r="Q73" i="58"/>
  <c r="Q76" i="58" s="1"/>
  <c r="S94" i="59" l="1"/>
  <c r="S98" i="59" s="1"/>
  <c r="S110" i="59"/>
  <c r="S111" i="59" s="1"/>
  <c r="S101" i="59"/>
  <c r="T396" i="59"/>
  <c r="T191" i="59"/>
  <c r="T192" i="59"/>
  <c r="T198" i="59" s="1"/>
  <c r="S105" i="59"/>
  <c r="Q53" i="59"/>
  <c r="Q60" i="59"/>
  <c r="Q511" i="59"/>
  <c r="Q45" i="59" s="1"/>
  <c r="Q72" i="59"/>
  <c r="Q69" i="59"/>
  <c r="Q510" i="59"/>
  <c r="Q46" i="59" s="1"/>
  <c r="R203" i="59"/>
  <c r="R463" i="59"/>
  <c r="R481" i="59"/>
  <c r="Q65" i="58"/>
  <c r="S507" i="58"/>
  <c r="R508" i="58"/>
  <c r="Q88" i="59"/>
  <c r="R221" i="58"/>
  <c r="Q471" i="58"/>
  <c r="P68" i="58"/>
  <c r="P516" i="58"/>
  <c r="P37" i="58" s="1"/>
  <c r="P517" i="58"/>
  <c r="P36" i="58" s="1"/>
  <c r="R49" i="58"/>
  <c r="R478" i="58"/>
  <c r="P68" i="59"/>
  <c r="P516" i="59"/>
  <c r="P37" i="59" s="1"/>
  <c r="P517" i="59"/>
  <c r="P36" i="59" s="1"/>
  <c r="Q88" i="58"/>
  <c r="R485" i="58"/>
  <c r="T197" i="59" l="1"/>
  <c r="T193" i="59"/>
  <c r="T106" i="59" s="1"/>
  <c r="Q48" i="59"/>
  <c r="T397" i="59"/>
  <c r="T390" i="59" s="1"/>
  <c r="R473" i="59"/>
  <c r="R470" i="59"/>
  <c r="Q50" i="59"/>
  <c r="Q47" i="59"/>
  <c r="R484" i="59"/>
  <c r="R487" i="59"/>
  <c r="R502" i="59" s="1"/>
  <c r="Q61" i="59"/>
  <c r="Q63" i="59" s="1"/>
  <c r="Q71" i="59"/>
  <c r="Q73" i="59" s="1"/>
  <c r="Q76" i="59" s="1"/>
  <c r="P54" i="59"/>
  <c r="P55" i="59" s="1"/>
  <c r="P57" i="59" s="1"/>
  <c r="P7" i="59" s="1"/>
  <c r="P8" i="59" s="1"/>
  <c r="P54" i="58"/>
  <c r="P55" i="58" s="1"/>
  <c r="P57" i="58" s="1"/>
  <c r="P7" i="58" s="1"/>
  <c r="P8" i="58" s="1"/>
  <c r="P44" i="59"/>
  <c r="P39" i="59"/>
  <c r="P43" i="59" s="1"/>
  <c r="Q206" i="59"/>
  <c r="Q204" i="59"/>
  <c r="Q205" i="59"/>
  <c r="Q90" i="59"/>
  <c r="Q91" i="59" s="1"/>
  <c r="R69" i="58"/>
  <c r="Q206" i="58"/>
  <c r="Q205" i="58"/>
  <c r="Q204" i="58"/>
  <c r="Q90" i="58"/>
  <c r="Q91" i="58" s="1"/>
  <c r="P44" i="58"/>
  <c r="P39" i="58"/>
  <c r="P43" i="58" s="1"/>
  <c r="R509" i="58"/>
  <c r="S461" i="58"/>
  <c r="T391" i="59" l="1"/>
  <c r="T200" i="59"/>
  <c r="T433" i="59"/>
  <c r="T117" i="59" s="1"/>
  <c r="T118" i="59" s="1"/>
  <c r="Q471" i="59"/>
  <c r="R221" i="59"/>
  <c r="R506" i="59"/>
  <c r="R485" i="59"/>
  <c r="R478" i="59"/>
  <c r="R49" i="59"/>
  <c r="Q65" i="59"/>
  <c r="Q503" i="59"/>
  <c r="Q207" i="58"/>
  <c r="Q207" i="59"/>
  <c r="Q119" i="58"/>
  <c r="Q100" i="58"/>
  <c r="S203" i="58"/>
  <c r="S481" i="58"/>
  <c r="S463" i="58"/>
  <c r="R53" i="58"/>
  <c r="R72" i="58"/>
  <c r="R60" i="58"/>
  <c r="R511" i="58"/>
  <c r="R45" i="58" s="1"/>
  <c r="R510" i="58"/>
  <c r="R46" i="58" s="1"/>
  <c r="P120" i="58"/>
  <c r="P59" i="58"/>
  <c r="Q119" i="59"/>
  <c r="Q100" i="59"/>
  <c r="P120" i="59"/>
  <c r="P59" i="59"/>
  <c r="R61" i="58"/>
  <c r="R71" i="58"/>
  <c r="T87" i="59" l="1"/>
  <c r="T56" i="59"/>
  <c r="T41" i="59"/>
  <c r="T38" i="59"/>
  <c r="T392" i="59"/>
  <c r="R508" i="59"/>
  <c r="R509" i="59" s="1"/>
  <c r="S507" i="59"/>
  <c r="S461" i="59" s="1"/>
  <c r="R48" i="58"/>
  <c r="Q102" i="59"/>
  <c r="Q103" i="59" s="1"/>
  <c r="Q513" i="59"/>
  <c r="S470" i="58"/>
  <c r="S473" i="58"/>
  <c r="R63" i="58"/>
  <c r="S484" i="58"/>
  <c r="S506" i="58" s="1"/>
  <c r="S487" i="58"/>
  <c r="S502" i="58" s="1"/>
  <c r="R73" i="58"/>
  <c r="R76" i="58" s="1"/>
  <c r="R50" i="58"/>
  <c r="R47" i="58"/>
  <c r="Q513" i="58"/>
  <c r="Q102" i="58"/>
  <c r="Q103" i="58" s="1"/>
  <c r="T101" i="59" l="1"/>
  <c r="T110" i="59"/>
  <c r="T111" i="59" s="1"/>
  <c r="T92" i="59"/>
  <c r="T105" i="59"/>
  <c r="T94" i="59"/>
  <c r="R53" i="59"/>
  <c r="R60" i="59"/>
  <c r="R511" i="59"/>
  <c r="R45" i="59" s="1"/>
  <c r="R72" i="59"/>
  <c r="S463" i="59"/>
  <c r="S203" i="59"/>
  <c r="S481" i="59"/>
  <c r="R69" i="59"/>
  <c r="R510" i="59"/>
  <c r="R46" i="59" s="1"/>
  <c r="T507" i="58"/>
  <c r="S508" i="58"/>
  <c r="S509" i="58" s="1"/>
  <c r="R514" i="58"/>
  <c r="Q515" i="58"/>
  <c r="R471" i="58"/>
  <c r="S221" i="58"/>
  <c r="S485" i="58"/>
  <c r="R514" i="59"/>
  <c r="Q515" i="59"/>
  <c r="R503" i="58"/>
  <c r="R65" i="58"/>
  <c r="S49" i="58"/>
  <c r="S478" i="58"/>
  <c r="R48" i="59" l="1"/>
  <c r="T98" i="59"/>
  <c r="R71" i="59"/>
  <c r="R73" i="59" s="1"/>
  <c r="R76" i="59" s="1"/>
  <c r="R61" i="59"/>
  <c r="R63" i="59" s="1"/>
  <c r="S487" i="59"/>
  <c r="S502" i="59" s="1"/>
  <c r="S484" i="59"/>
  <c r="S506" i="59" s="1"/>
  <c r="R50" i="59"/>
  <c r="R47" i="59"/>
  <c r="S470" i="59"/>
  <c r="S473" i="59"/>
  <c r="R88" i="59"/>
  <c r="S53" i="58"/>
  <c r="S72" i="58"/>
  <c r="S60" i="58"/>
  <c r="S511" i="58"/>
  <c r="S45" i="58" s="1"/>
  <c r="Q68" i="58"/>
  <c r="Q517" i="58"/>
  <c r="Q36" i="58" s="1"/>
  <c r="Q516" i="58"/>
  <c r="Q37" i="58" s="1"/>
  <c r="T461" i="58"/>
  <c r="Q68" i="59"/>
  <c r="Q517" i="59"/>
  <c r="Q36" i="59" s="1"/>
  <c r="Q516" i="59"/>
  <c r="Q37" i="59" s="1"/>
  <c r="R88" i="58"/>
  <c r="S69" i="58"/>
  <c r="S510" i="58"/>
  <c r="S46" i="58" s="1"/>
  <c r="R65" i="59" l="1"/>
  <c r="R503" i="59"/>
  <c r="R471" i="59"/>
  <c r="S221" i="59"/>
  <c r="S508" i="59"/>
  <c r="S69" i="59" s="1"/>
  <c r="S71" i="59" s="1"/>
  <c r="T507" i="59"/>
  <c r="T461" i="59" s="1"/>
  <c r="T203" i="59" s="1"/>
  <c r="S478" i="59"/>
  <c r="S49" i="59"/>
  <c r="S485" i="59"/>
  <c r="Q54" i="59"/>
  <c r="Q55" i="59" s="1"/>
  <c r="Q57" i="59" s="1"/>
  <c r="Q7" i="59" s="1"/>
  <c r="Q8" i="59" s="1"/>
  <c r="Q54" i="58"/>
  <c r="Q55" i="58" s="1"/>
  <c r="Q57" i="58" s="1"/>
  <c r="Q7" i="58" s="1"/>
  <c r="Q8" i="58" s="1"/>
  <c r="R206" i="58"/>
  <c r="R205" i="58"/>
  <c r="R204" i="58"/>
  <c r="R90" i="58"/>
  <c r="R91" i="58" s="1"/>
  <c r="S61" i="59"/>
  <c r="R205" i="59"/>
  <c r="R204" i="59"/>
  <c r="R206" i="59"/>
  <c r="R90" i="59"/>
  <c r="R91" i="59" s="1"/>
  <c r="S71" i="58"/>
  <c r="S73" i="58" s="1"/>
  <c r="S76" i="58" s="1"/>
  <c r="S61" i="58"/>
  <c r="S63" i="58" s="1"/>
  <c r="Q44" i="59"/>
  <c r="Q39" i="59"/>
  <c r="Q43" i="59" s="1"/>
  <c r="T203" i="58"/>
  <c r="T481" i="58"/>
  <c r="T463" i="58"/>
  <c r="S48" i="58"/>
  <c r="S50" i="58"/>
  <c r="S47" i="58"/>
  <c r="Q44" i="58"/>
  <c r="Q39" i="58"/>
  <c r="Q43" i="58" s="1"/>
  <c r="T463" i="59"/>
  <c r="T481" i="59"/>
  <c r="S509" i="59" l="1"/>
  <c r="S511" i="59" s="1"/>
  <c r="S45" i="59" s="1"/>
  <c r="S471" i="58"/>
  <c r="T221" i="58"/>
  <c r="Q120" i="58"/>
  <c r="Q59" i="58"/>
  <c r="R119" i="58"/>
  <c r="R100" i="58"/>
  <c r="T487" i="59"/>
  <c r="T502" i="59" s="1"/>
  <c r="T484" i="59"/>
  <c r="Q120" i="59"/>
  <c r="Q59" i="59"/>
  <c r="R119" i="59"/>
  <c r="R100" i="59"/>
  <c r="R207" i="58"/>
  <c r="T473" i="59"/>
  <c r="T470" i="59"/>
  <c r="S503" i="58"/>
  <c r="S65" i="58"/>
  <c r="T473" i="58"/>
  <c r="T470" i="58"/>
  <c r="T484" i="58"/>
  <c r="T506" i="58" s="1"/>
  <c r="T487" i="58"/>
  <c r="T502" i="58" s="1"/>
  <c r="R207" i="59"/>
  <c r="S510" i="59" l="1"/>
  <c r="S46" i="59" s="1"/>
  <c r="S50" i="59" s="1"/>
  <c r="S53" i="59"/>
  <c r="S72" i="59"/>
  <c r="S73" i="59" s="1"/>
  <c r="S76" i="59" s="1"/>
  <c r="T221" i="59" s="1"/>
  <c r="S60" i="59"/>
  <c r="S63" i="59" s="1"/>
  <c r="T485" i="58"/>
  <c r="T478" i="58"/>
  <c r="T49" i="58"/>
  <c r="T478" i="59"/>
  <c r="T49" i="59"/>
  <c r="R513" i="58"/>
  <c r="R102" i="58"/>
  <c r="R103" i="58" s="1"/>
  <c r="T508" i="58"/>
  <c r="T509" i="58" s="1"/>
  <c r="T485" i="59"/>
  <c r="T506" i="59"/>
  <c r="T508" i="59" s="1"/>
  <c r="R102" i="59"/>
  <c r="R103" i="59" s="1"/>
  <c r="R513" i="59"/>
  <c r="S48" i="59" l="1"/>
  <c r="S47" i="59"/>
  <c r="S503" i="59" s="1"/>
  <c r="S471" i="59"/>
  <c r="T53" i="58"/>
  <c r="T72" i="58"/>
  <c r="T60" i="58"/>
  <c r="T511" i="58"/>
  <c r="T45" i="58" s="1"/>
  <c r="S514" i="58"/>
  <c r="R515" i="58"/>
  <c r="S514" i="59"/>
  <c r="R515" i="59"/>
  <c r="T69" i="58"/>
  <c r="T510" i="58"/>
  <c r="T46" i="58" s="1"/>
  <c r="T509" i="59"/>
  <c r="T510" i="59" s="1"/>
  <c r="T46" i="59" s="1"/>
  <c r="T69" i="59"/>
  <c r="S65" i="59" l="1"/>
  <c r="T50" i="59"/>
  <c r="T50" i="58"/>
  <c r="T47" i="58"/>
  <c r="T48" i="58"/>
  <c r="S88" i="59"/>
  <c r="T61" i="59"/>
  <c r="T71" i="59"/>
  <c r="T61" i="58"/>
  <c r="T63" i="58" s="1"/>
  <c r="T71" i="58"/>
  <c r="T73" i="58" s="1"/>
  <c r="T76" i="58" s="1"/>
  <c r="R68" i="58"/>
  <c r="R517" i="58"/>
  <c r="R36" i="58" s="1"/>
  <c r="R516" i="58"/>
  <c r="R37" i="58" s="1"/>
  <c r="T72" i="59"/>
  <c r="T60" i="59"/>
  <c r="T53" i="59"/>
  <c r="T511" i="59"/>
  <c r="T45" i="59" s="1"/>
  <c r="T48" i="59" s="1"/>
  <c r="R68" i="59"/>
  <c r="R517" i="59"/>
  <c r="R36" i="59" s="1"/>
  <c r="R516" i="59"/>
  <c r="R37" i="59" s="1"/>
  <c r="S88" i="58"/>
  <c r="R54" i="59" l="1"/>
  <c r="R55" i="59" s="1"/>
  <c r="R57" i="59" s="1"/>
  <c r="R7" i="59" s="1"/>
  <c r="R8" i="59" s="1"/>
  <c r="R54" i="58"/>
  <c r="R55" i="58" s="1"/>
  <c r="R57" i="58" s="1"/>
  <c r="R7" i="58" s="1"/>
  <c r="R8" i="58" s="1"/>
  <c r="S204" i="58"/>
  <c r="S206" i="58"/>
  <c r="S205" i="58"/>
  <c r="S90" i="58"/>
  <c r="S91" i="58" s="1"/>
  <c r="T471" i="58"/>
  <c r="T65" i="58"/>
  <c r="T503" i="58"/>
  <c r="R44" i="59"/>
  <c r="R39" i="59"/>
  <c r="R43" i="59" s="1"/>
  <c r="R44" i="58"/>
  <c r="R39" i="58"/>
  <c r="R43" i="58" s="1"/>
  <c r="T73" i="59"/>
  <c r="T76" i="59" s="1"/>
  <c r="T471" i="59" s="1"/>
  <c r="S204" i="59"/>
  <c r="S206" i="59"/>
  <c r="S205" i="59"/>
  <c r="S90" i="59"/>
  <c r="S91" i="59" s="1"/>
  <c r="T47" i="59"/>
  <c r="T63" i="59"/>
  <c r="R120" i="58" l="1"/>
  <c r="R59" i="58"/>
  <c r="S119" i="58"/>
  <c r="S100" i="58"/>
  <c r="T65" i="59"/>
  <c r="T503" i="59"/>
  <c r="S207" i="59"/>
  <c r="R120" i="59"/>
  <c r="R59" i="59"/>
  <c r="S119" i="59"/>
  <c r="S100" i="59"/>
  <c r="S207" i="58"/>
  <c r="S513" i="58" l="1"/>
  <c r="S102" i="58"/>
  <c r="S103" i="58" s="1"/>
  <c r="S102" i="59"/>
  <c r="S103" i="59" s="1"/>
  <c r="S513" i="59"/>
  <c r="T514" i="59" l="1"/>
  <c r="S515" i="59"/>
  <c r="T514" i="58"/>
  <c r="S515" i="58"/>
  <c r="T88" i="58" l="1"/>
  <c r="S68" i="59"/>
  <c r="S516" i="59"/>
  <c r="S37" i="59" s="1"/>
  <c r="S517" i="59"/>
  <c r="S36" i="59" s="1"/>
  <c r="S68" i="58"/>
  <c r="S517" i="58"/>
  <c r="S36" i="58" s="1"/>
  <c r="S516" i="58"/>
  <c r="S37" i="58" s="1"/>
  <c r="T88" i="59"/>
  <c r="S54" i="59" l="1"/>
  <c r="S55" i="59" s="1"/>
  <c r="S57" i="59" s="1"/>
  <c r="S7" i="59" s="1"/>
  <c r="S8" i="59" s="1"/>
  <c r="S54" i="58"/>
  <c r="S55" i="58" s="1"/>
  <c r="S57" i="58" s="1"/>
  <c r="S7" i="58" s="1"/>
  <c r="S8" i="58" s="1"/>
  <c r="T204" i="59"/>
  <c r="T206" i="59"/>
  <c r="T205" i="59"/>
  <c r="T90" i="59"/>
  <c r="T91" i="59" s="1"/>
  <c r="S44" i="58"/>
  <c r="S39" i="58"/>
  <c r="S43" i="58" s="1"/>
  <c r="S44" i="59"/>
  <c r="S39" i="59"/>
  <c r="S43" i="59" s="1"/>
  <c r="T204" i="58"/>
  <c r="T205" i="58"/>
  <c r="T206" i="58"/>
  <c r="T90" i="58"/>
  <c r="T91" i="58" s="1"/>
  <c r="T207" i="58" l="1"/>
  <c r="T119" i="58"/>
  <c r="T100" i="58"/>
  <c r="S120" i="59"/>
  <c r="S59" i="59"/>
  <c r="T119" i="59"/>
  <c r="T100" i="59"/>
  <c r="S120" i="58"/>
  <c r="S59" i="58"/>
  <c r="T207" i="59"/>
  <c r="T102" i="59" l="1"/>
  <c r="T103" i="59" s="1"/>
  <c r="T513" i="59"/>
  <c r="T515" i="59" s="1"/>
  <c r="T102" i="58"/>
  <c r="T103" i="58" s="1"/>
  <c r="T513" i="58"/>
  <c r="T515" i="58" s="1"/>
  <c r="T68" i="58" l="1"/>
  <c r="T517" i="58"/>
  <c r="T36" i="58" s="1"/>
  <c r="T516" i="58"/>
  <c r="T37" i="58" s="1"/>
  <c r="T68" i="59"/>
  <c r="T54" i="59" s="1"/>
  <c r="T55" i="59" s="1"/>
  <c r="T57" i="59" s="1"/>
  <c r="T7" i="59" s="1"/>
  <c r="T8" i="59" s="1"/>
  <c r="T516" i="59"/>
  <c r="T37" i="59" s="1"/>
  <c r="T517" i="59"/>
  <c r="T36" i="59" s="1"/>
  <c r="T54" i="58" l="1"/>
  <c r="T55" i="58" s="1"/>
  <c r="T57" i="58" s="1"/>
  <c r="T7" i="58" s="1"/>
  <c r="T8" i="58" s="1"/>
  <c r="T44" i="58"/>
  <c r="T39" i="58"/>
  <c r="T43" i="58" s="1"/>
  <c r="T44" i="59"/>
  <c r="T39" i="59"/>
  <c r="T43" i="59" s="1"/>
  <c r="T59" i="59" l="1"/>
  <c r="T120" i="59"/>
  <c r="T120" i="58"/>
  <c r="T59" i="58"/>
</calcChain>
</file>

<file path=xl/comments1.xml><?xml version="1.0" encoding="utf-8"?>
<comments xmlns="http://schemas.openxmlformats.org/spreadsheetml/2006/main">
  <authors>
    <author>Author</author>
  </authors>
  <commentList>
    <comment ref="A24" authorId="0" shapeId="0">
      <text>
        <r>
          <rPr>
            <sz val="9"/>
            <color indexed="81"/>
            <rFont val="Tahoma"/>
            <family val="2"/>
          </rPr>
          <t xml:space="preserve">Non-Earners' Account and non-earners' share of the Treatment Injury Account is paid by the government. Hence those shares of the levy income are removed in the preparation of consolidated accounts. 
</t>
        </r>
      </text>
    </comment>
    <comment ref="A26" authorId="0" shapeId="0">
      <text>
        <r>
          <rPr>
            <sz val="9"/>
            <color indexed="81"/>
            <rFont val="Tahoma"/>
            <family val="2"/>
          </rPr>
          <t xml:space="preserve">Non-Earners' Account and non-earners' share of the Treatment Injury Account is paid by the government. Hence those shares of the claims and other expenses are removed in the preparation of consolidated accounts. 
</t>
        </r>
      </text>
    </comment>
  </commentList>
</comments>
</file>

<file path=xl/comments2.xml><?xml version="1.0" encoding="utf-8"?>
<comments xmlns="http://schemas.openxmlformats.org/spreadsheetml/2006/main">
  <authors>
    <author>Author</author>
  </authors>
  <commentList>
    <comment ref="A61" authorId="0" shapeId="0">
      <text>
        <r>
          <rPr>
            <sz val="9"/>
            <color indexed="81"/>
            <rFont val="Tahoma"/>
            <family val="2"/>
          </rPr>
          <t xml:space="preserve">These expenses were included in Heritage, culture and recreation expenses until 2010/11
</t>
        </r>
      </text>
    </comment>
  </commentList>
</comments>
</file>

<file path=xl/comments3.xml><?xml version="1.0" encoding="utf-8"?>
<comments xmlns="http://schemas.openxmlformats.org/spreadsheetml/2006/main">
  <authors>
    <author>Author</author>
  </authors>
  <commentList>
    <comment ref="B9" authorId="0" shapeId="0">
      <text>
        <r>
          <rPr>
            <sz val="9"/>
            <color indexed="81"/>
            <rFont val="Tahoma"/>
            <family val="2"/>
          </rPr>
          <t xml:space="preserve">NAC stands for Needed As Check. The data in this row is not actually picked up in the model itself, but is used as a check on other data in this worksheet.
</t>
        </r>
      </text>
    </comment>
    <comment ref="B11" authorId="0" shapeId="0">
      <text>
        <r>
          <rPr>
            <sz val="9"/>
            <color indexed="81"/>
            <rFont val="Tahoma"/>
            <family val="2"/>
          </rPr>
          <t xml:space="preserve">UIM stands for Used In Model. The data in this row is directly referenced in the main modelling worksheets of the model.
</t>
        </r>
      </text>
    </comment>
    <comment ref="B125" authorId="0" shapeId="0">
      <text>
        <r>
          <rPr>
            <sz val="9"/>
            <color indexed="81"/>
            <rFont val="Tahoma"/>
            <family val="2"/>
          </rPr>
          <t>These are Used In Modelling worksheets, so are UIM, but some formulae in this worksheet need this cell to be empty.</t>
        </r>
      </text>
    </comment>
    <comment ref="B126" authorId="0" shapeId="0">
      <text>
        <r>
          <rPr>
            <sz val="9"/>
            <color indexed="81"/>
            <rFont val="Tahoma"/>
            <family val="2"/>
          </rPr>
          <t>These are Used In Modelling worksheets, so are UIM, but some formulae in this worksheet need this cell to be empty.</t>
        </r>
      </text>
    </comment>
    <comment ref="A140" authorId="0" shapeId="0">
      <text>
        <r>
          <rPr>
            <sz val="9"/>
            <color indexed="81"/>
            <rFont val="Tahoma"/>
            <family val="2"/>
          </rPr>
          <t>Includes unsettled purchases of securities, which are classified as accounts payable in the Statement of Financial Position.</t>
        </r>
      </text>
    </comment>
    <comment ref="A157" authorId="0" shapeId="0">
      <text>
        <r>
          <rPr>
            <sz val="9"/>
            <color indexed="81"/>
            <rFont val="Tahoma"/>
            <family val="2"/>
          </rPr>
          <t>In the Statement of Segments this variable is labelled Social assistance and development assistance, but it is exactly the same variable which is labelled Transfer payments and subsidies in the Statement of Financial Performance.</t>
        </r>
      </text>
    </comment>
    <comment ref="A191" authorId="0" shapeId="0">
      <text>
        <r>
          <rPr>
            <sz val="9"/>
            <color indexed="81"/>
            <rFont val="Tahoma"/>
            <family val="2"/>
          </rPr>
          <t xml:space="preserve">Often there are no inter-segment eliminations for Insurance expenses and this is what is assumed in projected years. However, occasionally they occur in historical years. In such cases they are included with State-owned enterprises numbers in the main modelling worksheets. </t>
        </r>
      </text>
    </comment>
    <comment ref="A244" authorId="0" shapeId="0">
      <text>
        <r>
          <rPr>
            <sz val="9"/>
            <color indexed="81"/>
            <rFont val="Tahoma"/>
            <family val="2"/>
          </rPr>
          <t xml:space="preserve">Normally there are no inter-segment eliminations for Depreciation and Amortisation expenses. However, occasionally they occur in historical years. In such cases they are included with State-owned enterprises numbers in the main modelling worksheets. </t>
        </r>
      </text>
    </comment>
  </commentList>
</comments>
</file>

<file path=xl/sharedStrings.xml><?xml version="1.0" encoding="utf-8"?>
<sst xmlns="http://schemas.openxmlformats.org/spreadsheetml/2006/main" count="2453" uniqueCount="1365">
  <si>
    <t>RESIDENT POPULATION OF NEW ZEALAND, BY SINGLE YEAR OF AGE AND GENDER, AS AT 30 JUNE</t>
  </si>
  <si>
    <t>Estimated resident population by age and sex (as at 30 June)</t>
  </si>
  <si>
    <t>FEMALES</t>
  </si>
  <si>
    <t>90 &amp; over</t>
  </si>
  <si>
    <t>Female total</t>
  </si>
  <si>
    <t>Population projections</t>
  </si>
  <si>
    <t>Projections from Statistics New Zealand</t>
  </si>
  <si>
    <t>Historical data from Statistics New Zealand</t>
  </si>
  <si>
    <t>Infoshare: Population - Population Estimates</t>
  </si>
  <si>
    <t>MALES</t>
  </si>
  <si>
    <t>Male total</t>
  </si>
  <si>
    <t>Year ended 30 June</t>
  </si>
  <si>
    <t>2005/06</t>
  </si>
  <si>
    <t>2006/07</t>
  </si>
  <si>
    <t>2007/08</t>
  </si>
  <si>
    <t>2008/09</t>
  </si>
  <si>
    <t>2010/11</t>
  </si>
  <si>
    <t>2009/10</t>
  </si>
  <si>
    <t>2011/12</t>
  </si>
  <si>
    <t>2012/13</t>
  </si>
  <si>
    <t>2013/14</t>
  </si>
  <si>
    <t>2014/15</t>
  </si>
  <si>
    <t>50th percentile (median) projection</t>
  </si>
  <si>
    <t>2015/16</t>
  </si>
  <si>
    <t>2016/17</t>
  </si>
  <si>
    <t>2017/18</t>
  </si>
  <si>
    <t>2018/19</t>
  </si>
  <si>
    <t>2019/20</t>
  </si>
  <si>
    <t>2020/21</t>
  </si>
  <si>
    <t>2021/22</t>
  </si>
  <si>
    <t>2022/23</t>
  </si>
  <si>
    <t>2023/24</t>
  </si>
  <si>
    <t>2024/25</t>
  </si>
  <si>
    <t>2025/26</t>
  </si>
  <si>
    <t>2026/27</t>
  </si>
  <si>
    <t>2027/28</t>
  </si>
  <si>
    <t>2028/29</t>
  </si>
  <si>
    <t>2029/30</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</si>
  <si>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</si>
  <si>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</si>
  <si>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</si>
  <si>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</si>
  <si>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</si>
  <si>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</si>
  <si>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</si>
  <si>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</si>
  <si>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</si>
  <si>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</si>
  <si>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</si>
  <si>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</si>
  <si>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</si>
  <si>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</si>
  <si>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</si>
  <si>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</si>
  <si>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</si>
  <si>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</si>
  <si>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</si>
  <si>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</si>
  <si>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2050/51</t>
  </si>
  <si>
    <t>2051/52</t>
  </si>
  <si>
    <t>2052/53</t>
  </si>
  <si>
    <t>2053/54</t>
  </si>
  <si>
    <t>2054/55</t>
  </si>
  <si>
    <t>2055/56</t>
  </si>
  <si>
    <t>2056/57</t>
  </si>
  <si>
    <t>2057/58</t>
  </si>
  <si>
    <t>2058/59</t>
  </si>
  <si>
    <t>2059/60</t>
  </si>
  <si>
    <t>2060/61</t>
  </si>
  <si>
    <t>2061/62</t>
  </si>
  <si>
    <t>2062/63</t>
  </si>
  <si>
    <t>2063/64</t>
  </si>
  <si>
    <t>2064/65</t>
  </si>
  <si>
    <t>2065/66</t>
  </si>
  <si>
    <t>2066/67</t>
  </si>
  <si>
    <t>2067/68</t>
  </si>
  <si>
    <t>Population (millions)</t>
  </si>
  <si>
    <t>Annual growth (%)</t>
  </si>
  <si>
    <t>Life expectancy at birth (years)</t>
  </si>
  <si>
    <t>Life expectancy at age 65 (years)</t>
  </si>
  <si>
    <t>Labour Force (millions)</t>
  </si>
  <si>
    <t>INPUT PROJECTIONS AND DATA, EXOGENOUS TO LONG-TERM FISCAL MODEL OUTPUTS</t>
  </si>
  <si>
    <t>NEW ZEALAND SUPERANNUATION FUND (NZSF)</t>
  </si>
  <si>
    <t>(billions of $NZ)</t>
  </si>
  <si>
    <t>Revenue and gains/(losses) less non-tax expenses</t>
  </si>
  <si>
    <t>Capital contribution/(withdrawal) from Government</t>
  </si>
  <si>
    <t>Other movements in reserves</t>
  </si>
  <si>
    <t>Closing Balance</t>
  </si>
  <si>
    <t>STUDENT LOANS</t>
  </si>
  <si>
    <t>Interest unwind</t>
  </si>
  <si>
    <t>ACCIDENT COMPENSATION CORPORATION (ACC)</t>
  </si>
  <si>
    <t>Levy income</t>
  </si>
  <si>
    <t>Claims and other expenses</t>
  </si>
  <si>
    <t>Non-Earners (NE) &amp; NE share of Treatment Injury levy income</t>
  </si>
  <si>
    <t>Non-Earners &amp; NE share of Treatment Injury claims &amp; expenses</t>
  </si>
  <si>
    <t>Investment income</t>
  </si>
  <si>
    <t>Closing assets</t>
  </si>
  <si>
    <t>Closing liabilities</t>
  </si>
  <si>
    <t>GOVERNMENT SUPERANNUATION FUND (GSF)</t>
  </si>
  <si>
    <t>Pension expenses</t>
  </si>
  <si>
    <t>KIWI SAVER EXPENSE TRACK</t>
  </si>
  <si>
    <t>ECONOMIC HISTORICAL AND FORECAST DATA</t>
  </si>
  <si>
    <t>Total Population (thousands)</t>
  </si>
  <si>
    <t>Labour productivity annual growth (percentage) (hours worked measure)</t>
  </si>
  <si>
    <t>Consumers Price Index (CPI)</t>
  </si>
  <si>
    <t>Average hourly wage growth (percentage) (ordinary time measure)</t>
  </si>
  <si>
    <t>Government 10-year bond annual rate of return (percentage) (average of 4 quarters)</t>
  </si>
  <si>
    <t xml:space="preserve">Real Gross Domestic Product (GDP) ($09/10 billion) (production, base is 2009/10) </t>
  </si>
  <si>
    <t>Unemployment Rate (percentage of labour force)</t>
  </si>
  <si>
    <t>Average weekly hours paid (hours per week)</t>
  </si>
  <si>
    <r>
      <t xml:space="preserve">Average weekly hours worked (Total hours worked </t>
    </r>
    <r>
      <rPr>
        <b/>
        <sz val="11"/>
        <color indexed="8"/>
        <rFont val="Calibri"/>
        <family val="2"/>
      </rPr>
      <t>÷</t>
    </r>
    <r>
      <rPr>
        <b/>
        <sz val="11"/>
        <color indexed="8"/>
        <rFont val="Arial"/>
        <family val="2"/>
      </rPr>
      <t xml:space="preserve"> total employed labour force)</t>
    </r>
  </si>
  <si>
    <t>ECONOMIC AND FISCAL PROJECTION ASSUMPTIONS</t>
  </si>
  <si>
    <t>Unless specifically stated otherwise, all references in this worksheet to GDP should be taken to mean the current price variable Nominal Gross Domestic Product (GDP).</t>
  </si>
  <si>
    <t>Assumptions are picked up in a modelling worksheet by formulae connected to the scenario name used at the top of the "set of assumptions" column in this worksheet.</t>
  </si>
  <si>
    <t>SCENARIO NAME</t>
  </si>
  <si>
    <t>ECONOMIC ASSUMPTIONS</t>
  </si>
  <si>
    <t>The following are the economic variables most often altered in scenarios. The values used are the desired long-run stable levels or annual growth rates.</t>
  </si>
  <si>
    <r>
      <t xml:space="preserve">SCENARIO NAME SELECTED IN </t>
    </r>
    <r>
      <rPr>
        <b/>
        <i/>
        <sz val="11"/>
        <color indexed="8"/>
        <rFont val="Arial"/>
        <family val="2"/>
      </rPr>
      <t>ASSUMPTIONS</t>
    </r>
    <r>
      <rPr>
        <b/>
        <sz val="11"/>
        <color indexed="8"/>
        <rFont val="Arial"/>
        <family val="2"/>
      </rPr>
      <t xml:space="preserve"> WORKSHEET WRITTEN HERE </t>
    </r>
    <r>
      <rPr>
        <b/>
        <sz val="11"/>
        <color indexed="8"/>
        <rFont val="Calibri"/>
        <family val="2"/>
      </rPr>
      <t>→</t>
    </r>
  </si>
  <si>
    <r>
      <rPr>
        <i/>
        <sz val="11"/>
        <color indexed="8"/>
        <rFont val="Calibri"/>
        <family val="2"/>
      </rPr>
      <t>←</t>
    </r>
    <r>
      <rPr>
        <i/>
        <sz val="11"/>
        <color indexed="8"/>
        <rFont val="Arial"/>
        <family val="2"/>
      </rPr>
      <t xml:space="preserve"> This number is calculated from Scenario name entry and used in formulae throughout model</t>
    </r>
  </si>
  <si>
    <t>All monetary values, unless otherwise stated, are in units of billions of New Zealand dollars</t>
  </si>
  <si>
    <t>Fiscal Year (year from 1 July to the following 30 June)</t>
  </si>
  <si>
    <t>ECONOMIC HISTORICAL, FORECAST AND PROJECTED VARIABLES</t>
  </si>
  <si>
    <t>From Economic</t>
  </si>
  <si>
    <t>Annual percentage growth</t>
  </si>
  <si>
    <t>Nominal GDP ($ billion) (expenditure measure)</t>
  </si>
  <si>
    <t>Nominal GDP (expenditure measure)</t>
  </si>
  <si>
    <t>Annual transition rates to long-run stable assumptions</t>
  </si>
  <si>
    <t>Select annual rates at which various economic variables move towards their long-run stable values from their end-of-forecast values.</t>
  </si>
  <si>
    <t>Unemployment Rate (percentage points per year)</t>
  </si>
  <si>
    <t>Average weekly hours paid (hours per week per year)</t>
  </si>
  <si>
    <r>
      <t>Labour productivity growth</t>
    </r>
    <r>
      <rPr>
        <sz val="11"/>
        <color indexed="8"/>
        <rFont val="Arial"/>
        <family val="2"/>
      </rPr>
      <t xml:space="preserve"> (percentage points per year)</t>
    </r>
  </si>
  <si>
    <t>Labour productivity annual growth (percentage)</t>
  </si>
  <si>
    <t>Consumers Price Index (CPI) annual growth (percentage)</t>
  </si>
  <si>
    <t>Consumers Price Index growth (percentage points per year)</t>
  </si>
  <si>
    <t>Government 10-year bond annual rate of return (percentage)</t>
  </si>
  <si>
    <t>Government 10-year bond annual rate of return (percentage points per year)</t>
  </si>
  <si>
    <t>FISCAL ASSUMPTIONS</t>
  </si>
  <si>
    <t>Forecast years are shaded red</t>
  </si>
  <si>
    <t>Projected years are shaded black</t>
  </si>
  <si>
    <t>FISCAL HISTORICAL AND FORECAST DATA</t>
  </si>
  <si>
    <t>STATEMENT OF FINANCIAL PERFORMANCE</t>
  </si>
  <si>
    <t>Historical data sourced from Treasury past Budget publications</t>
  </si>
  <si>
    <t xml:space="preserve">Forecast data sourced from Treasury publication of latest Economic &amp; Fiscal Update </t>
  </si>
  <si>
    <t>Taxation revenue</t>
  </si>
  <si>
    <t>Other sovereign revenue</t>
  </si>
  <si>
    <t>Sales of goods and services</t>
  </si>
  <si>
    <t>Interest revenue and dividends</t>
  </si>
  <si>
    <t>Other revenue</t>
  </si>
  <si>
    <t>Total revenue (excluding gains)</t>
  </si>
  <si>
    <t>Transfer payments and subsidies</t>
  </si>
  <si>
    <t>Personnel expenses</t>
  </si>
  <si>
    <t>Depreciation and amortisation</t>
  </si>
  <si>
    <t>Other operating expenses</t>
  </si>
  <si>
    <t>Interest expenses</t>
  </si>
  <si>
    <t>Insurance expenses</t>
  </si>
  <si>
    <t>Forecast new operating spending</t>
  </si>
  <si>
    <t>Top-down expense adjustment</t>
  </si>
  <si>
    <t>Total expenses (excluding losses)</t>
  </si>
  <si>
    <t>Minority share of operating balance before gains/losses</t>
  </si>
  <si>
    <t>Net gains/(losses) on financial instruments</t>
  </si>
  <si>
    <t>Net gains/(losses) on non-financial instruments</t>
  </si>
  <si>
    <t>Minority interest share of net gains/(losses)</t>
  </si>
  <si>
    <t>Total gains/(losses)</t>
  </si>
  <si>
    <t>Total Crown Expenses - By functional classification</t>
  </si>
  <si>
    <t>Social security and welfare</t>
  </si>
  <si>
    <t>Government Superannuation Fund (GSF) pension expense</t>
  </si>
  <si>
    <t>Health</t>
  </si>
  <si>
    <t>Education</t>
  </si>
  <si>
    <t>Core government services</t>
  </si>
  <si>
    <t>Law and order</t>
  </si>
  <si>
    <t>Defence</t>
  </si>
  <si>
    <t>Transport and communication</t>
  </si>
  <si>
    <t>Economic and industrial services</t>
  </si>
  <si>
    <t>Primary services</t>
  </si>
  <si>
    <t>Heritage, culture and recreation</t>
  </si>
  <si>
    <t>Housing and community development</t>
  </si>
  <si>
    <t>Environmental protection</t>
  </si>
  <si>
    <t>Other</t>
  </si>
  <si>
    <t>Finance costs</t>
  </si>
  <si>
    <t>Core Crown Expenses - By functional classification</t>
  </si>
  <si>
    <t>STATEMENT OF CASH FLOWS</t>
  </si>
  <si>
    <t>Taxation receipts</t>
  </si>
  <si>
    <t>Other sovereign receipts</t>
  </si>
  <si>
    <t>Interest and dividend receipts</t>
  </si>
  <si>
    <t>Other operating receipts</t>
  </si>
  <si>
    <t>Total cash provided from operations</t>
  </si>
  <si>
    <t>Personnel and operating payments</t>
  </si>
  <si>
    <t>Interest payments</t>
  </si>
  <si>
    <t>Net cash flows from operations</t>
  </si>
  <si>
    <t>Net sales/(purchase) of physical assets</t>
  </si>
  <si>
    <t>Net sales/(purchase) of shares and other securities</t>
  </si>
  <si>
    <t>Net sales/(purchase) of intangible assets</t>
  </si>
  <si>
    <t xml:space="preserve">Net repayment/(issue) of advances </t>
  </si>
  <si>
    <t>Net divestment/(acquisition) of investments in associates</t>
  </si>
  <si>
    <t>Net cash flows from operating and investing activities</t>
  </si>
  <si>
    <t>Issues of circulating currency</t>
  </si>
  <si>
    <t xml:space="preserve">Net issue/(repayment) of government stock </t>
  </si>
  <si>
    <t xml:space="preserve">Net issue/(repayment) of foreign-currency borrowings </t>
  </si>
  <si>
    <t xml:space="preserve">Net issue/(repayment) of other New Zealand dollar borrowings </t>
  </si>
  <si>
    <t>Dividends received from/(paid to) minority interests</t>
  </si>
  <si>
    <t>Net cash flows from financing activities</t>
  </si>
  <si>
    <t>Net movement in cash</t>
  </si>
  <si>
    <t>Foreign exchange gains/(losses) on opening cash balance</t>
  </si>
  <si>
    <t>Net cash flow from investing (incl annual Forecast new capital spend &amp; Top-down adjust)</t>
  </si>
  <si>
    <t>Net cash flows from operations plus Total gains/(losses)</t>
  </si>
  <si>
    <t>Impairment on financial assets (excludes receivables)</t>
  </si>
  <si>
    <t>Decrease/(increase) in defined benefit retirement plan liabilities</t>
  </si>
  <si>
    <t>Decrease/(increase) in insurance liabilities</t>
  </si>
  <si>
    <t>Increase/(decrease) in receivables</t>
  </si>
  <si>
    <t>Increase/(decrease) in accrued interest</t>
  </si>
  <si>
    <t>Increase/(decrease) in inventories</t>
  </si>
  <si>
    <t>Increase/(decrease) in prepayments</t>
  </si>
  <si>
    <t>Decrease/(increase) in deferred revenue</t>
  </si>
  <si>
    <t>Decrease/(increase) in payables/provisions</t>
  </si>
  <si>
    <t>Total movements in working capital</t>
  </si>
  <si>
    <t>Reconciliation: Between Net cash flows from operations and the Operating balance</t>
  </si>
  <si>
    <t>CHECK: Annual change in Cash asset =Net movement in cash +Forex gains/(losses)</t>
  </si>
  <si>
    <t>CHECK: Op Bal (excl Min Ints) = Op cash +Gains +Non-cash items +Movements in WC</t>
  </si>
  <si>
    <t>STATEMENT OF FINANCIAL POSITION</t>
  </si>
  <si>
    <t>Cash and cash equivalents</t>
  </si>
  <si>
    <t>Receivables</t>
  </si>
  <si>
    <t>Marketable securities, deposits and derivatives in gain</t>
  </si>
  <si>
    <t>Share investments</t>
  </si>
  <si>
    <t>Advances</t>
  </si>
  <si>
    <t>Inventory</t>
  </si>
  <si>
    <t>Other assets</t>
  </si>
  <si>
    <t xml:space="preserve">Property, plant and equipment </t>
  </si>
  <si>
    <t>Equity accounted investments</t>
  </si>
  <si>
    <t>Intangible assets and goodwill</t>
  </si>
  <si>
    <t>Forecast for new capital spending</t>
  </si>
  <si>
    <t>Top-down capital adjustment</t>
  </si>
  <si>
    <t>Total assets</t>
  </si>
  <si>
    <t>Issued currency</t>
  </si>
  <si>
    <t>Payables</t>
  </si>
  <si>
    <t>Deferred revenue</t>
  </si>
  <si>
    <t>Borrowings</t>
  </si>
  <si>
    <t>Insurance liabilities</t>
  </si>
  <si>
    <t>Retirement plan liabilities</t>
  </si>
  <si>
    <t>Provisions</t>
  </si>
  <si>
    <t>Total liabilities</t>
  </si>
  <si>
    <t>Total net worth</t>
  </si>
  <si>
    <t>CHECK: Net worth =Total assets - Total liabilities</t>
  </si>
  <si>
    <t>Net worth attributable to minority interest</t>
  </si>
  <si>
    <t>STATEMENT OF BORROWINGS</t>
  </si>
  <si>
    <t>Core crown borrowings</t>
  </si>
  <si>
    <t>Less New Zealand Superannuation Fund (NZSF) borrowings</t>
  </si>
  <si>
    <t>Gross sovereign-issued debt (GSID)</t>
  </si>
  <si>
    <t>Less core Crown financial assets (excluding receivables)</t>
  </si>
  <si>
    <t>Net core Crown debt</t>
  </si>
  <si>
    <t>Add back core Crown advances (excl. NZSF advances)</t>
  </si>
  <si>
    <t>Add back NZSF financial assets (excl. receivables)</t>
  </si>
  <si>
    <t>Net core Crown debt (excluding NZSF and advances)</t>
  </si>
  <si>
    <t>Core Crown revenue</t>
  </si>
  <si>
    <t>Social assistance and official development assistance</t>
  </si>
  <si>
    <t>Core Crown expenses</t>
  </si>
  <si>
    <t>NOTES TO THE FINANCIAL STATEMENTS</t>
  </si>
  <si>
    <t>Taxation revenue (accrual)</t>
  </si>
  <si>
    <t>Source deductions</t>
  </si>
  <si>
    <t>Corporate tax</t>
  </si>
  <si>
    <t>Total goods and services tax (GST)</t>
  </si>
  <si>
    <t>Hypothecated transport taxes</t>
  </si>
  <si>
    <t>Remaining tax types</t>
  </si>
  <si>
    <t>CHECK: Tax revenue in Statement of Financial Performance =Sum of tax types</t>
  </si>
  <si>
    <t>Accident Compensation Corporation (ACC) levies</t>
  </si>
  <si>
    <t>STATEMENT OF SEGMENTS - CORE CROWN SECTION</t>
  </si>
  <si>
    <t>CHECK: CC revenue =Tax +Other sovereign +Sales of g&amp;s +Interest +Other revenue</t>
  </si>
  <si>
    <t xml:space="preserve">Personnel expenses </t>
  </si>
  <si>
    <t xml:space="preserve">Other operating expenses </t>
  </si>
  <si>
    <t>Net surplus/(deficit) from associates and joint ventures</t>
  </si>
  <si>
    <t>Core Crown operating balance</t>
  </si>
  <si>
    <t>CHECK: CC op balance =Revenue -Expenses +Total gains/(losses) +Net surp/(def) A&amp;JV</t>
  </si>
  <si>
    <t>Inventory and other assets</t>
  </si>
  <si>
    <t>Core Crown assets</t>
  </si>
  <si>
    <t>Core Crown liabilities</t>
  </si>
  <si>
    <t>CHECK: CC liabilities =Issued currency +Borrowings +Paybls +Def rev +IL +RPL +Provs</t>
  </si>
  <si>
    <t>Core Crown net worth</t>
  </si>
  <si>
    <t>Other sovereign revenue (accrual)</t>
  </si>
  <si>
    <t>CHECK: Other sovereign rev in Statement of Financial Performance =Sum of OSR types</t>
  </si>
  <si>
    <t>Remaining other sovereign revenue types</t>
  </si>
  <si>
    <t>Crown entities</t>
  </si>
  <si>
    <t>State-owned Enterprises</t>
  </si>
  <si>
    <t>Inter-segment eliminations</t>
  </si>
  <si>
    <t>CHECK: Interest rev in Statement of Financial Performance =Sum of segments</t>
  </si>
  <si>
    <t>FISCAL HISTORICAL, FORECAST AND PROJECTED VARIABLES</t>
  </si>
  <si>
    <t>Gross Domestic Product (GDP) measures</t>
  </si>
  <si>
    <t xml:space="preserve">Real GDP (production measure, in 2009/10 dollars) </t>
  </si>
  <si>
    <t>Labour Force and Demographic measures</t>
  </si>
  <si>
    <t>Inverse of nominal GDP (used in several projection formulae)</t>
  </si>
  <si>
    <t>Price measures</t>
  </si>
  <si>
    <t xml:space="preserve">Labour Force (LF) (thousands) (aggregate) </t>
  </si>
  <si>
    <t>Working-Age Population (WAP) (thousands) (aged 15 years &amp; over)</t>
  </si>
  <si>
    <t>Aggregate Labour Force Participation Rate (LFPR) (LF as percentage of WAP)</t>
  </si>
  <si>
    <t>Consumers Price Index (CPI) (June quarter index number)</t>
  </si>
  <si>
    <t>From Fiscal</t>
  </si>
  <si>
    <t>Total Crown Borrowings</t>
  </si>
  <si>
    <t>Net worth attributable to minority interests</t>
  </si>
  <si>
    <t>Projected Years only</t>
  </si>
  <si>
    <t>New Zealand Superannuation</t>
  </si>
  <si>
    <t>Jobseeker support and Emergency benefit</t>
  </si>
  <si>
    <t>Supported living payment</t>
  </si>
  <si>
    <t>Sole parent support</t>
  </si>
  <si>
    <t>Student allowances</t>
  </si>
  <si>
    <t>CHECK: Transfer pmts &amp; subsidies in Statement of Financial Performance =Sum of types</t>
  </si>
  <si>
    <t>KiwiSaver</t>
  </si>
  <si>
    <t>Official development assistance</t>
  </si>
  <si>
    <t>CHECK: Personnel expenses in Statement of Financial Performance =Sum of segments</t>
  </si>
  <si>
    <t>Depreciation and Amortisation</t>
  </si>
  <si>
    <t>Core Crown</t>
  </si>
  <si>
    <t>CHECK: Deprecn &amp; Amortsn in Statement of Financial Performance =Sum of segments</t>
  </si>
  <si>
    <t>CHECK: Other Oper expenses in Statement of Financial Performance =Sum of segments</t>
  </si>
  <si>
    <t>Finance costs (Interest expenses)</t>
  </si>
  <si>
    <t>CHECK: Interest expenses in Statement of Financial Performance =Sum of segments</t>
  </si>
  <si>
    <t>Accident Compensation Corporation (ACC)</t>
  </si>
  <si>
    <t>Earthquake Commission (EQC)</t>
  </si>
  <si>
    <t>CHECK: Insurance expenses in Statement of Financial Performance =Sum of types</t>
  </si>
  <si>
    <t>SOE insurance expenses</t>
  </si>
  <si>
    <t>STATEMENT OF SEGMENTS -CROWN ENTITY (CE) STATE-OWNED ENTERPRISE (SOE)</t>
  </si>
  <si>
    <t>CE social security and welfare</t>
  </si>
  <si>
    <t>CE insurance expenses</t>
  </si>
  <si>
    <t>SOE education expenses</t>
  </si>
  <si>
    <t>SOE transport and communications expenses</t>
  </si>
  <si>
    <t>CE health expenses</t>
  </si>
  <si>
    <t>CE education expenses</t>
  </si>
  <si>
    <t>CE transport and communications expenses</t>
  </si>
  <si>
    <t>Inter-segment elimination for other non-finance exps (excl welfare, health, education &amp; transport)</t>
  </si>
  <si>
    <t>Inter-segment elimination for insurance expenses</t>
  </si>
  <si>
    <t>CHECK: Insurance expenses in Statement of Financial Performance =Sum of segments</t>
  </si>
  <si>
    <t>Other (includes inter-segment eliminations)</t>
  </si>
  <si>
    <t>Operating Balance (including minority interest)</t>
  </si>
  <si>
    <t>Operating balance before gains/(losses) [OBEGAL] (excludes minority interests)</t>
  </si>
  <si>
    <t>Gains/(losses) (excluding minority interests)</t>
  </si>
  <si>
    <t>Operating balance (excludes minority interests)</t>
  </si>
  <si>
    <t>CHECK: Oper Bal (ex min ints) = OBEGAL (ex min ints) +Gains (ex min ints) +Net Surplus</t>
  </si>
  <si>
    <t>Unallocated contingencies</t>
  </si>
  <si>
    <t>Forecast new operating spending for second forecast year</t>
  </si>
  <si>
    <t>Forecast new operating spending for third forecast year</t>
  </si>
  <si>
    <t>Forecast new operating spending for fourth forecast year</t>
  </si>
  <si>
    <t>Forecast new operating spending for fifth forecast year</t>
  </si>
  <si>
    <t>Forecast new capital spending</t>
  </si>
  <si>
    <t>Forecast new capital spending for first forecast year</t>
  </si>
  <si>
    <t>Forecast new capital spending for second forecast year</t>
  </si>
  <si>
    <t>Forecast new capital spending for third forecast year</t>
  </si>
  <si>
    <t>Forecast new capital spending for fourth forecast year</t>
  </si>
  <si>
    <t>Forecast new capital spending for fifth forecast year</t>
  </si>
  <si>
    <t>Total forecast new capital spending for forecast year</t>
  </si>
  <si>
    <t>CHECK: Forecast new oper spend in Statement of Financial Performance =Sum of years</t>
  </si>
  <si>
    <t>CHECK: Forecast new capital spending in Statement of Financial Position =Sum of years</t>
  </si>
  <si>
    <t>Core Crown Net Worth (Assets - Liabilities)</t>
  </si>
  <si>
    <r>
      <t xml:space="preserve">CHECK: Core Crown Net Worth in </t>
    </r>
    <r>
      <rPr>
        <b/>
        <i/>
        <sz val="11"/>
        <rFont val="Arial"/>
        <family val="2"/>
      </rPr>
      <t>Fiscal</t>
    </r>
    <r>
      <rPr>
        <b/>
        <sz val="11"/>
        <rFont val="Arial"/>
        <family val="2"/>
      </rPr>
      <t xml:space="preserve"> worksheet = Calculated value</t>
    </r>
  </si>
  <si>
    <t>CHECK: Annual change in Core Crown Net Worth = Operating Balance</t>
  </si>
  <si>
    <t>Core Crown borrowings (includes unsettled purchases of securities)</t>
  </si>
  <si>
    <t>Gross sovereign-issued debt (GSID) (a core Crown debt measure)</t>
  </si>
  <si>
    <t>Less core Crown financial assets (excludes receivables)</t>
  </si>
  <si>
    <t>Add back core Crown advances (excluding advances held by NZS Fund)</t>
  </si>
  <si>
    <t>Add back NZS Fund holdings of core Crown financial assets &amp; NZS Fund financial assets</t>
  </si>
  <si>
    <t>Net core Crown debt excluding NZS Fund and advances</t>
  </si>
  <si>
    <t>Net cash flow from operations</t>
  </si>
  <si>
    <t>Net sale/(purchase) of physical assets</t>
  </si>
  <si>
    <t>Net issue/(repayment) of borrowings</t>
  </si>
  <si>
    <t>Reconciliation between net cash flows from operations and operating balance</t>
  </si>
  <si>
    <t>Net cash flow from financing</t>
  </si>
  <si>
    <t>CHECK: Oper Balance (ex min int) = Net cash from oper+Gains+Non-cash+Mvmt WC</t>
  </si>
  <si>
    <t>UIM</t>
  </si>
  <si>
    <t>Gains and losses on financial instruments</t>
  </si>
  <si>
    <t>State-owned enterprises</t>
  </si>
  <si>
    <t>Gains and losses on non-financial instruments</t>
  </si>
  <si>
    <t>Tax receivables</t>
  </si>
  <si>
    <t>Trade and other receivables</t>
  </si>
  <si>
    <t>Kiwibank mortgages</t>
  </si>
  <si>
    <t>Student Loans</t>
  </si>
  <si>
    <t>Less initial write-down to fair value</t>
  </si>
  <si>
    <t>Repayments made during the year</t>
  </si>
  <si>
    <t>(Impairment)/reversal of impairment</t>
  </si>
  <si>
    <t>Schedule of movements</t>
  </si>
  <si>
    <t>Additions</t>
  </si>
  <si>
    <t>Disposals</t>
  </si>
  <si>
    <t>Net revaluations</t>
  </si>
  <si>
    <t>Other (mainly transfers to/from other asset categories)</t>
  </si>
  <si>
    <t>Closing balance of cost or valuation</t>
  </si>
  <si>
    <t>Eliminated on disposal</t>
  </si>
  <si>
    <t>Eliminated on revaluation</t>
  </si>
  <si>
    <t>Impairment losses charged to operating balance</t>
  </si>
  <si>
    <t>Depreciation expense</t>
  </si>
  <si>
    <t>Total accumulated depreciation and impairment</t>
  </si>
  <si>
    <t>Revenue</t>
  </si>
  <si>
    <t>Less current tax expense</t>
  </si>
  <si>
    <t>Less other expenses</t>
  </si>
  <si>
    <t>Add gains/(losses)</t>
  </si>
  <si>
    <t>Gross capital contribution from the Crown</t>
  </si>
  <si>
    <t>Closing net worth</t>
  </si>
  <si>
    <t>Financial assets</t>
  </si>
  <si>
    <t>Financial liabilities</t>
  </si>
  <si>
    <t>Net other assets</t>
  </si>
  <si>
    <t>Accounts payable</t>
  </si>
  <si>
    <t>Taxes repayable</t>
  </si>
  <si>
    <t>Other (includes inter-segment elimination)</t>
  </si>
  <si>
    <t>Gains/(losses)</t>
  </si>
  <si>
    <t>Tax receipts</t>
  </si>
  <si>
    <t>Interest, profits and dividends</t>
  </si>
  <si>
    <t>Sales of goods and services and other receipts</t>
  </si>
  <si>
    <t>Personnel and operating costs</t>
  </si>
  <si>
    <t>Net repayment/(issue) of advances</t>
  </si>
  <si>
    <t>Net sale/(purchase) of investments</t>
  </si>
  <si>
    <t>Core Crown Residual cash surplus/(deficit)</t>
  </si>
  <si>
    <t>Total borrowing cash flows</t>
  </si>
  <si>
    <t>Net sale/(purchase) of marketable securities and deposits</t>
  </si>
  <si>
    <t>Decrease/(increase) in cash</t>
  </si>
  <si>
    <t>Residual cash deficit/(surplus) funding or investing</t>
  </si>
  <si>
    <t>CHECK: Gain/(loss) on fncl ins in Statement of Financial Performance =Sum of segments</t>
  </si>
  <si>
    <t>CHECK: Gain/(loss) on n-f ins in Statement of Financial Performance =Sum of segments</t>
  </si>
  <si>
    <t>CHECK: Receivables in Statement of Financial Position =Sum of Tax &amp; Trade versions</t>
  </si>
  <si>
    <t>Receivables from Financial assets note</t>
  </si>
  <si>
    <t>Student Loans and Kiwibank mortgages from Financial assets note</t>
  </si>
  <si>
    <t>CHECK: Student Loans in Financial assets note =Closing book value</t>
  </si>
  <si>
    <t>CHECK: Property, plant &amp; equipmt in Statement of Financial Position =Sum of segments</t>
  </si>
  <si>
    <t>Property, plant and equipment (P,P&amp;E)</t>
  </si>
  <si>
    <t>CHECK: P,P&amp;E in Statement of Financial Position =Closing balance - Accum deprc &amp; impt</t>
  </si>
  <si>
    <t>CHECK: Intangible assets &amp;goodwill in Statement of Financial Position =Sum of segments</t>
  </si>
  <si>
    <t>CHECK: Closing net worth =Sum of financial assets less liabilities and net other assets</t>
  </si>
  <si>
    <t>CHECK: Payables in Statement of Financial Position =Sum of types</t>
  </si>
  <si>
    <t>CHECK: Insurance liabilities in Statement of Financial Position =Sum of types</t>
  </si>
  <si>
    <t>Core Crown (excluding NZS Fund) residual cash</t>
  </si>
  <si>
    <t>New Zealand Superannuation Fund (NZS Fund)</t>
  </si>
  <si>
    <t>Net core Crown operating cash flows  (incl Forecast new oper spend &amp; Top-down adjust)</t>
  </si>
  <si>
    <t>Net CC capital cash flows (incl NZS Fund contrb, ann. Fcast new cap spend &amp; T-d adjust)</t>
  </si>
  <si>
    <t>CHECK: Residual cash =Sum of Core Crown operating and capital cash flows</t>
  </si>
  <si>
    <t>Total investing cash flows (incl issues of circulat currency from Statement of Cash Flows)</t>
  </si>
  <si>
    <t>Source deductions (mainly PAYE on wages and salaries)</t>
  </si>
  <si>
    <t>Total corporate tax (mainly company tax)</t>
  </si>
  <si>
    <t>Total goods and services tax (consolidated GST)</t>
  </si>
  <si>
    <t>Total taxation revenue</t>
  </si>
  <si>
    <t>Inter-segment elimination of tax revenue</t>
  </si>
  <si>
    <t>Core Crown taxation revenue</t>
  </si>
  <si>
    <t>Hypothecated transport taxes (petrol duties, road user charges &amp; vehicle registration fees)</t>
  </si>
  <si>
    <t>Stable percentage of nominal GDP for source deductions tax revenue</t>
  </si>
  <si>
    <t>Transition rate from end-of-forecast to stable percentages for all tax types (pctge points per year)</t>
  </si>
  <si>
    <t>Stable percentage of nominal GDP for corporate tax revenue</t>
  </si>
  <si>
    <t>Stable percentage of nominal GDP for goods and services tax (GST) revenue</t>
  </si>
  <si>
    <t>Stable percentage of nominal GDP for hypothecated transport taxes revenue</t>
  </si>
  <si>
    <t>Stable percentage of nominal GDP for remaining tax types revenue</t>
  </si>
  <si>
    <t>Stable percentage of nominal GDP for tax inter-segment elimination</t>
  </si>
  <si>
    <t>Core Crown other sovereign revenue</t>
  </si>
  <si>
    <t>Other non-core Crown other sovereign revenue</t>
  </si>
  <si>
    <t>Total other sovereign revenue</t>
  </si>
  <si>
    <t>Core Crown sales of goods and services</t>
  </si>
  <si>
    <t>Total sales of goods and services (dominated by SOE sales)</t>
  </si>
  <si>
    <t>NAC</t>
  </si>
  <si>
    <t>Core Crown other revenue</t>
  </si>
  <si>
    <t>Total other revenue</t>
  </si>
  <si>
    <t>WORKING-AGE MAIN BENEFIT AGE &amp; GENDER SHARES</t>
  </si>
  <si>
    <t>Jobseeker Support aged 18 &amp; 19 years</t>
  </si>
  <si>
    <t>Jobseeker Support aged 20 to 29 years</t>
  </si>
  <si>
    <t>Jobseeker Support aged 30 to 44 years</t>
  </si>
  <si>
    <t>Jobseeker Support aged 65 years and above</t>
  </si>
  <si>
    <t>Jobseeker Support aged 55 to 64 years</t>
  </si>
  <si>
    <t>Jobseeker Support aged 45 to 54 years</t>
  </si>
  <si>
    <t>New Zealand Superannuation (NZS), main public pension</t>
  </si>
  <si>
    <t>Annual growth rates of selected age and gender groups</t>
  </si>
  <si>
    <t>Aged 65 years and over</t>
  </si>
  <si>
    <t>Supported Living Payment aged 18 &amp; 19 years</t>
  </si>
  <si>
    <t>Supported Living Payment aged 65 years and above</t>
  </si>
  <si>
    <t>Supported Living Payment aged 20 to 39 years</t>
  </si>
  <si>
    <t>Supported Living Payment aged 40 to 49 years</t>
  </si>
  <si>
    <t>Supported Living Payment aged 50 to 59 years</t>
  </si>
  <si>
    <t>Supported Living Payment aged 60 to 64 years</t>
  </si>
  <si>
    <t>Sole Parent Support Females aged 18 &amp; 19 years</t>
  </si>
  <si>
    <t>Sole Parent Support Females aged 20 to 29 years</t>
  </si>
  <si>
    <t>Sole Parent Support Females aged 30 to 44 years</t>
  </si>
  <si>
    <t>Sole Parent Support Females aged 45 to 59 years</t>
  </si>
  <si>
    <t>Sole Parent Support Males aged 20 to 59 years</t>
  </si>
  <si>
    <t>Sole Parent Support aged 60 years and above</t>
  </si>
  <si>
    <t xml:space="preserve">Aged 18 &amp; 19 years </t>
  </si>
  <si>
    <t xml:space="preserve">Females, Aged 18 &amp; 19 years </t>
  </si>
  <si>
    <t xml:space="preserve">Aged 20 to 29 years </t>
  </si>
  <si>
    <t xml:space="preserve">Females, Aged 20 to 29 years </t>
  </si>
  <si>
    <t xml:space="preserve">Aged 20 to 39 years </t>
  </si>
  <si>
    <t xml:space="preserve">Aged 30 to 44 years </t>
  </si>
  <si>
    <t xml:space="preserve">Females, Aged 30 to 44 years </t>
  </si>
  <si>
    <t xml:space="preserve">Aged 40 to 49 years </t>
  </si>
  <si>
    <t xml:space="preserve">Aged 45 to 54 years </t>
  </si>
  <si>
    <t xml:space="preserve">Females, Aged 45 to 59 years </t>
  </si>
  <si>
    <t xml:space="preserve">Males, Aged 20 to 59 years </t>
  </si>
  <si>
    <t xml:space="preserve">Aged 50 to 59 years </t>
  </si>
  <si>
    <t xml:space="preserve">Aged 55 to 64 years </t>
  </si>
  <si>
    <t xml:space="preserve">Aged 60 to 64 years </t>
  </si>
  <si>
    <t>Jobseeker support and emergency benefit</t>
  </si>
  <si>
    <t>Net of tax &amp; ACC Earner levy average ordinary time weekly earnings ($ per week)</t>
  </si>
  <si>
    <t>Gross per person weekly couple rate of New Zealand Superannuation ($ per week)</t>
  </si>
  <si>
    <t>New Zealand Superannuation projection parameters</t>
  </si>
  <si>
    <t>Percentage of net ordinary time weekly earnings that serves as NZS wage floor</t>
  </si>
  <si>
    <t>Net per person weekly couple rate of New Zealand Superannuation ($ per week)</t>
  </si>
  <si>
    <t>Working for Families tax credits</t>
  </si>
  <si>
    <t>Aged 15 years and above (WAP)</t>
  </si>
  <si>
    <t>Supplementary benefits</t>
  </si>
  <si>
    <t>Stable percentage of nominal GDP for supplementary benefits</t>
  </si>
  <si>
    <t>Welfare benefits (approx. as Total social asstnce grants minus Student allowances)</t>
  </si>
  <si>
    <t>Total social assistance grants</t>
  </si>
  <si>
    <t>KiwiSaver subsidies</t>
  </si>
  <si>
    <t>Total transfer payments and subsidies</t>
  </si>
  <si>
    <t>Stable percentage of nominal GDP for official development assistance (ODA)</t>
  </si>
  <si>
    <t>Core Crown transfer payments and subsidies</t>
  </si>
  <si>
    <t>Departmental and non-departmental social security and welfare expenses</t>
  </si>
  <si>
    <t>Core Crown social security and welfare expenses</t>
  </si>
  <si>
    <t>Crown entities social security and welfare expenses (dominated by ACC payments)</t>
  </si>
  <si>
    <t>Inter-segment elimination for social security &amp; welfare exps (Crown share of ACC paymts)</t>
  </si>
  <si>
    <t>Total social security and welfare expenses</t>
  </si>
  <si>
    <t>State-owned enterprises (SOE's)</t>
  </si>
  <si>
    <t>Inter-segment elimination</t>
  </si>
  <si>
    <t>Total personnel expenses</t>
  </si>
  <si>
    <t>Total depreciation and amortisation</t>
  </si>
  <si>
    <t>Total other operating expenses</t>
  </si>
  <si>
    <t>Interest expenses (also called Finance costs)</t>
  </si>
  <si>
    <t>Total interest expenses</t>
  </si>
  <si>
    <t>Effective interest rate on core Crown gross debt</t>
  </si>
  <si>
    <t>Total insurance expenses</t>
  </si>
  <si>
    <t>ACC</t>
  </si>
  <si>
    <t>EQC &amp; other insurance expenses</t>
  </si>
  <si>
    <t>Forecasting new operating spending</t>
  </si>
  <si>
    <t>New operating spending annual increment in first projected year ($ billion)</t>
  </si>
  <si>
    <t>Annual growth rate of annual increment to new operating spending in later projected years</t>
  </si>
  <si>
    <t>Health expenses</t>
  </si>
  <si>
    <t>Total health expenses</t>
  </si>
  <si>
    <t>Education expenses</t>
  </si>
  <si>
    <t>Student loans - initial write-down to fair value and impairment</t>
  </si>
  <si>
    <t>Student loans</t>
  </si>
  <si>
    <t>Closing book value</t>
  </si>
  <si>
    <t>Other core Crown education expenses</t>
  </si>
  <si>
    <t>Core Crown education expenses</t>
  </si>
  <si>
    <t>Total education expenses</t>
  </si>
  <si>
    <t>Core government services expenses</t>
  </si>
  <si>
    <t>Operating balance of NZS Fund</t>
  </si>
  <si>
    <t>Capital contribution from/(withdrawal to) the Crown</t>
  </si>
  <si>
    <t>Less repayments made during the year</t>
  </si>
  <si>
    <t>Less impairment</t>
  </si>
  <si>
    <t>Comprising:</t>
  </si>
  <si>
    <t>Less Financial liabilities</t>
  </si>
  <si>
    <t>Tax receivable write-down and impairments</t>
  </si>
  <si>
    <t>From Exogenous</t>
  </si>
  <si>
    <t>TAX RECEIVABLE WRITE-DOWN AND IMPAIRMENTS</t>
  </si>
  <si>
    <t>($ billions)</t>
  </si>
  <si>
    <t>Other core Crown core government services expenses</t>
  </si>
  <si>
    <t>Core Crown core government services expenses</t>
  </si>
  <si>
    <t>Total core government services expenses</t>
  </si>
  <si>
    <t>Core Crown law and order expenses</t>
  </si>
  <si>
    <t>Total law and order expenses</t>
  </si>
  <si>
    <t>Core Crown defence expenses</t>
  </si>
  <si>
    <t>Total defence expenses</t>
  </si>
  <si>
    <t>Transport and communications expenses</t>
  </si>
  <si>
    <t>Total transport and communications expenses</t>
  </si>
  <si>
    <t>Economic and industrial services expenses</t>
  </si>
  <si>
    <t>Other core Crown economic and industrial services expenses</t>
  </si>
  <si>
    <t>Core Crown economic and industrial services expenses</t>
  </si>
  <si>
    <t>Total economic and industrial services expenses</t>
  </si>
  <si>
    <t>Core Crown heritage, culture and recreation expenses</t>
  </si>
  <si>
    <t>Total heritage, culture and recreation expenses</t>
  </si>
  <si>
    <t>Core Crown primary services expenses</t>
  </si>
  <si>
    <t>Total primary services expenses</t>
  </si>
  <si>
    <t>Core Crown housing and community development expenses</t>
  </si>
  <si>
    <t>Total housing and community development expenses</t>
  </si>
  <si>
    <t>Core Crown environmental protection expenses</t>
  </si>
  <si>
    <t>Total environmental protection expenses</t>
  </si>
  <si>
    <t>Core Crown other expenses</t>
  </si>
  <si>
    <t>Total other expenses</t>
  </si>
  <si>
    <t>Projected year in which "Other" expenses are set to zero</t>
  </si>
  <si>
    <t>Non-core Crown expenses excluding welfare, health, education, transport &amp; interest</t>
  </si>
  <si>
    <t>State-owned enterprises (projected as ratio of Economic &amp; industrial services)</t>
  </si>
  <si>
    <t>Inter-segment elimination (projected as Total less core Crown less CE &amp; SOE terms)</t>
  </si>
  <si>
    <t>Gains and losses on financial and non-financial instruments</t>
  </si>
  <si>
    <t>Total gains and losses</t>
  </si>
  <si>
    <t>Core Crown net surplus/(deficit) from associates and joint ventures</t>
  </si>
  <si>
    <t>Total net surplus/(deficit) from associates and joint ventures</t>
  </si>
  <si>
    <t>NZS Fund cash and cash equivalents</t>
  </si>
  <si>
    <t>Other core Crown cash and cash equivalents</t>
  </si>
  <si>
    <t>Core Crown cash and cash equivalents</t>
  </si>
  <si>
    <t>Total cash and cash equivalents</t>
  </si>
  <si>
    <t>NZS Fund receivables</t>
  </si>
  <si>
    <t>Other core Crown receivables</t>
  </si>
  <si>
    <t>Core Crown receivables</t>
  </si>
  <si>
    <t>Total receivables</t>
  </si>
  <si>
    <t>CE marketable securities, deposits and derivatives in gain</t>
  </si>
  <si>
    <t>SOE marketable securities, deposits and derivatives in gain</t>
  </si>
  <si>
    <t>CE share investments</t>
  </si>
  <si>
    <t>SOE share investments</t>
  </si>
  <si>
    <t>NZS Fund marketable securities, deposits and derivatives in gain</t>
  </si>
  <si>
    <t>Other core Crown marketable securities, deposits and derivatives in gain</t>
  </si>
  <si>
    <t>Core Crown marketable securities, deposits and derivatives in gain</t>
  </si>
  <si>
    <t>CORE CROWN RESIDUAL CASH (EXCLUDES NZS FUND)</t>
  </si>
  <si>
    <t>Interest, profit and dividends</t>
  </si>
  <si>
    <t>Net core Crown operating cash flows</t>
  </si>
  <si>
    <t>Net core Crown capital cash flows</t>
  </si>
  <si>
    <t>Residual cash surplus/(deficit)</t>
  </si>
  <si>
    <t>Total investing cash flows</t>
  </si>
  <si>
    <t>Less Transfer payments and subsidies</t>
  </si>
  <si>
    <t>Less Personnel and operating costs</t>
  </si>
  <si>
    <t>Less Interest payments</t>
  </si>
  <si>
    <t>Less Capital contribution/(withdrawal) to the NZS Fund</t>
  </si>
  <si>
    <t>Total marketable securities, deposits and derivatives in gain</t>
  </si>
  <si>
    <t>Operating allowances</t>
  </si>
  <si>
    <t>Government Superannuation Fund (GSF) pension expenses</t>
  </si>
  <si>
    <t>Core Crown GSF pension expenses</t>
  </si>
  <si>
    <t>Total GSF pension expenses</t>
  </si>
  <si>
    <t>Law and order expenses</t>
  </si>
  <si>
    <t>Defence expenses</t>
  </si>
  <si>
    <t>Heritage, culture and recreation expenses</t>
  </si>
  <si>
    <t>Primary services expenses</t>
  </si>
  <si>
    <t>Housing and community development expenses</t>
  </si>
  <si>
    <t>Environmental protection expenses</t>
  </si>
  <si>
    <t>Other expenses</t>
  </si>
  <si>
    <t>NZS Fund share investments</t>
  </si>
  <si>
    <t>Other core Crown share investments</t>
  </si>
  <si>
    <t>Core Crown share investments</t>
  </si>
  <si>
    <t>Total share investments</t>
  </si>
  <si>
    <t>NZS Fund advances</t>
  </si>
  <si>
    <t>Other core Crown advances</t>
  </si>
  <si>
    <t>Core Crown advances</t>
  </si>
  <si>
    <t>Total advances</t>
  </si>
  <si>
    <t>Kiwibank mortgages (SOE)</t>
  </si>
  <si>
    <t>Other non-core Crown advances, mainly inter-segment eliminations</t>
  </si>
  <si>
    <t>Core Crown inventory (approximated)</t>
  </si>
  <si>
    <t>Total inventory</t>
  </si>
  <si>
    <t>Core Crown other assets (approximated)</t>
  </si>
  <si>
    <t>Total other assets</t>
  </si>
  <si>
    <t>Property, plant and equipment</t>
  </si>
  <si>
    <t>Total property, plant and equipment</t>
  </si>
  <si>
    <t>Total net additions less disposals plus net revaluations plus other transfers</t>
  </si>
  <si>
    <t>Core Crown property, plant and equipment</t>
  </si>
  <si>
    <t>NZS Fund property, plant and equipment</t>
  </si>
  <si>
    <t>Other core Crown property, plant and equipment</t>
  </si>
  <si>
    <t>NZS Fund equity accounted investments</t>
  </si>
  <si>
    <t>Other core Crown equity accounted investments</t>
  </si>
  <si>
    <t>Core Crown equity accounted investments</t>
  </si>
  <si>
    <t>Total equity accounted investments</t>
  </si>
  <si>
    <t>Total intangible assets and goodwill</t>
  </si>
  <si>
    <t>Forecast new spending for Budget in first forecast year</t>
  </si>
  <si>
    <t>Forecast new spending for Budget in second forecast year</t>
  </si>
  <si>
    <t>Forecast new spending for Budget in third forecast year</t>
  </si>
  <si>
    <t>Forecast new spending for Budget in fourth forecast year</t>
  </si>
  <si>
    <t>Forecast new spending for Budget in fifth forecast year</t>
  </si>
  <si>
    <t>Forecast new spending for Budget in projected years</t>
  </si>
  <si>
    <t>Total addition to forecast new capital spending in year</t>
  </si>
  <si>
    <t>Annual forecast new capital spending for year</t>
  </si>
  <si>
    <t>New capital spending annual increment in first projected year ($ billion)</t>
  </si>
  <si>
    <t>Annual growth rate of annual increment to new capital spending in later projected years</t>
  </si>
  <si>
    <t>Core Crown (there are no Crown entity or SOE issued currency liabilities)</t>
  </si>
  <si>
    <t>NZS Fund payables</t>
  </si>
  <si>
    <t>Other core Crown payables</t>
  </si>
  <si>
    <t>Core Crown payables</t>
  </si>
  <si>
    <t>Total payables</t>
  </si>
  <si>
    <t>Core Crown deferred revenue</t>
  </si>
  <si>
    <t>Total deferred revenue</t>
  </si>
  <si>
    <t>Accident Compensation Corporation (ACC, a Crown entity)</t>
  </si>
  <si>
    <t>Other non-core Crown insurance liabilities, including inter-segment eliminations</t>
  </si>
  <si>
    <t>Total insurance liabilities</t>
  </si>
  <si>
    <t>Core Crown insurance liabilities</t>
  </si>
  <si>
    <t>Retirement plan liabilities (dominated by Government Superannuation Fund)</t>
  </si>
  <si>
    <t>Core Crown retirement plan liabilities</t>
  </si>
  <si>
    <t>Non-core Crown retirement plan liabilities</t>
  </si>
  <si>
    <t>Total retirement plan liabilities</t>
  </si>
  <si>
    <t>Core Crown provisions</t>
  </si>
  <si>
    <t>Total provisions</t>
  </si>
  <si>
    <t>Student loans (interest unwind)</t>
  </si>
  <si>
    <t>New Zealand Superannuation (NZS) Fund revenue</t>
  </si>
  <si>
    <t>Other core Crown interest revenue and dividends</t>
  </si>
  <si>
    <t>Core Crown interest revenue and dividends</t>
  </si>
  <si>
    <t>Total interest revenue and dividends</t>
  </si>
  <si>
    <t>Total Crown revenue (excluding Gains)</t>
  </si>
  <si>
    <t>Less Total Crown expenses (excluding Losses)</t>
  </si>
  <si>
    <t>Total Crown total gains/(losses)</t>
  </si>
  <si>
    <t>Less Minority interest share of operating balance before gains/(losses)</t>
  </si>
  <si>
    <t>Less Minority interest share of net gains/(losses)</t>
  </si>
  <si>
    <t>Operating balance (excluding Minority interests)</t>
  </si>
  <si>
    <t>Core Crown revenue (excluding Gains)</t>
  </si>
  <si>
    <t>Core Crown expenses (excluding Losses)</t>
  </si>
  <si>
    <t>Total Crown operating balance before gains and losses (OBEGAL)</t>
  </si>
  <si>
    <t>Total Crown operating balance (excluding minority interests)</t>
  </si>
  <si>
    <t>CHECK: Total Crown expenses: Functional classes sum = Operational classes sum</t>
  </si>
  <si>
    <t>Core Crown primary balance</t>
  </si>
  <si>
    <t>Core Crown residual cash</t>
  </si>
  <si>
    <t>CHECK: Core Crown expenses: Functional classes sum = Operational classes sum</t>
  </si>
  <si>
    <t>Total Crown assets</t>
  </si>
  <si>
    <t>Total net worth attributable to the Crown</t>
  </si>
  <si>
    <r>
      <t xml:space="preserve">CHECK: Total Crown net worth in </t>
    </r>
    <r>
      <rPr>
        <b/>
        <i/>
        <sz val="11"/>
        <rFont val="Arial"/>
        <family val="2"/>
      </rPr>
      <t>Fiscal</t>
    </r>
    <r>
      <rPr>
        <b/>
        <sz val="11"/>
        <rFont val="Arial"/>
        <family val="2"/>
      </rPr>
      <t xml:space="preserve"> worksheet = Calculated value</t>
    </r>
  </si>
  <si>
    <t>CHECK: Annual change in Total Crown net worth = Operating balance (ex min int)</t>
  </si>
  <si>
    <t>Less Total Crown liabilities</t>
  </si>
  <si>
    <t>Total Crown net worth</t>
  </si>
  <si>
    <t>Less Core Crown borrowings (excludes unsettled purchases of securities)</t>
  </si>
  <si>
    <t xml:space="preserve">Final projected year for KiwiSaver subsidies exogenous track (switches to GDP growth after this) </t>
  </si>
  <si>
    <t>Small asset &amp; liability class transition parameters to reach stable % of GDP in projections</t>
  </si>
  <si>
    <t>For several small asset and liability classes the projection moves towards an average percentage of nominal GDP. This average is</t>
  </si>
  <si>
    <t>last forecast year and cannot be more than 5 years. The number of projected years to achieve the full transition is also selected here.</t>
  </si>
  <si>
    <t>Number of forecast years, beginning with the last, used to calculate average percentage of GDP</t>
  </si>
  <si>
    <t>Number of projected years used to transition from the end of forecast to the stable % of GDP</t>
  </si>
  <si>
    <t>Transition increments for small asset &amp; liability classes</t>
  </si>
  <si>
    <t>Cost of concessionary lending</t>
  </si>
  <si>
    <t>CHECK: Residual cash s/(d) = Negative of sum of borrowing + investing cash flows</t>
  </si>
  <si>
    <t>CHECK: Res. cash = Neg. of ann. chg. in core Crown net debt &amp; currency &amp; factors*</t>
  </si>
  <si>
    <t>CORE CROWN STATEMENT OF CASH FLOWS (FROM RESIDUAL CASH)</t>
  </si>
  <si>
    <t>Net cash flow from operations (add back NZS Fund variables, subtract NZS Fund tax)</t>
  </si>
  <si>
    <t>Net cash flow from investing (capital cash + cash from MSDs &amp; shares &amp; NZS Fund cash)</t>
  </si>
  <si>
    <t>Net movement in core Crown cash and cash equivalents</t>
  </si>
  <si>
    <t>CHECK: Core Crown Oper Bal = Net cash from oper+Gains+Non-cash+Mvmt WC</t>
  </si>
  <si>
    <t>CC financial assets from Statement of Borrowings =Cash +MSDs +Shares +Advances</t>
  </si>
  <si>
    <t>Number of projected years before effective interest rate reaches stable Govt bond rate</t>
  </si>
  <si>
    <t>Less Forecast for future new capital spending and Top-down capital expense adjustment</t>
  </si>
  <si>
    <t>Less Forecast for future new operating spending and Top-down expense adjustment</t>
  </si>
  <si>
    <t>Forecast for future new operating spending and Top-down expense adjustment</t>
  </si>
  <si>
    <t>Less Depreciation and amortisation</t>
  </si>
  <si>
    <t>Total cash disbursed to operations</t>
  </si>
  <si>
    <t>Net cash flow from investing</t>
  </si>
  <si>
    <t>Less Cost of concessionary lending and impairment on financial assets (excl. receivables)</t>
  </si>
  <si>
    <t>Less Cost of concessionary lending and impairment on financial assets (excluding receivables)</t>
  </si>
  <si>
    <t>Total other non-cash items</t>
  </si>
  <si>
    <t>Total gains/(losses) less minority interest share of gains/(losses)</t>
  </si>
  <si>
    <t>Net issue/(repayment) of borrowings = Ann. change in cash - Sum of components above</t>
  </si>
  <si>
    <t>Less increase in cash</t>
  </si>
  <si>
    <t>Less NZS Fund borrowings minus any holdings of sovereign-issued debt by the NZS Fund</t>
  </si>
  <si>
    <t>Less Net purchase/(sale) of physical assets</t>
  </si>
  <si>
    <t>Less Net purchase/(sale) of shares and other securities</t>
  </si>
  <si>
    <t>Less Net purchase/(sale) of intangible assets</t>
  </si>
  <si>
    <t>Less Net issues/(repayment) of advances</t>
  </si>
  <si>
    <t>Less Net acquisition/(divestment) of investments in associates</t>
  </si>
  <si>
    <t>Less Increase/(decrease) in defined benefit retirement plan liabilities</t>
  </si>
  <si>
    <t>Less Increase/(decrease) in insurance liabilities</t>
  </si>
  <si>
    <t>Less Other</t>
  </si>
  <si>
    <t>Less Increase/(decrease) in deferred revenue</t>
  </si>
  <si>
    <t>Less Increase/(decrease) in payables/provisions</t>
  </si>
  <si>
    <t>Less Core Crown elimination, impairment and transfers to other assets</t>
  </si>
  <si>
    <t>Less Total elimination, impairment and transfers to other assets</t>
  </si>
  <si>
    <t>Less Net issue/(repayment) of advances</t>
  </si>
  <si>
    <t>Less Net purchase/(sale) of investments</t>
  </si>
  <si>
    <r>
      <t xml:space="preserve">Select key fiscal variable, in nominal dollars, from drop-down box </t>
    </r>
    <r>
      <rPr>
        <b/>
        <sz val="11"/>
        <color indexed="8"/>
        <rFont val="Calibri"/>
        <family val="2"/>
      </rPr>
      <t>↓</t>
    </r>
  </si>
  <si>
    <t>Total Crown OBEGAL</t>
  </si>
  <si>
    <t>Gross sovereign-issued debt</t>
  </si>
  <si>
    <t>Net core Crown debt (excl. NZS Fund financial assets &amp; advances)</t>
  </si>
  <si>
    <t>Total Crown revenue</t>
  </si>
  <si>
    <t>Total Crown expenses</t>
  </si>
  <si>
    <t>Total Crown net worth attributable to the Crown</t>
  </si>
  <si>
    <t>Total Crown borrowings</t>
  </si>
  <si>
    <t>Total Crown tax revenue</t>
  </si>
  <si>
    <t>Core Crown tax revenue</t>
  </si>
  <si>
    <t>Key fiscal indicator displayed as percentage of nominal GDP</t>
  </si>
  <si>
    <r>
      <t xml:space="preserve">Key fiscal variable selected from drop-down list box </t>
    </r>
    <r>
      <rPr>
        <b/>
        <sz val="12"/>
        <color indexed="8"/>
        <rFont val="Calibri"/>
        <family val="2"/>
      </rPr>
      <t>↓</t>
    </r>
  </si>
  <si>
    <t>Less Net purchase/(sale) of marketable securities and deposits (MSDs) and shares</t>
  </si>
  <si>
    <t>2004/05</t>
  </si>
  <si>
    <t>The Financial Statements of the Government of New Zealand are now prepared under the Public Sector Public Benefit Entities (PBE) accounting standard.</t>
  </si>
  <si>
    <t>However prior to the fiscal year (year ended 30 June) 2014/15  these accounts were prepared using an International Financial Reporting Standards (IFRS) standard.</t>
  </si>
  <si>
    <t>As all fiscal data has not been backdated to the PBE standard only the main fiscal indicators reported in the drop-down box at the top of the main modelling worksheet are given in this worksheet.</t>
  </si>
  <si>
    <t>As percentage of nominal GDP</t>
  </si>
  <si>
    <t>Total core Crown expenses</t>
  </si>
  <si>
    <t>Zero marker (set to zero to avoid using any pasted in numbers in modelling worksheets)</t>
  </si>
  <si>
    <t>Historical</t>
  </si>
  <si>
    <r>
      <t xml:space="preserve">Year </t>
    </r>
    <r>
      <rPr>
        <b/>
        <sz val="11"/>
        <color indexed="12"/>
        <rFont val="Calibri"/>
        <family val="2"/>
      </rPr>
      <t>↓</t>
    </r>
  </si>
  <si>
    <t>History &amp; Forecast only</t>
  </si>
  <si>
    <t>First Projected Year (key variable, must set to year immediately after last forecast year)</t>
  </si>
  <si>
    <t>Any year variable used in this worksheet should be a number variable but will refer to a June-end year e.g. enter the number 2021 for the year ended 30 June 2021 or fiscal year 2020/21.</t>
  </si>
  <si>
    <t>The nominal GDP divisor used in the main modelling worksheet has also been provided in this worksheet for these historical years.</t>
  </si>
  <si>
    <t>NOMINAL GDP (expenditure measure)</t>
  </si>
  <si>
    <t>Stable percentage of nominal GDP for main working-age benefits</t>
  </si>
  <si>
    <t>Assumptions</t>
  </si>
  <si>
    <t>Allocate</t>
  </si>
  <si>
    <t>Exogenous</t>
  </si>
  <si>
    <t>Display</t>
  </si>
  <si>
    <t>None.</t>
  </si>
  <si>
    <t>In cell B1 at the top of the new modelling</t>
  </si>
  <si>
    <t>There are standard sets of assumptions</t>
  </si>
  <si>
    <t>the main modelling worksheets by right</t>
  </si>
  <si>
    <t>new modelled scenario is to copy one of</t>
  </si>
  <si>
    <t>needed to run a scenario are entered by</t>
  </si>
  <si>
    <t>Any modelling worksheet that is set up.</t>
  </si>
  <si>
    <t xml:space="preserve">All of the assumptions and parameters </t>
  </si>
  <si>
    <t>Used in many places throughout the main</t>
  </si>
  <si>
    <t>various sections tally with each other.</t>
  </si>
  <si>
    <t>State-owned enterprise (SOE) variables.</t>
  </si>
  <si>
    <t>in some cases extends to Crown entity and</t>
  </si>
  <si>
    <t>core Crown and total Crown variables, and</t>
  </si>
  <si>
    <t>in this worksheet. Because there is so</t>
  </si>
  <si>
    <t>in the main modelling worksheets. Covers</t>
  </si>
  <si>
    <t>liability, revenue and expense categories</t>
  </si>
  <si>
    <t>Used as the base of projections of asset,</t>
  </si>
  <si>
    <t>in these main modelling worksheets.</t>
  </si>
  <si>
    <t>into the projection of NZ Superannuation</t>
  </si>
  <si>
    <t>Also used as the base of various inputs</t>
  </si>
  <si>
    <t>in the main modelling worksheets.</t>
  </si>
  <si>
    <t>Used as the base of economic projections</t>
  </si>
  <si>
    <t>and to help users of the model.</t>
  </si>
  <si>
    <t>None. Purely for information purposes</t>
  </si>
  <si>
    <t>characteristic of being produced outside</t>
  </si>
  <si>
    <t>outside agencies. They all share the</t>
  </si>
  <si>
    <t>modelling worksheets, often in regard to</t>
  </si>
  <si>
    <t xml:space="preserve">projected tracks and demographic </t>
  </si>
  <si>
    <t>This worksheet contains a number of</t>
  </si>
  <si>
    <t>real and nominal GDP.</t>
  </si>
  <si>
    <t>a key driver in the projections of both</t>
  </si>
  <si>
    <t>aggregate labour force. This variable is</t>
  </si>
  <si>
    <t>main modelling worksheets to project the</t>
  </si>
  <si>
    <t>projections, by gender and single year of</t>
  </si>
  <si>
    <t>Used in the economic projections of the</t>
  </si>
  <si>
    <t>Zealand Superannuation (NZS) and other</t>
  </si>
  <si>
    <t>some expense types, especially New</t>
  </si>
  <si>
    <t>Used as a driver of recipient numbers for</t>
  </si>
  <si>
    <t>in projecting some economic variables.</t>
  </si>
  <si>
    <t>modelling worksheets, wherever</t>
  </si>
  <si>
    <t>Used in numerous places in the main</t>
  </si>
  <si>
    <t>Sources</t>
  </si>
  <si>
    <t>various worksheets in the model interact.</t>
  </si>
  <si>
    <t>information to help users know how the</t>
  </si>
  <si>
    <t>Guide</t>
  </si>
  <si>
    <t>of the main modelling worksheets.</t>
  </si>
  <si>
    <t>track to be displayed at the top of each</t>
  </si>
  <si>
    <t>offsets to allow the chosen fiscal variable</t>
  </si>
  <si>
    <t>Each of the main modelling worksheets.</t>
  </si>
  <si>
    <t>This is a hidden worksheet. It provides</t>
  </si>
  <si>
    <t>Uses outputs from these worksheets</t>
  </si>
  <si>
    <t>Provides inputs to these worksheets</t>
  </si>
  <si>
    <t>Purpose</t>
  </si>
  <si>
    <t>Forecasts</t>
  </si>
  <si>
    <t>downs &amp; impairments</t>
  </si>
  <si>
    <t>Mainly from Financial Statements published in past Budget EFU reports</t>
  </si>
  <si>
    <t>Historic data from Treasury publications</t>
  </si>
  <si>
    <t>History</t>
  </si>
  <si>
    <t>Tax Receivable write-</t>
  </si>
  <si>
    <t>2012 version</t>
  </si>
  <si>
    <t>Projection produced by actuaries for GSF</t>
  </si>
  <si>
    <t>Projections</t>
  </si>
  <si>
    <t>Fund (GSF)</t>
  </si>
  <si>
    <t>Superannuation</t>
  </si>
  <si>
    <t>Government</t>
  </si>
  <si>
    <t>Department (IRD)</t>
  </si>
  <si>
    <t xml:space="preserve">Inland Revenue </t>
  </si>
  <si>
    <t>KiwiSaver expenses</t>
  </si>
  <si>
    <t>Projection produced by ACC</t>
  </si>
  <si>
    <t>NZS Fund model website</t>
  </si>
  <si>
    <t>Projection produced by Treasury</t>
  </si>
  <si>
    <t>Fund (NZS Fund)</t>
  </si>
  <si>
    <t>New Zealand</t>
  </si>
  <si>
    <t>Forecasts from Ministry of Social</t>
  </si>
  <si>
    <t>transfers</t>
  </si>
  <si>
    <t>Social welfare</t>
  </si>
  <si>
    <t xml:space="preserve">Projections from Statistics NZ </t>
  </si>
  <si>
    <t>single year of age)</t>
  </si>
  <si>
    <t>(by gender and</t>
  </si>
  <si>
    <t>Based on Household Labour Force Survey (HLFS)</t>
  </si>
  <si>
    <t>Labour Force</t>
  </si>
  <si>
    <t>Statistics New Zealand website</t>
  </si>
  <si>
    <t>Historic data from Treasury databases</t>
  </si>
  <si>
    <t>This version of the FSM uses:</t>
  </si>
  <si>
    <t>FSM</t>
  </si>
  <si>
    <t>Stable percentage of nominal GDP for Working for Families (WFF) tax credits</t>
  </si>
  <si>
    <t>Stable percentage of nominal GDP for Student Allowances</t>
  </si>
  <si>
    <t>Fiscal drag elasticity applied to nominal wage growth</t>
  </si>
  <si>
    <t>No</t>
  </si>
  <si>
    <t>TAX PARAMETERS</t>
  </si>
  <si>
    <t>Tax rate</t>
  </si>
  <si>
    <t>Taxable income over $70,000 per year</t>
  </si>
  <si>
    <t>Gross ordinary time weekly earnings ($ per week)</t>
  </si>
  <si>
    <t>Gross average ordinary time weekly earnings ($ per week)</t>
  </si>
  <si>
    <t>ACC Earner levy</t>
  </si>
  <si>
    <t>Income limits</t>
  </si>
  <si>
    <t>Gross</t>
  </si>
  <si>
    <t>Net</t>
  </si>
  <si>
    <t>Tax</t>
  </si>
  <si>
    <t>SPECIFIC FISCAL ASSUMPTIONS RELATED TO STABILISING NET DEBT</t>
  </si>
  <si>
    <t>Desired percentage of GDP that net debt stabilises around</t>
  </si>
  <si>
    <t>Minimum annual increment for any projected Operating Allowance, as a percentage of GDP</t>
  </si>
  <si>
    <t>Mid-range annual increment for any projected Operating Allowance, as a percentage of GDP</t>
  </si>
  <si>
    <t>Maximum annual increment for any projected Operating Allowance, as a percentage of GDP</t>
  </si>
  <si>
    <t>Width of band around target percentage, to stay within, as a percentage of GDP</t>
  </si>
  <si>
    <t>This section allows the Operating Allowances to change in projected years in order to stabilise net core Crown debt at some chosen</t>
  </si>
  <si>
    <t>percentage of nominal GDP.</t>
  </si>
  <si>
    <t>Operating allowance annual increments to maintain net debt as percentage of GDP</t>
  </si>
  <si>
    <t>Enter fiscal year from which this stabilisation process begins</t>
  </si>
  <si>
    <t>Net-to-gross tax wedge</t>
  </si>
  <si>
    <t>ALLOCATION OF FORECAST NEW OPERATING SPENDING TO EXPENDITURE CATEGORIES</t>
  </si>
  <si>
    <t>Forecast Fiscal Year (year from 1 July to the following 30 June)</t>
  </si>
  <si>
    <t>Forecast New Operating Spending ($ billions)</t>
  </si>
  <si>
    <t>Top-down expense adjustment ($ billions)</t>
  </si>
  <si>
    <t>Total unallocated new operating spending ($ billions)</t>
  </si>
  <si>
    <t>Allocation</t>
  </si>
  <si>
    <t>CORE CROWN EXPENDITURE CLASS</t>
  </si>
  <si>
    <t>Percentage</t>
  </si>
  <si>
    <t>Social security and welfare departmental and non-departmental</t>
  </si>
  <si>
    <t>Early childhood education</t>
  </si>
  <si>
    <t>Primary education</t>
  </si>
  <si>
    <t>Secondary education</t>
  </si>
  <si>
    <t>Tertiary funding excluding student allowances and student loans</t>
  </si>
  <si>
    <t>Departmental and non-departmental expenses</t>
  </si>
  <si>
    <t>Forecast New Capital Spending ($ billions)</t>
  </si>
  <si>
    <t>Top-down capital adjustment ($ billions)</t>
  </si>
  <si>
    <t>Total unallocated new capital spending ($ billions)</t>
  </si>
  <si>
    <t>AVERAGE</t>
  </si>
  <si>
    <t>In some situations it may be desirable to project core Crown expenditure classes with their shares of the Forecast New Operating Spending (often referred to as the</t>
  </si>
  <si>
    <t>Operating Allowances) and the Top-down expense adjustment allocated to them. The allocations are normally based on historical expense shares although different</t>
  </si>
  <si>
    <t>amounts can be used if spending plans are actually known.</t>
  </si>
  <si>
    <t>Used in the main modelling worksheets,</t>
  </si>
  <si>
    <t>Annual increment to forecast new operating spending (depicted whether allocated or not)</t>
  </si>
  <si>
    <t>Annual increment to top-down expense adjustment (depicted whether allocated or not)</t>
  </si>
  <si>
    <t>Allocate this pctg of non-Health, non-Education shares to Personnel expenses (rest to Operating)</t>
  </si>
  <si>
    <t>Total forecast new capital spending (cumulative)(displayed whether allocated or not)</t>
  </si>
  <si>
    <t>Top-down capital adjustment (cumulative) (displayed whether allocated or not)</t>
  </si>
  <si>
    <t>NZS Fund model</t>
  </si>
  <si>
    <t>on the Treasury</t>
  </si>
  <si>
    <t>Makes use of forecast core Crown gross</t>
  </si>
  <si>
    <t>debt and debt financing costs from the</t>
  </si>
  <si>
    <t>ALTERNATE NEW ZEALAND SUPERANNUATION FUND TRACKS PRODUCED BY TREASURY MODEL</t>
  </si>
  <si>
    <t xml:space="preserve">The NZS Fund projected tracks in this worksheet are produced by the Treasury NZS Fund model. </t>
  </si>
  <si>
    <t>The projections and/or data in this worksheet are either produced by other Treasury models or obtained from other public sector agencies. They are used in the main modelling worksheets of the Fiscal Strategy Model.</t>
  </si>
  <si>
    <t>Historical and forecast data in this worksheet are produced by the Treasury. They are used in the main modelling worksheets of the Fiscal Strategy Model.</t>
  </si>
  <si>
    <t>This worksheet is where the economic and fiscal modelling assumptions are entered. They are used in the main modelling worksheets of the Fiscal Strategy Model.</t>
  </si>
  <si>
    <t>NEW ZEALAND SUPERANNUATION (NZS) FUND</t>
  </si>
  <si>
    <t>Tax expense</t>
  </si>
  <si>
    <t>Non-tax expenses</t>
  </si>
  <si>
    <t>Closing NZS Fund balance</t>
  </si>
  <si>
    <t>Check components add up to closing balance</t>
  </si>
  <si>
    <r>
      <rPr>
        <i/>
        <sz val="11"/>
        <color indexed="8"/>
        <rFont val="Arial"/>
        <family val="2"/>
      </rPr>
      <t>less</t>
    </r>
    <r>
      <rPr>
        <sz val="11"/>
        <color indexed="8"/>
        <rFont val="Arial"/>
        <family val="2"/>
      </rPr>
      <t xml:space="preserve"> Tax expense</t>
    </r>
  </si>
  <si>
    <r>
      <rPr>
        <i/>
        <sz val="11"/>
        <color indexed="8"/>
        <rFont val="Arial"/>
        <family val="2"/>
      </rPr>
      <t>less</t>
    </r>
    <r>
      <rPr>
        <sz val="11"/>
        <color indexed="8"/>
        <rFont val="Arial"/>
        <family val="2"/>
      </rPr>
      <t xml:space="preserve"> Non-tax expenses</t>
    </r>
  </si>
  <si>
    <t>Latest forecast distribution of revenue, non-tax expenses and gains/(losses)</t>
  </si>
  <si>
    <t>TRACK 1</t>
  </si>
  <si>
    <t>TRACK 2</t>
  </si>
  <si>
    <t>Capital contrib/(withdr)</t>
  </si>
  <si>
    <t>Rev - N-t exp + G/(L)</t>
  </si>
  <si>
    <t>Other mvmts in res</t>
  </si>
  <si>
    <r>
      <t xml:space="preserve">Select track number to apply </t>
    </r>
    <r>
      <rPr>
        <b/>
        <sz val="11"/>
        <color indexed="8"/>
        <rFont val="Calibri"/>
        <family val="2"/>
      </rPr>
      <t>→</t>
    </r>
  </si>
  <si>
    <r>
      <rPr>
        <sz val="11"/>
        <color indexed="8"/>
        <rFont val="Calibri"/>
        <family val="2"/>
      </rPr>
      <t>∆</t>
    </r>
    <r>
      <rPr>
        <sz val="11"/>
        <color indexed="8"/>
        <rFont val="Arial"/>
        <family val="2"/>
      </rPr>
      <t xml:space="preserve"> finance costs from current year impacts</t>
    </r>
  </si>
  <si>
    <r>
      <rPr>
        <sz val="11"/>
        <color indexed="8"/>
        <rFont val="Calibri"/>
        <family val="2"/>
      </rPr>
      <t>∆</t>
    </r>
    <r>
      <rPr>
        <sz val="11"/>
        <color indexed="8"/>
        <rFont val="Arial"/>
        <family val="2"/>
      </rPr>
      <t xml:space="preserve"> finance costs from earlier year debt impacts</t>
    </r>
  </si>
  <si>
    <t>Total change to debt-financing costs</t>
  </si>
  <si>
    <t>Total change to gross debt</t>
  </si>
  <si>
    <t>FISCAL FORECAST ADJUSTER</t>
  </si>
  <si>
    <t>Enter additions or subtractions in units of $ million in each year. If a revenue or expense type or allowance amount is to remain unchanged in any year, enter a zero for it in that year.</t>
  </si>
  <si>
    <t>Current forecast horizon</t>
  </si>
  <si>
    <t>Goods and services tax (GST</t>
  </si>
  <si>
    <t>Other taxes</t>
  </si>
  <si>
    <t>Total tax revenue</t>
  </si>
  <si>
    <t>New Zealand Superannuation (NZS)</t>
  </si>
  <si>
    <t>Total benefits and transfers</t>
  </si>
  <si>
    <t>Forecast new operating spending (annual increment)</t>
  </si>
  <si>
    <t>Forecast new capital spending (annual increment)</t>
  </si>
  <si>
    <t>Forecast new operating spending (total for year)</t>
  </si>
  <si>
    <t>Forecast new capital spending (total for year)</t>
  </si>
  <si>
    <t>Calculated impacts on debt and finance costs</t>
  </si>
  <si>
    <r>
      <t xml:space="preserve">Annual </t>
    </r>
    <r>
      <rPr>
        <sz val="11"/>
        <color indexed="8"/>
        <rFont val="Calibri"/>
        <family val="2"/>
      </rPr>
      <t>∆</t>
    </r>
    <r>
      <rPr>
        <sz val="11"/>
        <color indexed="8"/>
        <rFont val="Arial"/>
        <family val="2"/>
      </rPr>
      <t xml:space="preserve"> debt (includes finance cost impacts)</t>
    </r>
  </si>
  <si>
    <r>
      <t xml:space="preserve">Annual </t>
    </r>
    <r>
      <rPr>
        <sz val="11"/>
        <color indexed="8"/>
        <rFont val="Calibri"/>
        <family val="2"/>
      </rPr>
      <t>∆</t>
    </r>
    <r>
      <rPr>
        <sz val="11"/>
        <color indexed="8"/>
        <rFont val="Arial"/>
        <family val="2"/>
      </rPr>
      <t xml:space="preserve"> debt (excludes finance cost impacts)</t>
    </r>
  </si>
  <si>
    <r>
      <rPr>
        <sz val="11"/>
        <color indexed="8"/>
        <rFont val="Calibri"/>
        <family val="2"/>
      </rPr>
      <t>∆</t>
    </r>
    <r>
      <rPr>
        <sz val="11"/>
        <color indexed="8"/>
        <rFont val="Arial"/>
        <family val="2"/>
      </rPr>
      <t xml:space="preserve"> finance costs from finance cost impact on debt in year</t>
    </r>
  </si>
  <si>
    <r>
      <rPr>
        <sz val="11"/>
        <color indexed="8"/>
        <rFont val="Calibri"/>
        <family val="2"/>
      </rPr>
      <t>∆</t>
    </r>
    <r>
      <rPr>
        <sz val="11"/>
        <color indexed="8"/>
        <rFont val="Arial"/>
        <family val="2"/>
      </rPr>
      <t xml:space="preserve"> finance costs from non-finance cost impact on debt in year</t>
    </r>
  </si>
  <si>
    <r>
      <t xml:space="preserve">Adjust fiscal forecasts </t>
    </r>
    <r>
      <rPr>
        <sz val="11"/>
        <color indexed="8"/>
        <rFont val="Calibri"/>
        <family val="2"/>
      </rPr>
      <t>→</t>
    </r>
  </si>
  <si>
    <r>
      <t xml:space="preserve">Adjust NZS Fund track </t>
    </r>
    <r>
      <rPr>
        <sz val="11"/>
        <color indexed="8"/>
        <rFont val="Calibri"/>
        <family val="2"/>
      </rPr>
      <t>→</t>
    </r>
  </si>
  <si>
    <t>Tax revenue ($ millions)</t>
  </si>
  <si>
    <t>Benefits and transfers ($ millions)</t>
  </si>
  <si>
    <t>Forecast new operating and capital spending ($ millions)</t>
  </si>
  <si>
    <t>Total change to debt-financing costs ($ millions)</t>
  </si>
  <si>
    <t>Total change to gross debt ($ millions)</t>
  </si>
  <si>
    <t>MAIN FISCAL INDICATOR  ACTUAL OUTTURNS ($ billions)</t>
  </si>
  <si>
    <t>CORE CROWN EXPENSES ($ billions)</t>
  </si>
  <si>
    <t>Total Core Crown expenditure allocation ($ billions)</t>
  </si>
  <si>
    <t>Total Population (millions)</t>
  </si>
  <si>
    <t>National population projections: 2016 (base) - 2068</t>
  </si>
  <si>
    <t>Option</t>
  </si>
  <si>
    <t>Census 2013 basis, produced in 2016</t>
  </si>
  <si>
    <t>Census 2013 basis, produced in 2015, adjusted for updated demographic projections</t>
  </si>
  <si>
    <t>Net new lending (excluding fees) in current year</t>
  </si>
  <si>
    <t>New lending establishment fee</t>
  </si>
  <si>
    <t>New lending establishment fees</t>
  </si>
  <si>
    <t>These are the latest forecast round main</t>
  </si>
  <si>
    <t>FSM scenario (labelled with the forecast</t>
  </si>
  <si>
    <t>others can be copied from these and run</t>
  </si>
  <si>
    <t>off a different set of parameters from the</t>
  </si>
  <si>
    <t>demographic growth is required. Used</t>
  </si>
  <si>
    <t>used in the main modelling worksheets.</t>
  </si>
  <si>
    <t>These are the most recent New Zealand</t>
  </si>
  <si>
    <t>(NZ) resident population projections, by</t>
  </si>
  <si>
    <t>gender and single year of age. They are</t>
  </si>
  <si>
    <t>produced by Statistics NZ and are</t>
  </si>
  <si>
    <t>updated when a new version becomes</t>
  </si>
  <si>
    <t>tracks used in the model. Information is</t>
  </si>
  <si>
    <t>It provides lists of data and exogenous</t>
  </si>
  <si>
    <t>This is also an information worksheet.</t>
  </si>
  <si>
    <t>These are the most recent Labour Force</t>
  </si>
  <si>
    <t>age. They are produced by Statistics NZ</t>
  </si>
  <si>
    <t>and are updated when a new version is</t>
  </si>
  <si>
    <t>available. As well as the labour force</t>
  </si>
  <si>
    <t>numbers the worksheet has participation</t>
  </si>
  <si>
    <t>rates (numbers in labour force divided by</t>
  </si>
  <si>
    <t>numbers in demographic group). These</t>
  </si>
  <si>
    <t>rates are aligned to the population data in</t>
  </si>
  <si>
    <t>Name of worksheet</t>
  </si>
  <si>
    <t>Explanation of the worksheets in the Fiscal Strategy Model and how they link to one another</t>
  </si>
  <si>
    <r>
      <t xml:space="preserve">name) and </t>
    </r>
    <r>
      <rPr>
        <i/>
        <sz val="10"/>
        <color indexed="8"/>
        <rFont val="Arial"/>
        <family val="2"/>
      </rPr>
      <t>Option</t>
    </r>
    <r>
      <rPr>
        <sz val="10"/>
        <color indexed="8"/>
        <rFont val="Arial"/>
        <family val="2"/>
      </rPr>
      <t xml:space="preserve"> worksheets, although</t>
    </r>
  </si>
  <si>
    <r>
      <rPr>
        <i/>
        <sz val="10"/>
        <color indexed="8"/>
        <rFont val="Arial"/>
        <family val="2"/>
      </rPr>
      <t xml:space="preserve">Assumptions </t>
    </r>
    <r>
      <rPr>
        <sz val="10"/>
        <color indexed="8"/>
        <rFont val="Arial"/>
        <family val="2"/>
      </rPr>
      <t>worksheet.</t>
    </r>
  </si>
  <si>
    <t>provided about the data, distribution or</t>
  </si>
  <si>
    <t>track, including from where it is sourced</t>
  </si>
  <si>
    <t>and when it was produced.</t>
  </si>
  <si>
    <t>Population</t>
  </si>
  <si>
    <t>available. Annual growth rates for various</t>
  </si>
  <si>
    <t>age and gender groups are calculated at</t>
  </si>
  <si>
    <t>the bottom of the worksheet. These are</t>
  </si>
  <si>
    <t>welfare expenses.</t>
  </si>
  <si>
    <r>
      <t xml:space="preserve">the </t>
    </r>
    <r>
      <rPr>
        <i/>
        <sz val="10"/>
        <color indexed="8"/>
        <rFont val="Arial"/>
        <family val="2"/>
      </rPr>
      <t xml:space="preserve">Population </t>
    </r>
    <r>
      <rPr>
        <sz val="10"/>
        <color indexed="8"/>
        <rFont val="Arial"/>
        <family val="2"/>
      </rPr>
      <t>worksheet. Participation</t>
    </r>
  </si>
  <si>
    <t>rates are given by gender and single year</t>
  </si>
  <si>
    <t>of age. The totals for each gender and</t>
  </si>
  <si>
    <t>for the entire working-age (15 years and</t>
  </si>
  <si>
    <t>older) population are also provided.</t>
  </si>
  <si>
    <t>distributions. Some are produced by</t>
  </si>
  <si>
    <t>a particular asset, liability or expense</t>
  </si>
  <si>
    <t>Treasury, while others are sourced from</t>
  </si>
  <si>
    <t>type. Demographic distributions are used</t>
  </si>
  <si>
    <t>as inputs to the projected growth of</t>
  </si>
  <si>
    <t>recipient numbers in various welfare</t>
  </si>
  <si>
    <t>the model i.e. are exogenous inputs.</t>
  </si>
  <si>
    <t>expenses and Student Allowances.</t>
  </si>
  <si>
    <t>NZS Fund Adjuster</t>
  </si>
  <si>
    <t>This worksheet contains alternative</t>
  </si>
  <si>
    <t>projections of the New Zealand</t>
  </si>
  <si>
    <r>
      <t xml:space="preserve">is a label </t>
    </r>
    <r>
      <rPr>
        <i/>
        <sz val="10"/>
        <color indexed="8"/>
        <rFont val="Arial"/>
        <family val="2"/>
      </rPr>
      <t>Adjust NZS Fund track</t>
    </r>
    <r>
      <rPr>
        <sz val="10"/>
        <color indexed="8"/>
        <rFont val="Arial"/>
        <family val="2"/>
      </rPr>
      <t>. If the</t>
    </r>
  </si>
  <si>
    <t>Superannuation Fund (NZS Fund).</t>
  </si>
  <si>
    <r>
      <t xml:space="preserve">Fiscal Forecasts </t>
    </r>
    <r>
      <rPr>
        <sz val="10"/>
        <color indexed="8"/>
        <rFont val="Arial"/>
        <family val="2"/>
      </rPr>
      <t>worksheet to calculate</t>
    </r>
  </si>
  <si>
    <t>These can be produced by altering inputs</t>
  </si>
  <si>
    <t>label it activates the modelling in this</t>
  </si>
  <si>
    <t>the effective interest rate applied to debt</t>
  </si>
  <si>
    <t>or parameter choices in the</t>
  </si>
  <si>
    <t>worksheet to replace the NZS Fund track</t>
  </si>
  <si>
    <t>in each forecast year. These are applied</t>
  </si>
  <si>
    <r>
      <t xml:space="preserve">in </t>
    </r>
    <r>
      <rPr>
        <i/>
        <sz val="10"/>
        <color indexed="8"/>
        <rFont val="Arial"/>
        <family val="2"/>
      </rPr>
      <t xml:space="preserve">Exogenous </t>
    </r>
    <r>
      <rPr>
        <sz val="10"/>
        <color indexed="8"/>
        <rFont val="Arial"/>
        <family val="2"/>
      </rPr>
      <t>with the alternative one</t>
    </r>
  </si>
  <si>
    <t>to the calculated gross debt changes to</t>
  </si>
  <si>
    <t>website. From that model an alternative</t>
  </si>
  <si>
    <r>
      <t xml:space="preserve">chosen in </t>
    </r>
    <r>
      <rPr>
        <i/>
        <sz val="10"/>
        <color indexed="8"/>
        <rFont val="Arial"/>
        <family val="2"/>
      </rPr>
      <t>NZS Fund Adjuster</t>
    </r>
    <r>
      <rPr>
        <sz val="10"/>
        <color indexed="8"/>
        <rFont val="Arial"/>
        <family val="2"/>
      </rPr>
      <t>. It also</t>
    </r>
  </si>
  <si>
    <t>calculate debt financing costs changes.</t>
  </si>
  <si>
    <t>NZS Fund track can then be pasted</t>
  </si>
  <si>
    <t>adjust any variables in the forecast base</t>
  </si>
  <si>
    <t>More generally, and as described in the</t>
  </si>
  <si>
    <t>into this worksheet.</t>
  </si>
  <si>
    <t>that would be affected by changes to the</t>
  </si>
  <si>
    <r>
      <rPr>
        <i/>
        <sz val="10"/>
        <color indexed="8"/>
        <rFont val="Arial"/>
        <family val="2"/>
      </rPr>
      <t xml:space="preserve">Purpose </t>
    </r>
    <r>
      <rPr>
        <sz val="10"/>
        <color indexed="8"/>
        <rFont val="Arial"/>
        <family val="2"/>
      </rPr>
      <t>column, this worksheet uses</t>
    </r>
  </si>
  <si>
    <t>NZS Fund track in forecast years.</t>
  </si>
  <si>
    <t>outputs from another Treasury model.</t>
  </si>
  <si>
    <t>Note that, if the selected track number in</t>
  </si>
  <si>
    <r>
      <t xml:space="preserve">the </t>
    </r>
    <r>
      <rPr>
        <i/>
        <sz val="10"/>
        <color indexed="8"/>
        <rFont val="Arial"/>
        <family val="2"/>
      </rPr>
      <t xml:space="preserve">NZS Fund Adjuster </t>
    </r>
    <r>
      <rPr>
        <sz val="10"/>
        <color indexed="8"/>
        <rFont val="Arial"/>
        <family val="2"/>
      </rPr>
      <t>worksheet does</t>
    </r>
  </si>
  <si>
    <t>not match one of the alternative NZS</t>
  </si>
  <si>
    <t>Fund tracks in the worksheet, the</t>
  </si>
  <si>
    <t xml:space="preserve">selection defaults to the parameters of </t>
  </si>
  <si>
    <r>
      <t xml:space="preserve">the NZS Fund track in </t>
    </r>
    <r>
      <rPr>
        <i/>
        <sz val="10"/>
        <color indexed="8"/>
        <rFont val="Arial"/>
        <family val="2"/>
      </rPr>
      <t>Exogenous</t>
    </r>
    <r>
      <rPr>
        <sz val="10"/>
        <color indexed="8"/>
        <rFont val="Arial"/>
        <family val="2"/>
      </rPr>
      <t>.</t>
    </r>
  </si>
  <si>
    <t>Fiscal Forecast Adjuster</t>
  </si>
  <si>
    <t>This worksheet allows changes to be</t>
  </si>
  <si>
    <t>made to forecast year values of major tax</t>
  </si>
  <si>
    <r>
      <t xml:space="preserve">is a label </t>
    </r>
    <r>
      <rPr>
        <i/>
        <sz val="10"/>
        <color indexed="8"/>
        <rFont val="Arial"/>
        <family val="2"/>
      </rPr>
      <t>Adjust fiscal forecasts</t>
    </r>
    <r>
      <rPr>
        <sz val="10"/>
        <color indexed="8"/>
        <rFont val="Arial"/>
        <family val="2"/>
      </rPr>
      <t>. If the</t>
    </r>
  </si>
  <si>
    <t>types, several welfare expense classes,</t>
  </si>
  <si>
    <t>and allowances for both new operating</t>
  </si>
  <si>
    <t>and new capital spending. It calculates</t>
  </si>
  <si>
    <t>worksheet to add the various adjustments</t>
  </si>
  <si>
    <t>how these changes impact on gross</t>
  </si>
  <si>
    <t>debt and debt financing costs in those</t>
  </si>
  <si>
    <t>the appropriate fiscal variables in forecast</t>
  </si>
  <si>
    <t>forecast years. This spreadsheet is the</t>
  </si>
  <si>
    <t>years. It also adjusts forecast debt and</t>
  </si>
  <si>
    <t>means of correctly altering the fiscal</t>
  </si>
  <si>
    <t>debt financing costs by the amounts</t>
  </si>
  <si>
    <r>
      <t xml:space="preserve">forecast base </t>
    </r>
    <r>
      <rPr>
        <sz val="10"/>
        <color indexed="8"/>
        <rFont val="Arial"/>
        <family val="2"/>
      </rPr>
      <t>for the forecast years.</t>
    </r>
  </si>
  <si>
    <r>
      <rPr>
        <sz val="10"/>
        <color indexed="8"/>
        <rFont val="Arial"/>
        <family val="2"/>
      </rPr>
      <t xml:space="preserve">calculated in </t>
    </r>
    <r>
      <rPr>
        <i/>
        <sz val="10"/>
        <color indexed="8"/>
        <rFont val="Arial"/>
        <family val="2"/>
      </rPr>
      <t xml:space="preserve">Fiscal Forecast Adjuster </t>
    </r>
    <r>
      <rPr>
        <sz val="10"/>
        <color indexed="8"/>
        <rFont val="Arial"/>
        <family val="2"/>
      </rPr>
      <t>to</t>
    </r>
  </si>
  <si>
    <t>reflect the combined impact of all</t>
  </si>
  <si>
    <t>the changes on these fiscal variables.</t>
  </si>
  <si>
    <t>Fiscal Outturns</t>
  </si>
  <si>
    <t>This worksheet contains historical data</t>
  </si>
  <si>
    <t>relating to the main fiscal indicators that</t>
  </si>
  <si>
    <t>can be selected in the pull-down box at</t>
  </si>
  <si>
    <t>the top of the main modelling worksheets.</t>
  </si>
  <si>
    <t>There is more explanation at the top of</t>
  </si>
  <si>
    <t>this worksheet about why data prior to</t>
  </si>
  <si>
    <t>2014/15 is given here and not in the main</t>
  </si>
  <si>
    <t>modelling worksheets themselves.</t>
  </si>
  <si>
    <t>Economic Forecasts</t>
  </si>
  <si>
    <t>The latest set of economic forecast</t>
  </si>
  <si>
    <t>variables, as well as historical outturns</t>
  </si>
  <si>
    <t>of these variables, are stored in this</t>
  </si>
  <si>
    <t>worksheet. It also contains some</t>
  </si>
  <si>
    <t>parameters, derived from the economic</t>
  </si>
  <si>
    <t>forecasts by another Treasury model, that</t>
  </si>
  <si>
    <t>are used to project NZ Superannuation.</t>
  </si>
  <si>
    <t>At the bottom of this worksheet are</t>
  </si>
  <si>
    <t>parameters related to the NZ personal</t>
  </si>
  <si>
    <t>tax regime that are used in fiscal drag</t>
  </si>
  <si>
    <t>modelling for both tax and NZS.</t>
  </si>
  <si>
    <t>Fiscal Forecasts</t>
  </si>
  <si>
    <r>
      <t>The fiscal equivalent of the</t>
    </r>
    <r>
      <rPr>
        <i/>
        <sz val="10"/>
        <color indexed="8"/>
        <rFont val="Arial"/>
        <family val="2"/>
      </rPr>
      <t xml:space="preserve"> Economic </t>
    </r>
  </si>
  <si>
    <r>
      <rPr>
        <i/>
        <sz val="10"/>
        <color indexed="8"/>
        <rFont val="Arial"/>
        <family val="2"/>
      </rPr>
      <t xml:space="preserve">Forecasts </t>
    </r>
    <r>
      <rPr>
        <sz val="10"/>
        <color indexed="8"/>
        <rFont val="Arial"/>
        <family val="2"/>
      </rPr>
      <t>worksheet, this contains the</t>
    </r>
  </si>
  <si>
    <t>most recent set of fiscal forecast</t>
  </si>
  <si>
    <t>variables. For reasons explained in the</t>
  </si>
  <si>
    <r>
      <rPr>
        <i/>
        <sz val="10"/>
        <color indexed="8"/>
        <rFont val="Arial"/>
        <family val="2"/>
      </rPr>
      <t xml:space="preserve">Fiscal Outturns </t>
    </r>
    <r>
      <rPr>
        <sz val="10"/>
        <color indexed="8"/>
        <rFont val="Arial"/>
        <family val="2"/>
      </rPr>
      <t>worksheet, there are only</t>
    </r>
  </si>
  <si>
    <t>historical outturns dating from 2014/15</t>
  </si>
  <si>
    <t>numerous check calculations to ensure</t>
  </si>
  <si>
    <t>The easiest way to produce a whole</t>
  </si>
  <si>
    <t>the model user in this worksheet.</t>
  </si>
  <si>
    <t>Most selections relate to projection</t>
  </si>
  <si>
    <t>assumptions or parameters, but there are</t>
  </si>
  <si>
    <t>clicking the worksheet tab, ensuring to</t>
  </si>
  <si>
    <t>some that affect the forecast base.</t>
  </si>
  <si>
    <r>
      <t xml:space="preserve">tick the </t>
    </r>
    <r>
      <rPr>
        <i/>
        <sz val="10"/>
        <color indexed="8"/>
        <rFont val="Arial"/>
        <family val="2"/>
      </rPr>
      <t xml:space="preserve">Create a Copy </t>
    </r>
    <r>
      <rPr>
        <sz val="10"/>
        <color indexed="8"/>
        <rFont val="Arial"/>
        <family val="2"/>
      </rPr>
      <t>box (otherwise the</t>
    </r>
  </si>
  <si>
    <t>worksheet will just be moved). Change</t>
  </si>
  <si>
    <t>and parameters used in the main</t>
  </si>
  <si>
    <t>the name of the new worksheet tab.</t>
  </si>
  <si>
    <t>modelling worksheet scenarios.</t>
  </si>
  <si>
    <t>As most options will not be altered in</t>
  </si>
  <si>
    <t>worksheet, enter the name used at the</t>
  </si>
  <si>
    <t>setting up a scenario, the easiest way to</t>
  </si>
  <si>
    <r>
      <t xml:space="preserve">top of the column set up in </t>
    </r>
    <r>
      <rPr>
        <i/>
        <sz val="10"/>
        <color indexed="8"/>
        <rFont val="Arial"/>
        <family val="2"/>
      </rPr>
      <t>Assumptions</t>
    </r>
  </si>
  <si>
    <t>produce a new scenario is to copy one of</t>
  </si>
  <si>
    <t>with the chosen set of assumptions and</t>
  </si>
  <si>
    <t>these columns and paste it into a new</t>
  </si>
  <si>
    <r>
      <t>parameters</t>
    </r>
    <r>
      <rPr>
        <sz val="10"/>
        <color indexed="8"/>
        <rFont val="Arial"/>
        <family val="2"/>
      </rPr>
      <t>. In numerous places in this</t>
    </r>
  </si>
  <si>
    <t>column in this worksheet, changing its</t>
  </si>
  <si>
    <t>new modelling worksheet these</t>
  </si>
  <si>
    <t>name at the top of the column in the row</t>
  </si>
  <si>
    <t>assumptions and parameters will be used</t>
  </si>
  <si>
    <r>
      <rPr>
        <sz val="10"/>
        <color indexed="8"/>
        <rFont val="Arial"/>
        <family val="2"/>
      </rPr>
      <t xml:space="preserve">labelled </t>
    </r>
    <r>
      <rPr>
        <i/>
        <sz val="10"/>
        <color indexed="8"/>
        <rFont val="Arial"/>
        <family val="2"/>
      </rPr>
      <t>SCENARIO NAME</t>
    </r>
    <r>
      <rPr>
        <sz val="10"/>
        <color indexed="8"/>
        <rFont val="Arial"/>
        <family val="2"/>
      </rPr>
      <t>.</t>
    </r>
  </si>
  <si>
    <t>to produce the new scenario required.</t>
  </si>
  <si>
    <t>The main modelling</t>
  </si>
  <si>
    <t>These worksheets provide the</t>
  </si>
  <si>
    <t>worksheets.</t>
  </si>
  <si>
    <t>fundamental outputs of the FSM, such as</t>
  </si>
  <si>
    <t>The standards are</t>
  </si>
  <si>
    <t>projections of net core Crown debt as a</t>
  </si>
  <si>
    <t>the one labelled with</t>
  </si>
  <si>
    <t>percentage of nominal GDP for a given</t>
  </si>
  <si>
    <t>the latest forecast</t>
  </si>
  <si>
    <t>set of assumptions and parameters.</t>
  </si>
  <si>
    <r>
      <rPr>
        <i/>
        <sz val="10"/>
        <color indexed="8"/>
        <rFont val="Arial"/>
        <family val="2"/>
      </rPr>
      <t xml:space="preserve">NZS Fund Adjuster </t>
    </r>
    <r>
      <rPr>
        <sz val="10"/>
        <color indexed="8"/>
        <rFont val="Arial"/>
        <family val="2"/>
      </rPr>
      <t>(potentially)</t>
    </r>
  </si>
  <si>
    <t>round name and the</t>
  </si>
  <si>
    <r>
      <rPr>
        <i/>
        <sz val="10"/>
        <color indexed="8"/>
        <rFont val="Arial"/>
        <family val="2"/>
      </rPr>
      <t xml:space="preserve">Fiscal Forecast Adjuster </t>
    </r>
    <r>
      <rPr>
        <sz val="10"/>
        <color indexed="8"/>
        <rFont val="Arial"/>
        <family val="2"/>
      </rPr>
      <t>(potentially)</t>
    </r>
  </si>
  <si>
    <t>As explained in the</t>
  </si>
  <si>
    <t>description a user</t>
  </si>
  <si>
    <t>can create a new</t>
  </si>
  <si>
    <t>modelling worksheet</t>
  </si>
  <si>
    <r>
      <rPr>
        <i/>
        <sz val="10"/>
        <color indexed="8"/>
        <rFont val="Arial"/>
        <family val="2"/>
      </rPr>
      <t>Option</t>
    </r>
    <r>
      <rPr>
        <sz val="10"/>
        <color indexed="8"/>
        <rFont val="Arial"/>
        <family val="2"/>
      </rPr>
      <t xml:space="preserve"> worksheet</t>
    </r>
  </si>
  <si>
    <r>
      <t xml:space="preserve">The </t>
    </r>
    <r>
      <rPr>
        <i/>
        <sz val="10"/>
        <color indexed="8"/>
        <rFont val="Arial"/>
        <family val="2"/>
      </rPr>
      <t>Option</t>
    </r>
    <r>
      <rPr>
        <sz val="10"/>
        <color indexed="8"/>
        <rFont val="Arial"/>
        <family val="2"/>
      </rPr>
      <t xml:space="preserve"> worksheet. In cell B3 there</t>
    </r>
  </si>
  <si>
    <r>
      <t xml:space="preserve">The </t>
    </r>
    <r>
      <rPr>
        <i/>
        <sz val="10"/>
        <color indexed="8"/>
        <rFont val="Arial"/>
        <family val="2"/>
      </rPr>
      <t>Option</t>
    </r>
    <r>
      <rPr>
        <sz val="10"/>
        <color indexed="8"/>
        <rFont val="Arial"/>
        <family val="2"/>
      </rPr>
      <t xml:space="preserve"> worksheet. In cell B2 there</t>
    </r>
  </si>
  <si>
    <t>word Yes is entered in cell C3 beside this</t>
  </si>
  <si>
    <t>word Yes is entered in cell C2 beside this</t>
  </si>
  <si>
    <t>There may be scenarios or times when</t>
  </si>
  <si>
    <r>
      <t xml:space="preserve">it is desirable to allocate the </t>
    </r>
    <r>
      <rPr>
        <i/>
        <sz val="10"/>
        <color indexed="8"/>
        <rFont val="Arial"/>
        <family val="2"/>
      </rPr>
      <t>Forecast</t>
    </r>
  </si>
  <si>
    <r>
      <rPr>
        <i/>
        <sz val="10"/>
        <color indexed="8"/>
        <rFont val="Arial"/>
        <family val="2"/>
      </rPr>
      <t>New Operating Spending</t>
    </r>
    <r>
      <rPr>
        <sz val="10"/>
        <color indexed="8"/>
        <rFont val="Arial"/>
        <family val="2"/>
      </rPr>
      <t xml:space="preserve"> (or</t>
    </r>
    <r>
      <rPr>
        <i/>
        <sz val="10"/>
        <color indexed="8"/>
        <rFont val="Arial"/>
        <family val="2"/>
      </rPr>
      <t xml:space="preserve"> Operating</t>
    </r>
  </si>
  <si>
    <r>
      <rPr>
        <i/>
        <sz val="10"/>
        <color indexed="8"/>
        <rFont val="Arial"/>
        <family val="2"/>
      </rPr>
      <t xml:space="preserve">Allowances) </t>
    </r>
    <r>
      <rPr>
        <sz val="10"/>
        <color indexed="8"/>
        <rFont val="Arial"/>
        <family val="2"/>
      </rPr>
      <t xml:space="preserve">or </t>
    </r>
    <r>
      <rPr>
        <i/>
        <sz val="10"/>
        <color indexed="8"/>
        <rFont val="Arial"/>
        <family val="2"/>
      </rPr>
      <t>Forecast New Capital</t>
    </r>
  </si>
  <si>
    <r>
      <t>Spending (or Capital Allowances</t>
    </r>
    <r>
      <rPr>
        <sz val="10"/>
        <color indexed="8"/>
        <rFont val="Arial"/>
        <family val="2"/>
      </rPr>
      <t>) and</t>
    </r>
  </si>
  <si>
    <r>
      <rPr>
        <sz val="10"/>
        <color indexed="8"/>
        <rFont val="Arial"/>
        <family val="2"/>
      </rPr>
      <t>their respective</t>
    </r>
    <r>
      <rPr>
        <i/>
        <sz val="10"/>
        <color indexed="8"/>
        <rFont val="Arial"/>
        <family val="2"/>
      </rPr>
      <t xml:space="preserve"> Top-Down Expense</t>
    </r>
  </si>
  <si>
    <r>
      <t xml:space="preserve">Adjustments </t>
    </r>
    <r>
      <rPr>
        <sz val="10"/>
        <color indexed="8"/>
        <rFont val="Arial"/>
        <family val="2"/>
      </rPr>
      <t>among core Crown expense</t>
    </r>
  </si>
  <si>
    <r>
      <t xml:space="preserve">classes (in the case of the </t>
    </r>
    <r>
      <rPr>
        <i/>
        <sz val="10"/>
        <color indexed="8"/>
        <rFont val="Arial"/>
        <family val="2"/>
      </rPr>
      <t>Operating</t>
    </r>
  </si>
  <si>
    <r>
      <rPr>
        <i/>
        <sz val="10"/>
        <color indexed="8"/>
        <rFont val="Arial"/>
        <family val="2"/>
      </rPr>
      <t>Allowances</t>
    </r>
    <r>
      <rPr>
        <sz val="10"/>
        <color indexed="8"/>
        <rFont val="Arial"/>
        <family val="2"/>
      </rPr>
      <t>) or to the physical asset</t>
    </r>
  </si>
  <si>
    <r>
      <rPr>
        <i/>
        <sz val="10"/>
        <color indexed="8"/>
        <rFont val="Arial"/>
        <family val="2"/>
      </rPr>
      <t>Property, Plant &amp; Equipment</t>
    </r>
    <r>
      <rPr>
        <sz val="10"/>
        <color indexed="8"/>
        <rFont val="Arial"/>
        <family val="2"/>
      </rPr>
      <t xml:space="preserve"> (in the case</t>
    </r>
  </si>
  <si>
    <r>
      <t xml:space="preserve">of the </t>
    </r>
    <r>
      <rPr>
        <i/>
        <sz val="10"/>
        <color indexed="8"/>
        <rFont val="Arial"/>
        <family val="2"/>
      </rPr>
      <t>Capital Allowances</t>
    </r>
    <r>
      <rPr>
        <sz val="10"/>
        <color indexed="8"/>
        <rFont val="Arial"/>
        <family val="2"/>
      </rPr>
      <t>).</t>
    </r>
  </si>
  <si>
    <t>The allocations are based on historical</t>
  </si>
  <si>
    <t>expense shares. However they should</t>
  </si>
  <si>
    <t>not be taken to be an indication of actual</t>
  </si>
  <si>
    <t>Government spending plans, as these are</t>
  </si>
  <si>
    <t>not known at this time. Also plans will</t>
  </si>
  <si>
    <t>change as future demographic, economic</t>
  </si>
  <si>
    <t>and fiscal conditions unfold.</t>
  </si>
  <si>
    <r>
      <t xml:space="preserve">where the </t>
    </r>
    <r>
      <rPr>
        <i/>
        <sz val="10"/>
        <color indexed="8"/>
        <rFont val="Arial"/>
        <family val="2"/>
      </rPr>
      <t>Operating Allowances</t>
    </r>
    <r>
      <rPr>
        <sz val="10"/>
        <color indexed="8"/>
        <rFont val="Arial"/>
        <family val="2"/>
      </rPr>
      <t xml:space="preserve"> can be</t>
    </r>
  </si>
  <si>
    <t xml:space="preserve">distributed among the core Crown </t>
  </si>
  <si>
    <t>expense classes that are assumed to</t>
  </si>
  <si>
    <t>derive their growth from them in forecast</t>
  </si>
  <si>
    <t>and projected years. Likewise the</t>
  </si>
  <si>
    <r>
      <rPr>
        <i/>
        <sz val="10"/>
        <color indexed="8"/>
        <rFont val="Arial"/>
        <family val="2"/>
      </rPr>
      <t>Capital Allowances</t>
    </r>
    <r>
      <rPr>
        <sz val="10"/>
        <color indexed="8"/>
        <rFont val="Arial"/>
        <family val="2"/>
      </rPr>
      <t xml:space="preserve"> can be applied to</t>
    </r>
  </si>
  <si>
    <t>provide the forecast and projected growth</t>
  </si>
  <si>
    <r>
      <t xml:space="preserve">of the core Crown asset </t>
    </r>
    <r>
      <rPr>
        <i/>
        <sz val="10"/>
        <color indexed="8"/>
        <rFont val="Arial"/>
        <family val="2"/>
      </rPr>
      <t>Property, Plant</t>
    </r>
  </si>
  <si>
    <r>
      <t>&amp; Equipment</t>
    </r>
    <r>
      <rPr>
        <sz val="10"/>
        <color indexed="8"/>
        <rFont val="Arial"/>
        <family val="2"/>
      </rPr>
      <t>.</t>
    </r>
  </si>
  <si>
    <r>
      <t xml:space="preserve">Allocating either </t>
    </r>
    <r>
      <rPr>
        <i/>
        <sz val="10"/>
        <color indexed="8"/>
        <rFont val="Arial"/>
        <family val="2"/>
      </rPr>
      <t>Operating</t>
    </r>
    <r>
      <rPr>
        <sz val="10"/>
        <color indexed="8"/>
        <rFont val="Arial"/>
        <family val="2"/>
      </rPr>
      <t xml:space="preserve"> or </t>
    </r>
    <r>
      <rPr>
        <i/>
        <sz val="10"/>
        <color indexed="8"/>
        <rFont val="Arial"/>
        <family val="2"/>
      </rPr>
      <t>Capital</t>
    </r>
  </si>
  <si>
    <r>
      <rPr>
        <i/>
        <sz val="10"/>
        <color indexed="8"/>
        <rFont val="Arial"/>
        <family val="2"/>
      </rPr>
      <t>Allowances</t>
    </r>
    <r>
      <rPr>
        <sz val="10"/>
        <color indexed="8"/>
        <rFont val="Arial"/>
        <family val="2"/>
      </rPr>
      <t xml:space="preserve"> is not necessary for the</t>
    </r>
  </si>
  <si>
    <t>normal operation of the FSM and is not</t>
  </si>
  <si>
    <t>how the model is generally used.</t>
  </si>
  <si>
    <t>However it can be a useful extra function</t>
  </si>
  <si>
    <t>if particular expense or physical asset</t>
  </si>
  <si>
    <t>tracks wish to be examined.</t>
  </si>
  <si>
    <r>
      <t xml:space="preserve">Allocate </t>
    </r>
    <r>
      <rPr>
        <sz val="10"/>
        <color indexed="8"/>
        <rFont val="Arial"/>
        <family val="2"/>
      </rPr>
      <t>(potentially)</t>
    </r>
  </si>
  <si>
    <t>Unless otherwise stated, forecasts and projections are produced by the New Zealand Treasury</t>
  </si>
  <si>
    <t>Unless otherwise stated, all post-forecast projections are produced by the FSM model</t>
  </si>
  <si>
    <t>Economic Data</t>
  </si>
  <si>
    <t>Mainly Statistics New Zealand (NZ) measures</t>
  </si>
  <si>
    <t>Fiscal Data</t>
  </si>
  <si>
    <t>Demographic Data</t>
  </si>
  <si>
    <t>Historic data from Statistics NZ</t>
  </si>
  <si>
    <t>Source at</t>
  </si>
  <si>
    <t>Treasury forecasts aggregate population</t>
  </si>
  <si>
    <t>Projections from Statistics NZ</t>
  </si>
  <si>
    <t>Treasury forecasts aggregate labour force</t>
  </si>
  <si>
    <t>Development (MSD) and Inland Revenue</t>
  </si>
  <si>
    <t>Department (IRD) for Working for Families</t>
  </si>
  <si>
    <t>Forecasts from NZS Fund</t>
  </si>
  <si>
    <t>Accident Compen-</t>
  </si>
  <si>
    <t>sation Corporation</t>
  </si>
  <si>
    <t>Forecasts from ACC</t>
  </si>
  <si>
    <t>(ACC) data</t>
  </si>
  <si>
    <t>Asset/liability track, 2015 update</t>
  </si>
  <si>
    <t>track</t>
  </si>
  <si>
    <t>Forecasts from Ministry of Education</t>
  </si>
  <si>
    <t>Projection from Ministry of Education</t>
  </si>
  <si>
    <t>Forecasts from IRD</t>
  </si>
  <si>
    <t>Projection to 2021/22 from IRD</t>
  </si>
  <si>
    <t>Forecasts based on actuarial valuations</t>
  </si>
  <si>
    <t>Main benefit age &amp;</t>
  </si>
  <si>
    <t>Based on recent administrative data and</t>
  </si>
  <si>
    <t>gender distribution</t>
  </si>
  <si>
    <t>provided by MSD</t>
  </si>
  <si>
    <t>Tertiary student age</t>
  </si>
  <si>
    <t>Based on averages of historical date from</t>
  </si>
  <si>
    <t>&amp; gender distribution</t>
  </si>
  <si>
    <t>Education Counts</t>
  </si>
  <si>
    <t>website</t>
  </si>
  <si>
    <t>Projected labour force of New Zealand by age and sex for years ending 30 June</t>
  </si>
  <si>
    <t>Labour Force (LF) projections sourced from Statistics New Zealand</t>
  </si>
  <si>
    <t>NZ.Stat: Population projections - National labour force projections by age and sex</t>
  </si>
  <si>
    <t>Adjusted national labour force projections: 2015(base)-2068, 50 percentile (median) projection</t>
  </si>
  <si>
    <t>LF projections adjusted to match updated population projections. LF participation rates, by single year of age and gender, calculated from 2015 base LF projections and matching population base. These rates applied to 2016 base population projections to produce adjusted LF projections.</t>
  </si>
  <si>
    <t>Year (1 July to following 30 June)</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</si>
  <si>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</si>
  <si>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</si>
  <si>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</si>
  <si>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</si>
  <si>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</si>
  <si>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</si>
  <si>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</si>
  <si>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</si>
  <si>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</si>
  <si>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</si>
  <si>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</si>
  <si>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</si>
  <si>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</si>
  <si>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</si>
  <si>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</si>
  <si>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</si>
  <si>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</si>
  <si>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</si>
  <si>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</si>
  <si>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</si>
  <si>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</si>
  <si>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</si>
  <si>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</si>
  <si>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</si>
  <si>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</si>
  <si>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</si>
  <si>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</si>
  <si>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</si>
  <si>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</si>
  <si>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</si>
  <si>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</si>
  <si>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</si>
  <si>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</si>
  <si>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</si>
  <si>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</si>
  <si>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</si>
  <si>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</si>
  <si>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</si>
  <si>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</si>
  <si>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</si>
  <si>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</si>
  <si>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</si>
  <si>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</si>
  <si>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</si>
  <si>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</si>
  <si>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</si>
  <si>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</si>
  <si>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</si>
  <si>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</si>
  <si>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</si>
  <si>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</si>
  <si>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</si>
  <si>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</si>
  <si>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</si>
  <si>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annual growth rate (%)</t>
  </si>
  <si>
    <t>Aggregate labour force participation rate %</t>
  </si>
  <si>
    <t>Female LF Numbers</t>
  </si>
  <si>
    <t>AGE (years)</t>
  </si>
  <si>
    <t>80 &amp; above</t>
  </si>
  <si>
    <t>TOTAL FEMALE</t>
  </si>
  <si>
    <t>Male LF Numbers</t>
  </si>
  <si>
    <t>TOTAL MALE</t>
  </si>
  <si>
    <t>Labour Force Participation Rates (LFPR)</t>
  </si>
  <si>
    <t>Female LFPR</t>
  </si>
  <si>
    <t>Male LFPR</t>
  </si>
  <si>
    <r>
      <t xml:space="preserve">Age in years </t>
    </r>
    <r>
      <rPr>
        <b/>
        <sz val="10"/>
        <color indexed="8"/>
        <rFont val="Calibri"/>
        <family val="2"/>
      </rPr>
      <t>↓</t>
    </r>
  </si>
  <si>
    <r>
      <t xml:space="preserve">less </t>
    </r>
    <r>
      <rPr>
        <sz val="10"/>
        <color indexed="8"/>
        <rFont val="Arial"/>
        <family val="2"/>
      </rPr>
      <t>Tax on earnings</t>
    </r>
  </si>
  <si>
    <r>
      <t xml:space="preserve">less </t>
    </r>
    <r>
      <rPr>
        <sz val="10"/>
        <color indexed="8"/>
        <rFont val="Arial"/>
        <family val="2"/>
      </rPr>
      <t>Initial write-down to fair value</t>
    </r>
  </si>
  <si>
    <r>
      <t xml:space="preserve">less </t>
    </r>
    <r>
      <rPr>
        <sz val="10"/>
        <color indexed="8"/>
        <rFont val="Arial"/>
        <family val="2"/>
      </rPr>
      <t>Repayments made during the year</t>
    </r>
  </si>
  <si>
    <r>
      <t xml:space="preserve">less </t>
    </r>
    <r>
      <rPr>
        <sz val="10"/>
        <color indexed="8"/>
        <rFont val="Arial"/>
        <family val="2"/>
      </rPr>
      <t>Impairment</t>
    </r>
  </si>
  <si>
    <t>This worksheet. It provides some</t>
  </si>
  <si>
    <t>ACTUAL FISCAL OUTTURNS FROM 2004/05 UNTIL 2015/16</t>
  </si>
  <si>
    <t>Taxable income over $0 and up to $22,000 per year</t>
  </si>
  <si>
    <t>Taxable income over $22,000 and up to $52,000 per year</t>
  </si>
  <si>
    <t>Taxable income over $52,000 and up to $70,000 per year</t>
  </si>
  <si>
    <t>much input data, this worksheet uses</t>
  </si>
  <si>
    <t>calculated over forecast years and the number of forecast years is chosen here. The averaging period moves backward from the</t>
  </si>
  <si>
    <r>
      <rPr>
        <sz val="10"/>
        <color indexed="8"/>
        <rFont val="Arial"/>
        <family val="2"/>
      </rPr>
      <t xml:space="preserve">written into </t>
    </r>
    <r>
      <rPr>
        <i/>
        <sz val="10"/>
        <color indexed="8"/>
        <rFont val="Arial"/>
        <family val="2"/>
      </rPr>
      <t xml:space="preserve">Fiscal Forecast Adjuster </t>
    </r>
    <r>
      <rPr>
        <sz val="10"/>
        <color indexed="8"/>
        <rFont val="Arial"/>
        <family val="2"/>
      </rPr>
      <t>to</t>
    </r>
  </si>
  <si>
    <t xml:space="preserve">Labour Force (millions) (aggregate) </t>
  </si>
  <si>
    <t>Working-Age Population (millions) (aged 15 years &amp; over)</t>
  </si>
  <si>
    <t>Core Crown expenses (includes Forecast new operating spend &amp; Top-down adjustment)</t>
  </si>
  <si>
    <t>Cash disbursed to ops (includes Forecast new operating spend &amp; Top-down adjustment)</t>
  </si>
  <si>
    <t>Total Crown expenses (includes Forecast new operating spend &amp; Top-down adjustment)</t>
  </si>
  <si>
    <t>Total other non-cash items (includes Depreciation &amp; amortisation)</t>
  </si>
  <si>
    <t>Other Operating expenses (excludes Depreciation &amp; Amortisation)</t>
  </si>
  <si>
    <t>CHECK: Net Debt excluding NZSF &amp; advances =GSID -CCFA +advs +NZSF FA</t>
  </si>
  <si>
    <t>CHECK: CC exps =SA&amp;ODA +Persnl +Other op +Int +Insur +Fcst new op spend &amp;T-d adj</t>
  </si>
  <si>
    <t>CHECK: CC assets =Cash+Rec+MSD+SI+Adv+PPE+EAI+IG+IO+Fcst new cap sp &amp;T-d adj</t>
  </si>
  <si>
    <t>CE other non-finance expenses (excluding welfare, health, education &amp; transport)</t>
  </si>
  <si>
    <t>SOE other non-finance expenses (excluding welfare, health, education &amp; transport)</t>
  </si>
  <si>
    <t>CHECK: Oper bal (excl Min ints) in Statement of Financial Performance=Sum of segments</t>
  </si>
  <si>
    <r>
      <t xml:space="preserve">Labour Force growth (targets projected growth in </t>
    </r>
    <r>
      <rPr>
        <i/>
        <sz val="11"/>
        <color indexed="8"/>
        <rFont val="Arial"/>
        <family val="2"/>
      </rPr>
      <t>Labour Force</t>
    </r>
    <r>
      <rPr>
        <sz val="11"/>
        <color indexed="8"/>
        <rFont val="Arial"/>
        <family val="2"/>
      </rPr>
      <t>) (percentage points per year)</t>
    </r>
  </si>
  <si>
    <r>
      <t xml:space="preserve">CHECK: Net core Crown debt (ex NZS Fund &amp;advs) in </t>
    </r>
    <r>
      <rPr>
        <b/>
        <i/>
        <sz val="11"/>
        <rFont val="Arial"/>
        <family val="2"/>
      </rPr>
      <t>Fiscal Forecasts</t>
    </r>
    <r>
      <rPr>
        <b/>
        <sz val="11"/>
        <rFont val="Arial"/>
        <family val="2"/>
      </rPr>
      <t xml:space="preserve"> = Calc value</t>
    </r>
  </si>
  <si>
    <t>Crown entities (projected as ratio of all category exps except Econ &amp; ind services)</t>
  </si>
  <si>
    <t>Less Core Crown non-debt liabilities</t>
  </si>
  <si>
    <t>are used mainly to divide up the NZS Fund's forecast and projected closing balance among various asset and liability classes</t>
  </si>
  <si>
    <t>Percentage of NZS Fund closing balance held as cash or cash equivalents</t>
  </si>
  <si>
    <t>Percentage of NZS Fund closing balance held as marketable securities and derivatives</t>
  </si>
  <si>
    <t>Percentage of NZS Fund closing balance held as share investments</t>
  </si>
  <si>
    <t>Percentage of NZS Fund closing balance held as advances</t>
  </si>
  <si>
    <t>Percentage of NZS Fund closing balance held as property, plant &amp; equipment</t>
  </si>
  <si>
    <t>Percentage of NZS Fund closing balance held as equity accounted investments</t>
  </si>
  <si>
    <t>Percentage of previous year's NZS Fund marketable securities held as derivatives in loss</t>
  </si>
  <si>
    <t>The following percentages are related to the New Zealand Superannuation (NZS) Fund. They are based on historical data and</t>
  </si>
  <si>
    <t>NZS Fund receivables are grown as a percentage of revenue, payables as a percentage of non-tax expenses. Both are historically-based values.</t>
  </si>
  <si>
    <t>Less Dividends paid to/(received from) minority interests</t>
  </si>
  <si>
    <t>NZS Fund non-tax expenses</t>
  </si>
  <si>
    <t>The working-age benefits and student allowances are normally projected using recipient number growth and inflation indexation of payments.</t>
  </si>
  <si>
    <t>Fiscal drag modelling can be applied to source deductions tax revenue. If this selected, then source deductions will not stabilise at the</t>
  </si>
  <si>
    <t>stable percentage of GDP shown below. If fiscal drag is chosen, this is applied in modelling indexation of NZS payments too.</t>
  </si>
  <si>
    <t>This growth logic can be replaced by having these benefits move to and then stabilise at a chosen % of GDP.</t>
  </si>
  <si>
    <t>Aged 60 years and over</t>
  </si>
  <si>
    <t>Transition rate from end-of-forecast to stable pctg for non-NZS welfare (pctg pts per year)</t>
  </si>
  <si>
    <t>The Working for Families tax credits and supplementary benefits are normally projected using working-age population growth and inflation</t>
  </si>
  <si>
    <t>indexation of payments. This growth logic can be replaced by having these benefits move to and then stabilise at a chosen % of GDP.</t>
  </si>
  <si>
    <t>Parameters to align operational and functional expense classes</t>
  </si>
  <si>
    <t>Core Crown expenses that derive growth from a share of the Operating allowances</t>
  </si>
  <si>
    <t>Core Crown insurance expenses</t>
  </si>
  <si>
    <t>Functional core Crown expenses allocated to Other operating expensess</t>
  </si>
  <si>
    <t>NZS Fund gains/(losses)</t>
  </si>
  <si>
    <t>Other core Crown gains/(losses)</t>
  </si>
  <si>
    <t>Core Crown gains and losses</t>
  </si>
  <si>
    <t>Percentage of core Crown tax revenue that is booked as a tax receivable but written off</t>
  </si>
  <si>
    <t>NZS Fund assets &amp; liabilities with those of the rest of the core Crown</t>
  </si>
  <si>
    <t>New Zealand Superannuation (NZS) Fund parameters to model interaction of</t>
  </si>
  <si>
    <t>Less Core Crown depreciation</t>
  </si>
  <si>
    <t>Less Total depreciation</t>
  </si>
  <si>
    <t>Core Crown net additions excl NZS Fund less disposals plus net revaltns plus other addtns</t>
  </si>
  <si>
    <t>Enter Yes to allocate the new operating spend &amp; top-down adjustment among expense classes</t>
  </si>
  <si>
    <t>Enter Yes to allocate the new capital spend and top-down capital adjustment to PP&amp;E asset</t>
  </si>
  <si>
    <t>Percentage of NZS Fund revenue that adds to growth of NZS Fund receivables</t>
  </si>
  <si>
    <t>Percentage of NZS Fund non-tax expenses that adds to growth of NZS Fund payables</t>
  </si>
  <si>
    <t xml:space="preserve">*Non-cash core Crown interest revenue and Non-NZS Fund core Crown gains </t>
  </si>
  <si>
    <t>Operating Balance</t>
  </si>
  <si>
    <t>or stable % of a related asset or liability for growing some non-cash assets &amp; liabilities</t>
  </si>
  <si>
    <t>Enter Yes to select a track of annual Operating Allowance increments that stabilises net debt</t>
  </si>
  <si>
    <t xml:space="preserve">Enter Yes to select fiscal drag modelling for source deductions revenue </t>
  </si>
  <si>
    <t>Enter Yes to use stable % of nominal GDP for main-working age benefits and student allowances</t>
  </si>
  <si>
    <t>Enter Yes to use stable % of nominal GDP for Working for Families  and supplementary benefits</t>
  </si>
  <si>
    <t>Lower bound for gross sovereign-issued debt as a percentage of nominal GDP</t>
  </si>
  <si>
    <t>CALCULATIONS TO SPLIT DEBT REDUCTION AND FINANCIAL ASSET BUILD UP</t>
  </si>
  <si>
    <t>Core Crown borrowings with no minimum restriction</t>
  </si>
  <si>
    <t>Core Crown interest payments with no minimum restriction on debt</t>
  </si>
  <si>
    <t>Total Crown borrowings with no minimum restriction</t>
  </si>
  <si>
    <t>Total Crown interest payments with no minimum restriction on debt</t>
  </si>
  <si>
    <t>FISCAL STRATEGY MODEL (FSM) - 2017 PRE-ELECTION ECONOMIC &amp; FISCAL UPDATE (PREFU) VERSION</t>
  </si>
  <si>
    <t>2017 Pre-Election Economic and Fiscal Update (PREFU) data and forecasts</t>
  </si>
  <si>
    <t>2017 PREFU version</t>
  </si>
  <si>
    <t>Based on 2017 Budget EFU version of projected Student Loans track</t>
  </si>
  <si>
    <t>Based on 2017 Budget EFU track</t>
  </si>
  <si>
    <t>PREFU 2017 restart in 2019/20</t>
  </si>
  <si>
    <t>PREFU 2017 restart in 2020/21</t>
  </si>
  <si>
    <t>PREFU 2017 restart in 2021/22</t>
  </si>
  <si>
    <t>Pre-Election 2017 forecast from 2016/17 onwards</t>
  </si>
  <si>
    <t>Pre-Election 2017 projection from 2021/22 onwards</t>
  </si>
  <si>
    <t>TRACK 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</si>
</sst>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
    <numFmt numFmtId="166" formatCode="0.0%"/>
    <numFmt numFmtId="167" formatCode="&quot;$&quot;#,##0.00"/>
    <numFmt numFmtId="168" formatCode="#,##0.00000"/>
    <numFmt numFmtId="169" formatCode="&quot;$&quot;#,##0"/>
    <numFmt numFmtId="170" formatCode="0.0000"/>
  </numFmts>
  <fonts count="39" x14ac:knownFonts="1">
    <font>
      <sz val="11"/>
      <color theme="1"/>
      <name val="Calibri"/>
      <family val="2"/>
      <scheme val="minor"/>
    </font>
    <font>
      <sz val="11"/>
      <color indexed="8"/>
      <name val="Arial"/>
      <family val="2"/>
    </font>
    <font>
      <b/>
      <sz val="11"/>
      <color indexed="8"/>
      <name val="Arial"/>
      <family val="2"/>
    </font>
    <font>
      <i/>
      <sz val="11"/>
      <color indexed="8"/>
      <name val="Arial"/>
      <family val="2"/>
    </font>
    <font>
      <b/>
      <sz val="11"/>
      <color indexed="8"/>
      <name val="Calibri"/>
      <family val="2"/>
    </font>
    <font>
      <sz val="9"/>
      <color indexed="81"/>
      <name val="Tahoma"/>
      <family val="2"/>
    </font>
    <font>
      <b/>
      <i/>
      <sz val="11"/>
      <color indexed="8"/>
      <name val="Arial"/>
      <family val="2"/>
    </font>
    <font>
      <i/>
      <sz val="11"/>
      <color indexed="8"/>
      <name val="Calibri"/>
      <family val="2"/>
    </font>
    <font>
      <b/>
      <sz val="11"/>
      <name val="Arial"/>
      <family val="2"/>
    </font>
    <font>
      <sz val="10"/>
      <color indexed="8"/>
      <name val="Arial"/>
      <family val="2"/>
    </font>
    <font>
      <b/>
      <i/>
      <sz val="11"/>
      <name val="Arial"/>
      <family val="2"/>
    </font>
    <font>
      <b/>
      <sz val="12"/>
      <color indexed="8"/>
      <name val="Calibri"/>
      <family val="2"/>
    </font>
    <font>
      <b/>
      <sz val="11"/>
      <color indexed="12"/>
      <name val="Calibri"/>
      <family val="2"/>
    </font>
    <font>
      <sz val="11"/>
      <color indexed="8"/>
      <name val="Calibri"/>
      <family val="2"/>
    </font>
    <font>
      <i/>
      <sz val="10"/>
      <color indexed="8"/>
      <name val="Arial"/>
      <family val="2"/>
    </font>
    <font>
      <i/>
      <sz val="10"/>
      <color indexed="8"/>
      <name val="Arial"/>
      <family val="2"/>
    </font>
    <font>
      <sz val="10"/>
      <color indexed="8"/>
      <name val="Arial"/>
      <family val="2"/>
    </font>
    <font>
      <b/>
      <sz val="10"/>
      <color indexed="8"/>
      <name val="Calibri"/>
      <family val="2"/>
    </font>
    <font>
      <sz val="11"/>
      <color theme="1"/>
      <name val="Calibri"/>
      <family val="2"/>
      <scheme val="minor"/>
    </font>
    <font>
      <u/>
      <sz val="11"/>
      <color theme="10"/>
      <name val="Calibri"/>
      <family val="2"/>
      <scheme val="minor"/>
    </font>
    <font>
      <u/>
      <sz val="11"/>
      <color theme="10"/>
      <name val="Calibri"/>
      <family val="2"/>
    </font>
    <font>
      <sz val="10"/>
      <color theme="1"/>
      <name val="Verdana"/>
      <family val="2"/>
    </font>
    <font>
      <sz val="11"/>
      <color theme="1"/>
      <name val="Arial"/>
      <family val="2"/>
    </font>
    <font>
      <b/>
      <sz val="11"/>
      <color theme="1"/>
      <name val="Arial"/>
      <family val="2"/>
    </font>
    <font>
      <i/>
      <sz val="11"/>
      <color theme="1"/>
      <name val="Arial"/>
      <family val="2"/>
    </font>
    <font>
      <sz val="11"/>
      <color rgb="FF0000FF"/>
      <name val="Arial"/>
      <family val="2"/>
    </font>
    <font>
      <sz val="11"/>
      <color rgb="FFFF0000"/>
      <name val="Arial"/>
      <family val="2"/>
    </font>
    <font>
      <b/>
      <i/>
      <sz val="11"/>
      <color theme="1"/>
      <name val="Arial"/>
      <family val="2"/>
    </font>
    <font>
      <sz val="10"/>
      <color theme="1"/>
      <name val="Arial"/>
      <family val="2"/>
    </font>
    <font>
      <b/>
      <sz val="11"/>
      <color rgb="FF0000FF"/>
      <name val="Arial"/>
      <family val="2"/>
    </font>
    <font>
      <b/>
      <sz val="11"/>
      <color rgb="FFFF0000"/>
      <name val="Arial"/>
      <family val="2"/>
    </font>
    <font>
      <b/>
      <sz val="13"/>
      <color theme="1"/>
      <name val="Arial"/>
      <family val="2"/>
    </font>
    <font>
      <b/>
      <i/>
      <sz val="12"/>
      <color theme="1"/>
      <name val="Arial"/>
      <family val="2"/>
    </font>
    <font>
      <b/>
      <sz val="12"/>
      <color theme="1"/>
      <name val="Arial"/>
      <family val="2"/>
    </font>
    <font>
      <u/>
      <sz val="11"/>
      <color rgb="FF0000FF"/>
      <name val="Calibri"/>
      <family val="2"/>
      <scheme val="minor"/>
    </font>
    <font>
      <i/>
      <sz val="10"/>
      <color theme="1"/>
      <name val="Arial"/>
      <family val="2"/>
    </font>
    <font>
      <b/>
      <i/>
      <sz val="10"/>
      <color theme="1"/>
      <name val="Arial"/>
      <family val="2"/>
    </font>
    <font>
      <b/>
      <sz val="10"/>
      <color theme="1"/>
      <name val="Arial"/>
      <family val="2"/>
    </font>
    <font>
      <u/>
      <sz val="10"/>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18" fillId="0" borderId="0"/>
    <xf numFmtId="0" fontId="21" fillId="0" borderId="0"/>
    <xf numFmtId="9" fontId="18" fillId="0" borderId="0" applyFont="0" applyFill="0" applyBorder="0" applyAlignment="0" applyProtection="0"/>
    <xf numFmtId="9" fontId="21" fillId="0" borderId="0" applyFont="0" applyFill="0" applyBorder="0" applyAlignment="0" applyProtection="0"/>
  </cellStyleXfs>
  <cellXfs count="118">
    <xf numFmtId="0" fontId="0" fillId="0" borderId="0" xfId="0"/>
    <xf numFmtId="0" fontId="22" fillId="0" borderId="0" xfId="0" applyFont="1"/>
    <xf numFmtId="0" fontId="23" fillId="0" borderId="0" xfId="0" applyFont="1"/>
    <xf numFmtId="3" fontId="22" fillId="0" borderId="0" xfId="0" applyNumberFormat="1" applyFont="1"/>
    <xf numFmtId="0" fontId="24" fillId="0" borderId="0" xfId="0" applyFont="1"/>
    <xf numFmtId="0" fontId="19" fillId="0" borderId="0" xfId="1"/>
    <xf numFmtId="0" fontId="23" fillId="0" borderId="0" xfId="0" applyFont="1" applyAlignment="1">
      <alignment horizontal="center"/>
    </xf>
    <xf numFmtId="164" fontId="22" fillId="0" borderId="0" xfId="0" applyNumberFormat="1" applyFont="1"/>
    <xf numFmtId="164" fontId="23" fillId="0" borderId="0" xfId="0" applyNumberFormat="1" applyFont="1"/>
    <xf numFmtId="10" fontId="22" fillId="0" borderId="0" xfId="5" applyNumberFormat="1" applyFont="1"/>
    <xf numFmtId="2" fontId="22" fillId="0" borderId="0" xfId="0" applyNumberFormat="1" applyFont="1"/>
    <xf numFmtId="10" fontId="22" fillId="0" borderId="0" xfId="0" applyNumberFormat="1" applyFont="1"/>
    <xf numFmtId="1" fontId="22" fillId="0" borderId="0" xfId="0" applyNumberFormat="1" applyFont="1"/>
    <xf numFmtId="0" fontId="24" fillId="0" borderId="0" xfId="0" applyFont="1" applyAlignment="1">
      <alignment horizontal="left"/>
    </xf>
    <xf numFmtId="0" fontId="23" fillId="0" borderId="0" xfId="0" applyFont="1" applyAlignment="1">
      <alignment horizontal="right"/>
    </xf>
    <xf numFmtId="164" fontId="25" fillId="0" borderId="0" xfId="0" applyNumberFormat="1" applyFont="1"/>
    <xf numFmtId="164" fontId="26" fillId="0" borderId="0" xfId="0" applyNumberFormat="1" applyFont="1"/>
    <xf numFmtId="10" fontId="26" fillId="0" borderId="0" xfId="0" applyNumberFormat="1" applyFont="1"/>
    <xf numFmtId="10" fontId="25" fillId="0" borderId="0" xfId="0" applyNumberFormat="1" applyFont="1"/>
    <xf numFmtId="0" fontId="27" fillId="0" borderId="0" xfId="0" applyFont="1"/>
    <xf numFmtId="166" fontId="22" fillId="0" borderId="0" xfId="0" applyNumberFormat="1" applyFont="1"/>
    <xf numFmtId="2" fontId="25" fillId="0" borderId="0" xfId="0" applyNumberFormat="1" applyFont="1"/>
    <xf numFmtId="2" fontId="26" fillId="0" borderId="0" xfId="0" applyNumberFormat="1" applyFont="1"/>
    <xf numFmtId="3" fontId="25" fillId="0" borderId="0" xfId="0" applyNumberFormat="1" applyFont="1"/>
    <xf numFmtId="3" fontId="26" fillId="0" borderId="0" xfId="0" applyNumberFormat="1" applyFont="1"/>
    <xf numFmtId="0" fontId="25" fillId="0" borderId="0" xfId="0" applyFont="1"/>
    <xf numFmtId="0" fontId="26" fillId="0" borderId="0" xfId="0" applyFont="1"/>
    <xf numFmtId="0" fontId="8" fillId="0" borderId="0" xfId="0" applyFont="1"/>
    <xf numFmtId="164" fontId="23" fillId="0" borderId="1" xfId="0" applyNumberFormat="1" applyFont="1" applyBorder="1"/>
    <xf numFmtId="0" fontId="28" fillId="0" borderId="0" xfId="0" applyFont="1"/>
    <xf numFmtId="0" fontId="29" fillId="0" borderId="0" xfId="0" applyFont="1" applyAlignment="1">
      <alignment horizontal="center"/>
    </xf>
    <xf numFmtId="0" fontId="29" fillId="0" borderId="0" xfId="0" applyFont="1"/>
    <xf numFmtId="0" fontId="30" fillId="0" borderId="0" xfId="0" applyFont="1" applyAlignment="1">
      <alignment horizontal="center"/>
    </xf>
    <xf numFmtId="0" fontId="30" fillId="0" borderId="0" xfId="0" applyFont="1"/>
    <xf numFmtId="164" fontId="30" fillId="0" borderId="2" xfId="0" applyNumberFormat="1" applyFont="1" applyBorder="1"/>
    <xf numFmtId="164" fontId="29" fillId="0" borderId="2" xfId="0" applyNumberFormat="1" applyFont="1" applyBorder="1"/>
    <xf numFmtId="164" fontId="29" fillId="0" borderId="1" xfId="0" applyNumberFormat="1" applyFont="1" applyBorder="1"/>
    <xf numFmtId="164" fontId="30" fillId="0" borderId="1" xfId="0" applyNumberFormat="1" applyFont="1" applyBorder="1"/>
    <xf numFmtId="164" fontId="23" fillId="0" borderId="2" xfId="0" applyNumberFormat="1" applyFont="1" applyBorder="1"/>
    <xf numFmtId="164" fontId="30" fillId="0" borderId="0" xfId="0" applyNumberFormat="1" applyFont="1"/>
    <xf numFmtId="164" fontId="29" fillId="0" borderId="0" xfId="0" applyNumberFormat="1" applyFont="1"/>
    <xf numFmtId="9" fontId="22" fillId="0" borderId="0" xfId="0" applyNumberFormat="1" applyFont="1"/>
    <xf numFmtId="167" fontId="22" fillId="0" borderId="0" xfId="0" applyNumberFormat="1" applyFont="1"/>
    <xf numFmtId="167" fontId="26" fillId="0" borderId="0" xfId="0" applyNumberFormat="1" applyFont="1"/>
    <xf numFmtId="164" fontId="26" fillId="0" borderId="0" xfId="0" applyNumberFormat="1" applyFont="1" applyBorder="1"/>
    <xf numFmtId="164" fontId="22" fillId="0" borderId="0" xfId="0" applyNumberFormat="1" applyFont="1" applyBorder="1"/>
    <xf numFmtId="168" fontId="22" fillId="0" borderId="0" xfId="0" applyNumberFormat="1" applyFont="1"/>
    <xf numFmtId="164" fontId="29" fillId="0" borderId="0" xfId="0" applyNumberFormat="1" applyFont="1" applyBorder="1"/>
    <xf numFmtId="164" fontId="30" fillId="0" borderId="0" xfId="0" applyNumberFormat="1" applyFont="1" applyBorder="1"/>
    <xf numFmtId="164" fontId="23" fillId="0" borderId="0" xfId="0" applyNumberFormat="1" applyFont="1" applyBorder="1"/>
    <xf numFmtId="164" fontId="25" fillId="0" borderId="0" xfId="0" applyNumberFormat="1" applyFont="1" applyFill="1"/>
    <xf numFmtId="10" fontId="25" fillId="0" borderId="0" xfId="5" applyNumberFormat="1" applyFont="1"/>
    <xf numFmtId="10" fontId="26" fillId="0" borderId="0" xfId="5" applyNumberFormat="1" applyFont="1"/>
    <xf numFmtId="164" fontId="23" fillId="0" borderId="0" xfId="0" applyNumberFormat="1" applyFont="1" applyAlignment="1">
      <alignment horizontal="center"/>
    </xf>
    <xf numFmtId="164" fontId="25" fillId="0" borderId="0" xfId="0" applyNumberFormat="1" applyFont="1" applyBorder="1"/>
    <xf numFmtId="0" fontId="31" fillId="0" borderId="0" xfId="0" applyFont="1"/>
    <xf numFmtId="166" fontId="29" fillId="0" borderId="0" xfId="5" applyNumberFormat="1" applyFont="1"/>
    <xf numFmtId="166" fontId="23" fillId="0" borderId="0" xfId="5" applyNumberFormat="1" applyFont="1"/>
    <xf numFmtId="166" fontId="30" fillId="0" borderId="0" xfId="5" applyNumberFormat="1" applyFont="1"/>
    <xf numFmtId="0" fontId="32" fillId="0" borderId="0" xfId="0" applyFont="1"/>
    <xf numFmtId="0" fontId="33" fillId="0" borderId="0" xfId="0" applyFont="1"/>
    <xf numFmtId="164" fontId="23" fillId="2" borderId="0" xfId="0" applyNumberFormat="1" applyFont="1" applyFill="1"/>
    <xf numFmtId="0" fontId="22" fillId="0" borderId="0" xfId="0" applyNumberFormat="1" applyFont="1" applyAlignment="1">
      <alignment horizontal="center"/>
    </xf>
    <xf numFmtId="0" fontId="22" fillId="0" borderId="0" xfId="0" applyFont="1" applyAlignment="1">
      <alignment horizontal="right"/>
    </xf>
    <xf numFmtId="166" fontId="23" fillId="0" borderId="0" xfId="0" applyNumberFormat="1" applyFont="1"/>
    <xf numFmtId="166" fontId="23" fillId="0" borderId="1" xfId="5" applyNumberFormat="1" applyFont="1" applyBorder="1"/>
    <xf numFmtId="166" fontId="22" fillId="0" borderId="0" xfId="5" applyNumberFormat="1" applyFont="1"/>
    <xf numFmtId="0" fontId="34" fillId="0" borderId="0" xfId="1" applyFont="1"/>
    <xf numFmtId="0" fontId="25" fillId="0" borderId="0" xfId="0" applyFont="1" applyAlignment="1">
      <alignment horizontal="center"/>
    </xf>
    <xf numFmtId="1" fontId="23" fillId="2" borderId="0" xfId="0" applyNumberFormat="1" applyFont="1" applyFill="1" applyAlignment="1">
      <alignment horizontal="center"/>
    </xf>
    <xf numFmtId="10" fontId="23" fillId="0" borderId="0" xfId="5" applyNumberFormat="1" applyFont="1"/>
    <xf numFmtId="1" fontId="23" fillId="0" borderId="0" xfId="0" applyNumberFormat="1" applyFont="1"/>
    <xf numFmtId="0" fontId="35" fillId="0" borderId="0" xfId="0" applyFont="1"/>
    <xf numFmtId="0" fontId="36" fillId="0" borderId="0" xfId="0" applyFont="1"/>
    <xf numFmtId="0" fontId="16" fillId="0" borderId="0" xfId="0" applyFont="1"/>
    <xf numFmtId="0" fontId="20" fillId="0" borderId="0" xfId="2" applyAlignment="1" applyProtection="1"/>
    <xf numFmtId="0" fontId="37" fillId="0" borderId="0" xfId="0" applyFont="1"/>
    <xf numFmtId="0" fontId="15" fillId="0" borderId="0" xfId="0" applyFont="1"/>
    <xf numFmtId="0" fontId="37" fillId="0" borderId="0" xfId="0" applyNumberFormat="1" applyFont="1" applyAlignment="1">
      <alignment horizontal="center"/>
    </xf>
    <xf numFmtId="0" fontId="37" fillId="0" borderId="0" xfId="0" applyFont="1" applyAlignment="1">
      <alignment horizontal="center"/>
    </xf>
    <xf numFmtId="164" fontId="37" fillId="0" borderId="0" xfId="0" applyNumberFormat="1" applyFont="1" applyAlignment="1">
      <alignment horizontal="center"/>
    </xf>
    <xf numFmtId="3" fontId="37" fillId="0" borderId="0" xfId="0" applyNumberFormat="1" applyFont="1"/>
    <xf numFmtId="10" fontId="28" fillId="0" borderId="0" xfId="5" applyNumberFormat="1" applyFont="1"/>
    <xf numFmtId="165" fontId="37" fillId="0" borderId="0" xfId="5" applyNumberFormat="1" applyFont="1"/>
    <xf numFmtId="170" fontId="28" fillId="0" borderId="0" xfId="0" applyNumberFormat="1" applyFont="1"/>
    <xf numFmtId="3" fontId="28" fillId="0" borderId="0" xfId="0" applyNumberFormat="1" applyFont="1"/>
    <xf numFmtId="1" fontId="37" fillId="0" borderId="0" xfId="0" applyNumberFormat="1" applyFont="1"/>
    <xf numFmtId="164" fontId="28" fillId="0" borderId="0" xfId="0" applyNumberFormat="1" applyFont="1"/>
    <xf numFmtId="164" fontId="37" fillId="0" borderId="0" xfId="0" applyNumberFormat="1" applyFont="1"/>
    <xf numFmtId="0" fontId="38" fillId="0" borderId="0" xfId="1" applyFont="1"/>
    <xf numFmtId="165" fontId="28" fillId="0" borderId="0" xfId="0" applyNumberFormat="1" applyFont="1"/>
    <xf numFmtId="168" fontId="28" fillId="0" borderId="0" xfId="0" applyNumberFormat="1" applyFont="1"/>
    <xf numFmtId="9" fontId="28" fillId="0" borderId="0" xfId="0" applyNumberFormat="1" applyFont="1"/>
    <xf numFmtId="9" fontId="37" fillId="0" borderId="0" xfId="0" applyNumberFormat="1" applyFont="1"/>
    <xf numFmtId="166" fontId="28" fillId="0" borderId="0" xfId="0" applyNumberFormat="1" applyFont="1"/>
    <xf numFmtId="169" fontId="28" fillId="0" borderId="0" xfId="0" applyNumberFormat="1" applyFont="1"/>
    <xf numFmtId="10" fontId="28" fillId="0" borderId="0" xfId="0" applyNumberFormat="1" applyFont="1"/>
    <xf numFmtId="164" fontId="26" fillId="0" borderId="0" xfId="0" applyNumberFormat="1" applyFont="1" applyFill="1"/>
    <xf numFmtId="0" fontId="23" fillId="0" borderId="0" xfId="0" applyFont="1" applyFill="1"/>
    <xf numFmtId="0" fontId="30" fillId="0" borderId="0" xfId="0" applyFont="1" applyFill="1"/>
    <xf numFmtId="0" fontId="22" fillId="0" borderId="0" xfId="0" applyFont="1" applyFill="1"/>
    <xf numFmtId="164" fontId="22" fillId="0" borderId="0" xfId="0" applyNumberFormat="1" applyFont="1" applyFill="1"/>
    <xf numFmtId="164" fontId="23" fillId="0" borderId="1" xfId="0" applyNumberFormat="1" applyFont="1" applyFill="1" applyBorder="1"/>
    <xf numFmtId="164" fontId="30" fillId="0" borderId="1" xfId="0" applyNumberFormat="1" applyFont="1" applyFill="1" applyBorder="1"/>
    <xf numFmtId="164" fontId="23" fillId="0" borderId="0" xfId="0" applyNumberFormat="1" applyFont="1" applyFill="1"/>
    <xf numFmtId="164" fontId="30" fillId="0" borderId="0" xfId="0" applyNumberFormat="1" applyFont="1" applyFill="1"/>
    <xf numFmtId="164" fontId="23" fillId="0" borderId="1" xfId="0" applyNumberFormat="1" applyFont="1" applyFill="1" applyBorder="1" applyAlignment="1">
      <alignment horizontal="center"/>
    </xf>
    <xf numFmtId="164" fontId="30" fillId="0" borderId="1" xfId="0" applyNumberFormat="1" applyFont="1" applyFill="1" applyBorder="1" applyAlignment="1">
      <alignment horizontal="center"/>
    </xf>
    <xf numFmtId="1" fontId="22" fillId="0" borderId="0" xfId="0" applyNumberFormat="1" applyFont="1" applyFill="1"/>
    <xf numFmtId="164" fontId="23" fillId="0" borderId="0" xfId="0" applyNumberFormat="1" applyFont="1" applyFill="1" applyBorder="1"/>
    <xf numFmtId="164" fontId="30" fillId="0" borderId="0" xfId="0" applyNumberFormat="1" applyFont="1" applyFill="1" applyBorder="1"/>
    <xf numFmtId="164" fontId="23"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7" fillId="0" borderId="0" xfId="0" applyFont="1" applyFill="1"/>
    <xf numFmtId="0" fontId="28" fillId="0" borderId="0" xfId="0" applyFont="1" applyFill="1"/>
    <xf numFmtId="0" fontId="26" fillId="0" borderId="0" xfId="0" applyFont="1" applyFill="1" applyAlignment="1">
      <alignment horizontal="center"/>
    </xf>
    <xf numFmtId="0" fontId="22" fillId="0" borderId="0" xfId="0" applyFont="1" applyFill="1" applyAlignment="1">
      <alignment horizontal="center"/>
    </xf>
    <xf numFmtId="0" fontId="14" fillId="0" borderId="0" xfId="0" applyFont="1"/>
  </cellXfs>
  <cellStyles count="7">
    <cellStyle name="Hyperlink" xfId="1" builtinId="8"/>
    <cellStyle name="Hyperlink 2" xfId="2"/>
    <cellStyle name="Normal" xfId="0" builtinId="0"/>
    <cellStyle name="Normal 11 2" xfId="3"/>
    <cellStyle name="Normal 2" xfId="4"/>
    <cellStyle name="Percent" xfId="5" builtinId="5"/>
    <cellStyle name="Percent 2" xfId="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17" dropStyle="combo" dx="22" fmlaLink="Display!$B$1" fmlaRange="Display!$A$2:$A$18" noThreeD="1" sel="2" val="0"/>
</file>

<file path=xl/ctrlProps/ctrlProp2.xml><?xml version="1.0" encoding="utf-8"?>
<formControlPr xmlns="http://schemas.microsoft.com/office/spreadsheetml/2009/9/main" objectType="Drop" dropLines="17" dropStyle="combo" dx="22" fmlaLink="Display!$B$1" fmlaRange="Display!$A$2:$A$18"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6</xdr:row>
          <xdr:rowOff>0</xdr:rowOff>
        </xdr:from>
        <xdr:to>
          <xdr:col>0</xdr:col>
          <xdr:colOff>5629275</xdr:colOff>
          <xdr:row>7</xdr:row>
          <xdr:rowOff>9525</xdr:rowOff>
        </xdr:to>
        <xdr:sp macro="" textlink="">
          <xdr:nvSpPr>
            <xdr:cNvPr id="169985" name="Drop Down 1" hidden="1">
              <a:extLst>
                <a:ext uri="{63B3BB69-23CF-44E3-9099-C40C66FF867C}">
                  <a14:compatExt spid="_x0000_s1699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6</xdr:row>
          <xdr:rowOff>0</xdr:rowOff>
        </xdr:from>
        <xdr:to>
          <xdr:col>0</xdr:col>
          <xdr:colOff>5629275</xdr:colOff>
          <xdr:row>7</xdr:row>
          <xdr:rowOff>9525</xdr:rowOff>
        </xdr:to>
        <xdr:sp macro="" textlink="">
          <xdr:nvSpPr>
            <xdr:cNvPr id="171009" name="Drop Down 1" hidden="1">
              <a:extLst>
                <a:ext uri="{63B3BB69-23CF-44E3-9099-C40C66FF867C}">
                  <a14:compatExt spid="_x0000_s1710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5.bin"/><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reasury.govt.nz/government/assets/nzsf/contributionratemode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educationcounts.govt.nz/statistics" TargetMode="External"/><Relationship Id="rId2" Type="http://schemas.openxmlformats.org/officeDocument/2006/relationships/hyperlink" Target="http://www.treasury.govt.nz/government/assets/nzsf/contributionratemodel" TargetMode="External"/><Relationship Id="rId1" Type="http://schemas.openxmlformats.org/officeDocument/2006/relationships/hyperlink" Target="http://www.stats.govt.nz/"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stats.govt.nz/infoshare/" TargetMode="External"/><Relationship Id="rId1" Type="http://schemas.openxmlformats.org/officeDocument/2006/relationships/hyperlink" Target="http://www.stats.govt.nz/browse_for_stats/population/estimates_and_projections/national-population-projections-info-releases.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zdotstat.stats.govt.nz/wbos/Index.aspx"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treasury.govt.nz/government/assets/nzsf/contributionratemode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9" sqref="B19"/>
    </sheetView>
  </sheetViews>
  <sheetFormatPr defaultRowHeight="15" x14ac:dyDescent="0.25"/>
  <cols>
    <col min="1" max="1" width="80.7109375" customWidth="1"/>
  </cols>
  <sheetData>
    <row r="1" spans="1:3" ht="15.75" x14ac:dyDescent="0.25">
      <c r="A1" s="59" t="s">
        <v>741</v>
      </c>
      <c r="B1">
        <v>2</v>
      </c>
      <c r="C1">
        <f ca="1">OFFSET($A$1,$B$1,1)</f>
        <v>76</v>
      </c>
    </row>
    <row r="2" spans="1:3" ht="15.75" x14ac:dyDescent="0.25">
      <c r="A2" s="60" t="s">
        <v>731</v>
      </c>
      <c r="B2" s="3">
        <v>39</v>
      </c>
    </row>
    <row r="3" spans="1:3" ht="15.75" x14ac:dyDescent="0.25">
      <c r="A3" s="60" t="s">
        <v>733</v>
      </c>
      <c r="B3" s="3">
        <v>76</v>
      </c>
    </row>
    <row r="4" spans="1:3" ht="15.75" x14ac:dyDescent="0.25">
      <c r="A4" s="60" t="s">
        <v>677</v>
      </c>
      <c r="B4" s="3">
        <v>49</v>
      </c>
    </row>
    <row r="5" spans="1:3" ht="15.75" x14ac:dyDescent="0.25">
      <c r="A5" s="60" t="s">
        <v>732</v>
      </c>
      <c r="B5" s="3">
        <v>71</v>
      </c>
    </row>
    <row r="6" spans="1:3" ht="15.75" x14ac:dyDescent="0.25">
      <c r="A6" s="60" t="s">
        <v>252</v>
      </c>
      <c r="B6" s="3">
        <v>45</v>
      </c>
    </row>
    <row r="7" spans="1:3" ht="15.75" x14ac:dyDescent="0.25">
      <c r="A7" s="60" t="s">
        <v>254</v>
      </c>
      <c r="B7" s="3">
        <v>46</v>
      </c>
    </row>
    <row r="8" spans="1:3" ht="15.75" x14ac:dyDescent="0.25">
      <c r="A8" s="60" t="s">
        <v>269</v>
      </c>
      <c r="B8" s="3">
        <v>47</v>
      </c>
    </row>
    <row r="9" spans="1:3" ht="15.75" x14ac:dyDescent="0.25">
      <c r="A9" s="60" t="s">
        <v>676</v>
      </c>
      <c r="B9" s="3">
        <v>48</v>
      </c>
    </row>
    <row r="10" spans="1:3" ht="15.75" x14ac:dyDescent="0.25">
      <c r="A10" s="60" t="s">
        <v>734</v>
      </c>
      <c r="B10" s="3">
        <v>36</v>
      </c>
    </row>
    <row r="11" spans="1:3" ht="15.75" x14ac:dyDescent="0.25">
      <c r="A11" s="60" t="s">
        <v>735</v>
      </c>
      <c r="B11" s="3">
        <v>37</v>
      </c>
    </row>
    <row r="12" spans="1:3" ht="15.75" x14ac:dyDescent="0.25">
      <c r="A12" s="60" t="s">
        <v>674</v>
      </c>
      <c r="B12" s="3">
        <v>43</v>
      </c>
    </row>
    <row r="13" spans="1:3" ht="15.75" x14ac:dyDescent="0.25">
      <c r="A13" s="60" t="s">
        <v>739</v>
      </c>
      <c r="B13" s="3">
        <v>131</v>
      </c>
    </row>
    <row r="14" spans="1:3" ht="15.75" x14ac:dyDescent="0.25">
      <c r="A14" s="60" t="s">
        <v>738</v>
      </c>
      <c r="B14" s="3">
        <v>129</v>
      </c>
    </row>
    <row r="15" spans="1:3" ht="15.75" x14ac:dyDescent="0.25">
      <c r="A15" s="60" t="s">
        <v>684</v>
      </c>
      <c r="B15" s="3">
        <v>55</v>
      </c>
    </row>
    <row r="16" spans="1:3" ht="15.75" x14ac:dyDescent="0.25">
      <c r="A16" s="60" t="s">
        <v>736</v>
      </c>
      <c r="B16" s="3">
        <v>57</v>
      </c>
    </row>
    <row r="17" spans="1:2" ht="15.75" x14ac:dyDescent="0.25">
      <c r="A17" s="60" t="s">
        <v>275</v>
      </c>
      <c r="B17" s="3">
        <v>63</v>
      </c>
    </row>
    <row r="18" spans="1:2" ht="15.75" x14ac:dyDescent="0.25">
      <c r="A18" s="60" t="s">
        <v>737</v>
      </c>
      <c r="B18" s="3">
        <v>68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5"/>
  <sheetViews>
    <sheetView zoomScaleNormal="100" workbookViewId="0">
      <selection activeCell="E12" sqref="E12"/>
    </sheetView>
  </sheetViews>
  <sheetFormatPr defaultRowHeight="14.25" x14ac:dyDescent="0.2"/>
  <cols>
    <col min="1" max="1" width="85.7109375" style="1" customWidth="1"/>
    <col min="2" max="13" width="10.7109375" style="1" customWidth="1"/>
    <col min="14" max="16384" width="9.140625" style="1"/>
  </cols>
  <sheetData>
    <row r="1" spans="1:13" ht="15" x14ac:dyDescent="0.25">
      <c r="A1" s="2" t="s">
        <v>1280</v>
      </c>
      <c r="B1" s="6"/>
      <c r="C1" s="6"/>
      <c r="D1" s="4"/>
    </row>
    <row r="2" spans="1:13" x14ac:dyDescent="0.2">
      <c r="A2" s="4" t="s">
        <v>744</v>
      </c>
    </row>
    <row r="3" spans="1:13" x14ac:dyDescent="0.2">
      <c r="A3" s="4" t="s">
        <v>745</v>
      </c>
    </row>
    <row r="4" spans="1:13" x14ac:dyDescent="0.2">
      <c r="A4" s="4" t="s">
        <v>746</v>
      </c>
    </row>
    <row r="5" spans="1:13" x14ac:dyDescent="0.2">
      <c r="A5" s="4" t="s">
        <v>755</v>
      </c>
    </row>
    <row r="6" spans="1:13" x14ac:dyDescent="0.2">
      <c r="A6" s="4" t="s">
        <v>119</v>
      </c>
      <c r="I6" s="25"/>
    </row>
    <row r="7" spans="1:13" ht="15" x14ac:dyDescent="0.25">
      <c r="A7" s="14" t="s">
        <v>120</v>
      </c>
      <c r="B7" s="6" t="s">
        <v>743</v>
      </c>
      <c r="C7" s="6" t="s">
        <v>12</v>
      </c>
      <c r="D7" s="6" t="s">
        <v>13</v>
      </c>
      <c r="E7" s="6" t="s">
        <v>14</v>
      </c>
      <c r="F7" s="6" t="s">
        <v>15</v>
      </c>
      <c r="G7" s="6" t="s">
        <v>17</v>
      </c>
      <c r="H7" s="6" t="s">
        <v>16</v>
      </c>
      <c r="I7" s="6" t="s">
        <v>18</v>
      </c>
      <c r="J7" s="6" t="s">
        <v>19</v>
      </c>
      <c r="K7" s="6" t="s">
        <v>20</v>
      </c>
      <c r="L7" s="6" t="s">
        <v>21</v>
      </c>
      <c r="M7" s="6" t="s">
        <v>23</v>
      </c>
    </row>
    <row r="8" spans="1:13" ht="15" x14ac:dyDescent="0.25">
      <c r="A8" s="14"/>
      <c r="B8" s="2">
        <v>2005</v>
      </c>
      <c r="C8" s="2">
        <v>2006</v>
      </c>
      <c r="D8" s="2">
        <v>2007</v>
      </c>
      <c r="E8" s="2">
        <v>2008</v>
      </c>
      <c r="F8" s="2">
        <v>2009</v>
      </c>
      <c r="G8" s="2">
        <v>2010</v>
      </c>
      <c r="H8" s="2">
        <v>2011</v>
      </c>
      <c r="I8" s="2">
        <v>2012</v>
      </c>
      <c r="J8" s="2">
        <v>2013</v>
      </c>
      <c r="K8" s="2">
        <v>2014</v>
      </c>
      <c r="L8" s="2">
        <v>2015</v>
      </c>
      <c r="M8" s="2">
        <v>2016</v>
      </c>
    </row>
    <row r="9" spans="1:13" ht="15" x14ac:dyDescent="0.25">
      <c r="A9" s="2" t="s">
        <v>756</v>
      </c>
      <c r="B9" s="8">
        <f>'Economic Forecasts'!C$7</f>
        <v>156.78700000000001</v>
      </c>
      <c r="C9" s="8">
        <f>'Economic Forecasts'!D$7</f>
        <v>164.55799999999999</v>
      </c>
      <c r="D9" s="8">
        <f>'Economic Forecasts'!E$7</f>
        <v>175.45699999999999</v>
      </c>
      <c r="E9" s="8">
        <f>'Economic Forecasts'!F$7</f>
        <v>189.001</v>
      </c>
      <c r="F9" s="8">
        <f>'Economic Forecasts'!G$7</f>
        <v>189.501</v>
      </c>
      <c r="G9" s="8">
        <f>'Economic Forecasts'!H$7</f>
        <v>196.73500000000001</v>
      </c>
      <c r="H9" s="8">
        <f>'Economic Forecasts'!I$7</f>
        <v>205.81899999999999</v>
      </c>
      <c r="I9" s="8">
        <f>'Economic Forecasts'!J$7</f>
        <v>215.108</v>
      </c>
      <c r="J9" s="8">
        <f>'Economic Forecasts'!K$7</f>
        <v>218.721</v>
      </c>
      <c r="K9" s="8">
        <f>'Economic Forecasts'!L$7</f>
        <v>236.172</v>
      </c>
      <c r="L9" s="8">
        <f>'Economic Forecasts'!M$7</f>
        <v>243.02099999999999</v>
      </c>
      <c r="M9" s="8">
        <f>'Economic Forecasts'!N$7</f>
        <v>253.08600000000001</v>
      </c>
    </row>
    <row r="10" spans="1:13" ht="15" x14ac:dyDescent="0.25">
      <c r="A10" s="4" t="s">
        <v>123</v>
      </c>
      <c r="B10" s="2"/>
      <c r="C10" s="11">
        <f>C$9/B$9-1</f>
        <v>4.9564058244624842E-2</v>
      </c>
      <c r="D10" s="11">
        <f>D$9/C$9-1</f>
        <v>6.6231966844516821E-2</v>
      </c>
      <c r="E10" s="11">
        <f>E$9/D$9-1</f>
        <v>7.7192702485509246E-2</v>
      </c>
      <c r="F10" s="11">
        <f t="shared" ref="F10:M10" si="0">F$9/E$9-1</f>
        <v>2.6454886482081275E-3</v>
      </c>
      <c r="G10" s="11">
        <f t="shared" si="0"/>
        <v>3.8173941034612024E-2</v>
      </c>
      <c r="H10" s="11">
        <f t="shared" si="0"/>
        <v>4.6173787073982675E-2</v>
      </c>
      <c r="I10" s="11">
        <f t="shared" si="0"/>
        <v>4.513188772659471E-2</v>
      </c>
      <c r="J10" s="11">
        <f t="shared" si="0"/>
        <v>1.6796213994830556E-2</v>
      </c>
      <c r="K10" s="11">
        <f t="shared" si="0"/>
        <v>7.9786577420549509E-2</v>
      </c>
      <c r="L10" s="11">
        <f t="shared" si="0"/>
        <v>2.9000050810426226E-2</v>
      </c>
      <c r="M10" s="11">
        <f t="shared" si="0"/>
        <v>4.1416173910896692E-2</v>
      </c>
    </row>
    <row r="11" spans="1:13" ht="15" x14ac:dyDescent="0.25">
      <c r="A11" s="2"/>
      <c r="B11" s="2"/>
      <c r="C11" s="2"/>
      <c r="D11" s="18"/>
      <c r="E11" s="18"/>
      <c r="F11" s="18"/>
      <c r="G11" s="18"/>
      <c r="H11" s="18"/>
      <c r="I11" s="18"/>
      <c r="J11" s="18"/>
      <c r="K11" s="18"/>
      <c r="L11" s="18"/>
      <c r="M11" s="18"/>
    </row>
    <row r="12" spans="1:13" ht="16.5" x14ac:dyDescent="0.25">
      <c r="A12" s="55" t="s">
        <v>950</v>
      </c>
      <c r="B12" s="8"/>
      <c r="C12" s="8"/>
      <c r="D12" s="8"/>
      <c r="E12" s="8"/>
      <c r="F12" s="8"/>
      <c r="G12" s="8"/>
      <c r="H12" s="8"/>
      <c r="I12" s="8"/>
      <c r="J12" s="8"/>
      <c r="K12" s="8"/>
      <c r="L12" s="8"/>
      <c r="M12" s="8"/>
    </row>
    <row r="13" spans="1:13" ht="15" x14ac:dyDescent="0.25">
      <c r="A13" s="2" t="s">
        <v>731</v>
      </c>
      <c r="B13" s="8">
        <v>7.0750000000000002</v>
      </c>
      <c r="C13" s="8">
        <v>7.0910000000000002</v>
      </c>
      <c r="D13" s="8">
        <v>5.8599999999999994</v>
      </c>
      <c r="E13" s="8">
        <v>5.6370000000000005</v>
      </c>
      <c r="F13" s="8">
        <v>-3.8930000000000007</v>
      </c>
      <c r="G13" s="8">
        <v>-6.3149999999999977</v>
      </c>
      <c r="H13" s="8">
        <v>-18.396000000000001</v>
      </c>
      <c r="I13" s="8">
        <v>-9.24</v>
      </c>
      <c r="J13" s="8">
        <v>-4.4139999999999997</v>
      </c>
      <c r="K13" s="8">
        <v>-2.8020000000000005</v>
      </c>
      <c r="L13" s="8">
        <v>0.41399999999999998</v>
      </c>
      <c r="M13" s="8">
        <v>1.831</v>
      </c>
    </row>
    <row r="14" spans="1:13" x14ac:dyDescent="0.2">
      <c r="A14" s="4" t="s">
        <v>747</v>
      </c>
      <c r="B14" s="20">
        <f t="shared" ref="B14:M14" si="1">B$13/B$9</f>
        <v>4.5124914693182472E-2</v>
      </c>
      <c r="C14" s="20">
        <f t="shared" si="1"/>
        <v>4.3091189732495538E-2</v>
      </c>
      <c r="D14" s="20">
        <f t="shared" si="1"/>
        <v>3.3398496497717388E-2</v>
      </c>
      <c r="E14" s="20">
        <f t="shared" si="1"/>
        <v>2.9825239019899367E-2</v>
      </c>
      <c r="F14" s="20">
        <f t="shared" si="1"/>
        <v>-2.0543427211465907E-2</v>
      </c>
      <c r="G14" s="20">
        <f t="shared" si="1"/>
        <v>-3.2099016443439134E-2</v>
      </c>
      <c r="H14" s="20">
        <f t="shared" si="1"/>
        <v>-8.9379503350030864E-2</v>
      </c>
      <c r="I14" s="20">
        <f t="shared" si="1"/>
        <v>-4.2955166706956503E-2</v>
      </c>
      <c r="J14" s="20">
        <f t="shared" si="1"/>
        <v>-2.0180961133133078E-2</v>
      </c>
      <c r="K14" s="20">
        <f t="shared" si="1"/>
        <v>-1.18642345409278E-2</v>
      </c>
      <c r="L14" s="20">
        <f t="shared" si="1"/>
        <v>1.7035564827730936E-3</v>
      </c>
      <c r="M14" s="20">
        <f t="shared" si="1"/>
        <v>7.2346949258354862E-3</v>
      </c>
    </row>
    <row r="15" spans="1:13" ht="15" x14ac:dyDescent="0.25">
      <c r="A15" s="2" t="s">
        <v>733</v>
      </c>
      <c r="B15" s="8">
        <v>19.879000000000001</v>
      </c>
      <c r="C15" s="8">
        <v>16.163</v>
      </c>
      <c r="D15" s="8">
        <v>13.196000000000002</v>
      </c>
      <c r="E15" s="8">
        <v>10.257999999999996</v>
      </c>
      <c r="F15" s="8">
        <v>17.119</v>
      </c>
      <c r="G15" s="8">
        <v>26.737999999999996</v>
      </c>
      <c r="H15" s="8">
        <v>40.128</v>
      </c>
      <c r="I15" s="8">
        <v>50.671000000000006</v>
      </c>
      <c r="J15" s="8">
        <v>55.834999999999994</v>
      </c>
      <c r="K15" s="8">
        <v>59.931000000000012</v>
      </c>
      <c r="L15" s="8">
        <v>60.631000000000007</v>
      </c>
      <c r="M15" s="8">
        <v>61.88</v>
      </c>
    </row>
    <row r="16" spans="1:13" x14ac:dyDescent="0.2">
      <c r="A16" s="4" t="str">
        <f>$A$14</f>
        <v>As percentage of nominal GDP</v>
      </c>
      <c r="B16" s="20">
        <f t="shared" ref="B16:M16" si="2">B$15/B$9</f>
        <v>0.12678984864816598</v>
      </c>
      <c r="C16" s="20">
        <f t="shared" si="2"/>
        <v>9.822068814642862E-2</v>
      </c>
      <c r="D16" s="20">
        <f t="shared" si="2"/>
        <v>7.5209310543324012E-2</v>
      </c>
      <c r="E16" s="20">
        <f t="shared" si="2"/>
        <v>5.4274845106639623E-2</v>
      </c>
      <c r="F16" s="20">
        <f t="shared" si="2"/>
        <v>9.0337254156970151E-2</v>
      </c>
      <c r="G16" s="20">
        <f t="shared" si="2"/>
        <v>0.13590870968561769</v>
      </c>
      <c r="H16" s="20">
        <f t="shared" si="2"/>
        <v>0.19496742283268309</v>
      </c>
      <c r="I16" s="20">
        <f t="shared" si="2"/>
        <v>0.23556074158097332</v>
      </c>
      <c r="J16" s="20">
        <f t="shared" si="2"/>
        <v>0.25527955706127897</v>
      </c>
      <c r="K16" s="20">
        <f t="shared" si="2"/>
        <v>0.25375997154616131</v>
      </c>
      <c r="L16" s="20">
        <f t="shared" si="2"/>
        <v>0.24948872731163155</v>
      </c>
      <c r="M16" s="20">
        <f t="shared" si="2"/>
        <v>0.24450186892992895</v>
      </c>
    </row>
    <row r="17" spans="1:13" ht="15" x14ac:dyDescent="0.25">
      <c r="A17" s="2" t="s">
        <v>677</v>
      </c>
      <c r="B17" s="8">
        <v>3.1040000000000001</v>
      </c>
      <c r="C17" s="8">
        <v>2.9849999999999999</v>
      </c>
      <c r="D17" s="8">
        <v>2.7930000000000001</v>
      </c>
      <c r="E17" s="8">
        <v>2.0569999999999999</v>
      </c>
      <c r="F17" s="8">
        <v>-8.6389999999999993</v>
      </c>
      <c r="G17" s="8">
        <v>-9</v>
      </c>
      <c r="H17" s="8">
        <v>-13.343</v>
      </c>
      <c r="I17" s="8">
        <v>-10.644</v>
      </c>
      <c r="J17" s="8">
        <v>-5.742</v>
      </c>
      <c r="K17" s="8">
        <v>-4.109</v>
      </c>
      <c r="L17" s="8">
        <v>-1.827</v>
      </c>
      <c r="M17" s="8">
        <v>-1.3220000000000001</v>
      </c>
    </row>
    <row r="18" spans="1:13" x14ac:dyDescent="0.2">
      <c r="A18" s="4" t="str">
        <f>$A$14</f>
        <v>As percentage of nominal GDP</v>
      </c>
      <c r="B18" s="20">
        <f t="shared" ref="B18:M18" si="3">B$17/B$9</f>
        <v>1.9797559746662668E-2</v>
      </c>
      <c r="C18" s="20">
        <f t="shared" si="3"/>
        <v>1.8139500966224676E-2</v>
      </c>
      <c r="D18" s="20">
        <f t="shared" si="3"/>
        <v>1.5918430156676565E-2</v>
      </c>
      <c r="E18" s="20">
        <f t="shared" si="3"/>
        <v>1.0883540298728577E-2</v>
      </c>
      <c r="F18" s="20">
        <f t="shared" si="3"/>
        <v>-4.5588149930607225E-2</v>
      </c>
      <c r="G18" s="20">
        <f t="shared" si="3"/>
        <v>-4.5746816783998778E-2</v>
      </c>
      <c r="H18" s="20">
        <f t="shared" si="3"/>
        <v>-6.4828805892556088E-2</v>
      </c>
      <c r="I18" s="20">
        <f t="shared" si="3"/>
        <v>-4.9482120609182362E-2</v>
      </c>
      <c r="J18" s="20">
        <f t="shared" si="3"/>
        <v>-2.6252623204904877E-2</v>
      </c>
      <c r="K18" s="20">
        <f t="shared" si="3"/>
        <v>-1.7398336805379132E-2</v>
      </c>
      <c r="L18" s="20">
        <f t="shared" si="3"/>
        <v>-7.517868826150827E-3</v>
      </c>
      <c r="M18" s="20">
        <f t="shared" si="3"/>
        <v>-5.2235208585223996E-3</v>
      </c>
    </row>
    <row r="19" spans="1:13" ht="15" x14ac:dyDescent="0.25">
      <c r="A19" s="2" t="s">
        <v>732</v>
      </c>
      <c r="B19" s="8">
        <v>35.478000000000002</v>
      </c>
      <c r="C19" s="8">
        <v>35.866999999999997</v>
      </c>
      <c r="D19" s="8">
        <v>36.805</v>
      </c>
      <c r="E19" s="8">
        <v>37.744999999999997</v>
      </c>
      <c r="F19" s="8">
        <v>50.972999999999999</v>
      </c>
      <c r="G19" s="8">
        <v>58.890999999999998</v>
      </c>
      <c r="H19" s="8">
        <v>77.290000000000006</v>
      </c>
      <c r="I19" s="8">
        <v>84.168000000000006</v>
      </c>
      <c r="J19" s="8">
        <v>84.286000000000001</v>
      </c>
      <c r="K19" s="8">
        <v>88.468000000000004</v>
      </c>
      <c r="L19" s="8">
        <v>93.156000000000006</v>
      </c>
      <c r="M19" s="8">
        <v>93.283000000000001</v>
      </c>
    </row>
    <row r="20" spans="1:13" x14ac:dyDescent="0.2">
      <c r="A20" s="4" t="str">
        <f>$A$14</f>
        <v>As percentage of nominal GDP</v>
      </c>
      <c r="B20" s="20">
        <f t="shared" ref="B20:M20" si="4">B$19/B$9</f>
        <v>0.22628151568688731</v>
      </c>
      <c r="C20" s="20">
        <f t="shared" si="4"/>
        <v>0.21795962517774886</v>
      </c>
      <c r="D20" s="20">
        <f t="shared" si="4"/>
        <v>0.20976649549462262</v>
      </c>
      <c r="E20" s="20">
        <f t="shared" si="4"/>
        <v>0.1997079380532378</v>
      </c>
      <c r="F20" s="20">
        <f t="shared" si="4"/>
        <v>0.26898538793990534</v>
      </c>
      <c r="G20" s="20">
        <f t="shared" si="4"/>
        <v>0.29934175413627467</v>
      </c>
      <c r="H20" s="20">
        <f t="shared" si="4"/>
        <v>0.37552412556663872</v>
      </c>
      <c r="I20" s="20">
        <f t="shared" si="4"/>
        <v>0.39128251854882201</v>
      </c>
      <c r="J20" s="20">
        <f t="shared" si="4"/>
        <v>0.38535851610042016</v>
      </c>
      <c r="K20" s="20">
        <f t="shared" si="4"/>
        <v>0.37459139948850839</v>
      </c>
      <c r="L20" s="20">
        <f t="shared" si="4"/>
        <v>0.38332489784833412</v>
      </c>
      <c r="M20" s="20">
        <f t="shared" si="4"/>
        <v>0.36858222106319588</v>
      </c>
    </row>
    <row r="21" spans="1:13" ht="15" x14ac:dyDescent="0.25">
      <c r="A21" s="2" t="s">
        <v>252</v>
      </c>
      <c r="B21" s="8">
        <v>50.808999999999997</v>
      </c>
      <c r="C21" s="8">
        <v>55.499000000000002</v>
      </c>
      <c r="D21" s="8">
        <v>57.970999999999997</v>
      </c>
      <c r="E21" s="8">
        <v>61.575000000000003</v>
      </c>
      <c r="F21" s="8">
        <v>59.191000000000003</v>
      </c>
      <c r="G21" s="8">
        <v>55.756999999999998</v>
      </c>
      <c r="H21" s="8">
        <v>57.198999999999998</v>
      </c>
      <c r="I21" s="8">
        <v>60.427999999999997</v>
      </c>
      <c r="J21" s="8">
        <v>63.805</v>
      </c>
      <c r="K21" s="8">
        <v>67.093000000000004</v>
      </c>
      <c r="L21" s="8">
        <v>72.212999999999994</v>
      </c>
      <c r="M21" s="8">
        <v>76.120999999999995</v>
      </c>
    </row>
    <row r="22" spans="1:13" x14ac:dyDescent="0.2">
      <c r="A22" s="4" t="str">
        <f>$A$14</f>
        <v>As percentage of nominal GDP</v>
      </c>
      <c r="B22" s="20">
        <f t="shared" ref="B22:M22" si="5">B$21/B$9</f>
        <v>0.32406385733511067</v>
      </c>
      <c r="C22" s="20">
        <f t="shared" si="5"/>
        <v>0.33726102650737128</v>
      </c>
      <c r="D22" s="20">
        <f t="shared" si="5"/>
        <v>0.33040004103569537</v>
      </c>
      <c r="E22" s="20">
        <f t="shared" si="5"/>
        <v>0.32579192702684112</v>
      </c>
      <c r="F22" s="20">
        <f t="shared" si="5"/>
        <v>0.31235191371021792</v>
      </c>
      <c r="G22" s="20">
        <f t="shared" si="5"/>
        <v>0.28341169593615773</v>
      </c>
      <c r="H22" s="20">
        <f t="shared" si="5"/>
        <v>0.27790923092620218</v>
      </c>
      <c r="I22" s="20">
        <f t="shared" si="5"/>
        <v>0.28091935213939045</v>
      </c>
      <c r="J22" s="20">
        <f t="shared" si="5"/>
        <v>0.29171867356129499</v>
      </c>
      <c r="K22" s="20">
        <f t="shared" si="5"/>
        <v>0.28408532764256561</v>
      </c>
      <c r="L22" s="20">
        <f t="shared" si="5"/>
        <v>0.29714716012196474</v>
      </c>
      <c r="M22" s="20">
        <f t="shared" si="5"/>
        <v>0.30077127932797543</v>
      </c>
    </row>
    <row r="23" spans="1:13" ht="15" x14ac:dyDescent="0.25">
      <c r="A23" s="2" t="s">
        <v>254</v>
      </c>
      <c r="B23" s="8">
        <v>44.660000000000011</v>
      </c>
      <c r="C23" s="8">
        <v>49.08400000000001</v>
      </c>
      <c r="D23" s="8">
        <v>53.76400000000001</v>
      </c>
      <c r="E23" s="8">
        <v>56.752999999999993</v>
      </c>
      <c r="F23" s="8">
        <v>63.710999999999991</v>
      </c>
      <c r="G23" s="8">
        <v>63.553999999999995</v>
      </c>
      <c r="H23" s="8">
        <v>70.099000000000004</v>
      </c>
      <c r="I23" s="8">
        <v>68.938999999999993</v>
      </c>
      <c r="J23" s="8">
        <v>69.962000000000003</v>
      </c>
      <c r="K23" s="8">
        <v>71.173999999999992</v>
      </c>
      <c r="L23" s="8">
        <v>72.362999999999985</v>
      </c>
      <c r="M23" s="8">
        <v>73.929000000000002</v>
      </c>
    </row>
    <row r="24" spans="1:13" x14ac:dyDescent="0.2">
      <c r="A24" s="4" t="str">
        <f>$A$14</f>
        <v>As percentage of nominal GDP</v>
      </c>
      <c r="B24" s="20">
        <f t="shared" ref="B24:M24" si="6">B$23/B$9</f>
        <v>0.28484504455088755</v>
      </c>
      <c r="C24" s="20">
        <f t="shared" si="6"/>
        <v>0.29827781086303923</v>
      </c>
      <c r="D24" s="20">
        <f t="shared" si="6"/>
        <v>0.30642265626335802</v>
      </c>
      <c r="E24" s="20">
        <f t="shared" si="6"/>
        <v>0.30027883450352111</v>
      </c>
      <c r="F24" s="20">
        <f t="shared" si="6"/>
        <v>0.33620403058559051</v>
      </c>
      <c r="G24" s="20">
        <f t="shared" si="6"/>
        <v>0.32304368821002866</v>
      </c>
      <c r="H24" s="20">
        <f t="shared" si="6"/>
        <v>0.34058566021601511</v>
      </c>
      <c r="I24" s="20">
        <f t="shared" si="6"/>
        <v>0.32048552355096038</v>
      </c>
      <c r="J24" s="20">
        <f t="shared" si="6"/>
        <v>0.31986869116362854</v>
      </c>
      <c r="K24" s="20">
        <f t="shared" si="6"/>
        <v>0.30136510678657924</v>
      </c>
      <c r="L24" s="20">
        <f t="shared" si="6"/>
        <v>0.29776439073166511</v>
      </c>
      <c r="M24" s="20">
        <f t="shared" si="6"/>
        <v>0.29211019179251319</v>
      </c>
    </row>
    <row r="25" spans="1:13" ht="15" x14ac:dyDescent="0.25">
      <c r="A25" s="2" t="s">
        <v>269</v>
      </c>
      <c r="B25" s="8">
        <v>5.8310000000000004</v>
      </c>
      <c r="C25" s="8">
        <v>7.4610000000000003</v>
      </c>
      <c r="D25" s="8">
        <v>6.51</v>
      </c>
      <c r="E25" s="8">
        <v>3.891</v>
      </c>
      <c r="F25" s="8">
        <v>5.8620000000000001</v>
      </c>
      <c r="G25" s="8">
        <v>7</v>
      </c>
      <c r="H25" s="8">
        <v>9.2669999999999995</v>
      </c>
      <c r="I25" s="8">
        <v>11.670999999999999</v>
      </c>
      <c r="J25" s="8">
        <v>0.371</v>
      </c>
      <c r="K25" s="8">
        <v>0.29199999999999998</v>
      </c>
      <c r="L25" s="8">
        <v>3.879</v>
      </c>
      <c r="M25" s="8">
        <v>-0.91200000000000003</v>
      </c>
    </row>
    <row r="26" spans="1:13" x14ac:dyDescent="0.2">
      <c r="A26" s="4" t="str">
        <f>$A$14</f>
        <v>As percentage of nominal GDP</v>
      </c>
      <c r="B26" s="20">
        <f t="shared" ref="B26:M26" si="7">B$25/B$9</f>
        <v>3.7190583402960706E-2</v>
      </c>
      <c r="C26" s="20">
        <f t="shared" si="7"/>
        <v>4.5339637088442984E-2</v>
      </c>
      <c r="D26" s="20">
        <f t="shared" si="7"/>
        <v>3.7103107883982973E-2</v>
      </c>
      <c r="E26" s="20">
        <f t="shared" si="7"/>
        <v>2.0587192660356295E-2</v>
      </c>
      <c r="F26" s="20">
        <f t="shared" si="7"/>
        <v>3.0933873699874933E-2</v>
      </c>
      <c r="G26" s="20">
        <f t="shared" si="7"/>
        <v>3.5580857498665713E-2</v>
      </c>
      <c r="H26" s="20">
        <f t="shared" si="7"/>
        <v>4.5024997692146983E-2</v>
      </c>
      <c r="I26" s="20">
        <f t="shared" si="7"/>
        <v>5.425646651914387E-2</v>
      </c>
      <c r="J26" s="20">
        <f t="shared" si="7"/>
        <v>1.6962248709543207E-3</v>
      </c>
      <c r="K26" s="20">
        <f t="shared" si="7"/>
        <v>1.2363870399539319E-3</v>
      </c>
      <c r="L26" s="20">
        <f t="shared" si="7"/>
        <v>1.5961583566852247E-2</v>
      </c>
      <c r="M26" s="20">
        <f t="shared" si="7"/>
        <v>-3.603518171688675E-3</v>
      </c>
    </row>
    <row r="27" spans="1:13" ht="15" x14ac:dyDescent="0.25">
      <c r="A27" s="2" t="s">
        <v>676</v>
      </c>
      <c r="D27" s="8">
        <v>3.955999999999996</v>
      </c>
      <c r="E27" s="8">
        <v>4.9380000000000024</v>
      </c>
      <c r="F27" s="8">
        <v>-3.9630000000000001</v>
      </c>
      <c r="G27" s="8">
        <v>-7.6210000000000022</v>
      </c>
      <c r="H27" s="8">
        <v>-12.003</v>
      </c>
      <c r="I27" s="8">
        <v>-6.7950000000000017</v>
      </c>
      <c r="J27" s="8">
        <v>-4.642000000000003</v>
      </c>
      <c r="K27" s="8">
        <v>-2.7560000000000002</v>
      </c>
      <c r="L27" s="8">
        <v>1.1809999999999974</v>
      </c>
      <c r="M27" s="8">
        <v>3.3929999999999998</v>
      </c>
    </row>
    <row r="28" spans="1:13" x14ac:dyDescent="0.2">
      <c r="A28" s="4" t="str">
        <f>$A$14</f>
        <v>As percentage of nominal GDP</v>
      </c>
      <c r="D28" s="20">
        <f t="shared" ref="D28:M28" si="8">D$27/D$9</f>
        <v>2.2546834837025576E-2</v>
      </c>
      <c r="E28" s="20">
        <f t="shared" si="8"/>
        <v>2.6126845889704299E-2</v>
      </c>
      <c r="F28" s="20">
        <f t="shared" si="8"/>
        <v>-2.091281840201371E-2</v>
      </c>
      <c r="G28" s="20">
        <f t="shared" si="8"/>
        <v>-3.8737387856761639E-2</v>
      </c>
      <c r="H28" s="20">
        <f t="shared" si="8"/>
        <v>-5.8318231067102655E-2</v>
      </c>
      <c r="I28" s="20">
        <f t="shared" si="8"/>
        <v>-3.1588783308849518E-2</v>
      </c>
      <c r="J28" s="20">
        <f t="shared" si="8"/>
        <v>-2.1223385043045721E-2</v>
      </c>
      <c r="K28" s="20">
        <f t="shared" si="8"/>
        <v>-1.1669461240113138E-2</v>
      </c>
      <c r="L28" s="20">
        <f t="shared" si="8"/>
        <v>4.8596623337077757E-3</v>
      </c>
      <c r="M28" s="20">
        <f t="shared" si="8"/>
        <v>1.340651004006543E-2</v>
      </c>
    </row>
    <row r="29" spans="1:13" ht="15" x14ac:dyDescent="0.25">
      <c r="A29" s="2" t="s">
        <v>734</v>
      </c>
      <c r="B29" s="8">
        <v>65.131</v>
      </c>
      <c r="C29" s="8">
        <v>71.188999999999993</v>
      </c>
      <c r="D29" s="8">
        <v>74.349000000000004</v>
      </c>
      <c r="E29" s="8">
        <v>81.234999999999999</v>
      </c>
      <c r="F29" s="8">
        <v>79.215000000000003</v>
      </c>
      <c r="G29" s="8">
        <v>74.266000000000005</v>
      </c>
      <c r="H29" s="8">
        <v>81.212000000000003</v>
      </c>
      <c r="I29" s="8">
        <v>83.346000000000004</v>
      </c>
      <c r="J29" s="8">
        <v>86.311000000000007</v>
      </c>
      <c r="K29" s="8">
        <v>89.198999999999998</v>
      </c>
      <c r="L29" s="8">
        <v>94.512</v>
      </c>
      <c r="M29" s="8">
        <v>98.159000000000006</v>
      </c>
    </row>
    <row r="30" spans="1:13" x14ac:dyDescent="0.2">
      <c r="A30" s="4" t="str">
        <f>$A$14</f>
        <v>As percentage of nominal GDP</v>
      </c>
      <c r="B30" s="20">
        <f t="shared" ref="B30:M30" si="9">B$29/B$9</f>
        <v>0.41541071644970562</v>
      </c>
      <c r="C30" s="20">
        <f t="shared" si="9"/>
        <v>0.43260734816903462</v>
      </c>
      <c r="D30" s="20">
        <f t="shared" si="9"/>
        <v>0.42374484916532257</v>
      </c>
      <c r="E30" s="20">
        <f t="shared" si="9"/>
        <v>0.42981254067438796</v>
      </c>
      <c r="F30" s="20">
        <f t="shared" si="9"/>
        <v>0.41801890227492206</v>
      </c>
      <c r="G30" s="20">
        <f t="shared" si="9"/>
        <v>0.37749256614227261</v>
      </c>
      <c r="H30" s="20">
        <f t="shared" si="9"/>
        <v>0.39457970352591359</v>
      </c>
      <c r="I30" s="20">
        <f t="shared" si="9"/>
        <v>0.38746118228982651</v>
      </c>
      <c r="J30" s="20">
        <f t="shared" si="9"/>
        <v>0.39461688635293368</v>
      </c>
      <c r="K30" s="20">
        <f t="shared" si="9"/>
        <v>0.37768660129058484</v>
      </c>
      <c r="L30" s="20">
        <f t="shared" si="9"/>
        <v>0.3889046625600257</v>
      </c>
      <c r="M30" s="20">
        <f t="shared" si="9"/>
        <v>0.38784839935832088</v>
      </c>
    </row>
    <row r="31" spans="1:13" ht="15" x14ac:dyDescent="0.25">
      <c r="A31" s="2" t="s">
        <v>735</v>
      </c>
      <c r="B31" s="8">
        <v>58.057000000000002</v>
      </c>
      <c r="C31" s="8">
        <v>64.097999999999999</v>
      </c>
      <c r="D31" s="8">
        <v>68.489000000000004</v>
      </c>
      <c r="E31" s="8">
        <v>75.597999999999999</v>
      </c>
      <c r="F31" s="8">
        <v>83.108000000000004</v>
      </c>
      <c r="G31" s="8">
        <v>80.581000000000003</v>
      </c>
      <c r="H31" s="8">
        <v>99.608000000000004</v>
      </c>
      <c r="I31" s="8">
        <v>92.585999999999999</v>
      </c>
      <c r="J31" s="8">
        <v>90.662999999999997</v>
      </c>
      <c r="K31" s="8">
        <v>91.841999999999999</v>
      </c>
      <c r="L31" s="8">
        <v>93.771000000000001</v>
      </c>
      <c r="M31" s="8">
        <v>95.88</v>
      </c>
    </row>
    <row r="32" spans="1:13" x14ac:dyDescent="0.2">
      <c r="A32" s="4" t="str">
        <f>$A$14</f>
        <v>As percentage of nominal GDP</v>
      </c>
      <c r="B32" s="20">
        <f t="shared" ref="B32:M32" si="10">B$31/B$9</f>
        <v>0.3702921798363385</v>
      </c>
      <c r="C32" s="20">
        <f t="shared" si="10"/>
        <v>0.38951615843653908</v>
      </c>
      <c r="D32" s="20">
        <f t="shared" si="10"/>
        <v>0.3903463526676052</v>
      </c>
      <c r="E32" s="20">
        <f t="shared" si="10"/>
        <v>0.39998730165448859</v>
      </c>
      <c r="F32" s="20">
        <f t="shared" si="10"/>
        <v>0.43856232948638796</v>
      </c>
      <c r="G32" s="20">
        <f t="shared" si="10"/>
        <v>0.40959158258571171</v>
      </c>
      <c r="H32" s="20">
        <f t="shared" si="10"/>
        <v>0.48395920687594446</v>
      </c>
      <c r="I32" s="20">
        <f t="shared" si="10"/>
        <v>0.43041634899678299</v>
      </c>
      <c r="J32" s="20">
        <f t="shared" si="10"/>
        <v>0.41451438133512553</v>
      </c>
      <c r="K32" s="20">
        <f t="shared" si="10"/>
        <v>0.38887759768304458</v>
      </c>
      <c r="L32" s="20">
        <f t="shared" si="10"/>
        <v>0.38585554334810573</v>
      </c>
      <c r="M32" s="20">
        <f t="shared" si="10"/>
        <v>0.3788435551551646</v>
      </c>
    </row>
    <row r="33" spans="1:14" ht="15" x14ac:dyDescent="0.25">
      <c r="A33" s="2" t="s">
        <v>674</v>
      </c>
      <c r="B33" s="8">
        <v>5.931</v>
      </c>
      <c r="C33" s="8">
        <v>9.5419999999999998</v>
      </c>
      <c r="D33" s="8">
        <v>8.0220000000000002</v>
      </c>
      <c r="E33" s="8">
        <v>2.3839999999999999</v>
      </c>
      <c r="F33" s="8">
        <v>-10.505000000000001</v>
      </c>
      <c r="G33" s="8">
        <v>-4.5090000000000003</v>
      </c>
      <c r="H33" s="8">
        <v>-13.36</v>
      </c>
      <c r="I33" s="8">
        <v>-14.897</v>
      </c>
      <c r="J33" s="8">
        <v>6.9249999999999998</v>
      </c>
      <c r="K33" s="8">
        <v>2.9390000000000001</v>
      </c>
      <c r="L33" s="8">
        <v>5.7709999999999999</v>
      </c>
      <c r="M33" s="8">
        <v>-5.3689999999999998</v>
      </c>
    </row>
    <row r="34" spans="1:14" x14ac:dyDescent="0.2">
      <c r="A34" s="4" t="str">
        <f>$A$14</f>
        <v>As percentage of nominal GDP</v>
      </c>
      <c r="B34" s="20">
        <f t="shared" ref="B34:M34" si="11">B$33/B$9</f>
        <v>3.7828391384489783E-2</v>
      </c>
      <c r="C34" s="20">
        <f t="shared" si="11"/>
        <v>5.7985634244460918E-2</v>
      </c>
      <c r="D34" s="20">
        <f t="shared" si="11"/>
        <v>4.5720603908649987E-2</v>
      </c>
      <c r="E34" s="20">
        <f t="shared" si="11"/>
        <v>1.2613689874656747E-2</v>
      </c>
      <c r="F34" s="20">
        <f t="shared" si="11"/>
        <v>-5.5435063667210203E-2</v>
      </c>
      <c r="G34" s="20">
        <f t="shared" si="11"/>
        <v>-2.291915520878339E-2</v>
      </c>
      <c r="H34" s="20">
        <f t="shared" si="11"/>
        <v>-6.4911402737356613E-2</v>
      </c>
      <c r="I34" s="20">
        <f t="shared" si="11"/>
        <v>-6.9253584246053143E-2</v>
      </c>
      <c r="J34" s="20">
        <f t="shared" si="11"/>
        <v>3.1661340246249788E-2</v>
      </c>
      <c r="K34" s="20">
        <f t="shared" si="11"/>
        <v>1.2444320241180157E-2</v>
      </c>
      <c r="L34" s="20">
        <f t="shared" si="11"/>
        <v>2.3746918990539913E-2</v>
      </c>
      <c r="M34" s="20">
        <f t="shared" si="11"/>
        <v>-2.1214132745390891E-2</v>
      </c>
    </row>
    <row r="35" spans="1:14" ht="15" x14ac:dyDescent="0.25">
      <c r="A35" s="2" t="s">
        <v>739</v>
      </c>
      <c r="B35" s="8">
        <v>47.468000000000004</v>
      </c>
      <c r="C35" s="8">
        <v>50.972999999999999</v>
      </c>
      <c r="D35" s="8">
        <v>53.476999999999997</v>
      </c>
      <c r="E35" s="8">
        <v>56.747</v>
      </c>
      <c r="F35" s="8">
        <v>54.680999999999997</v>
      </c>
      <c r="G35" s="8">
        <v>50.744</v>
      </c>
      <c r="H35" s="8">
        <v>51.557000000000002</v>
      </c>
      <c r="I35" s="8">
        <v>55.081000000000003</v>
      </c>
      <c r="J35" s="8">
        <v>58.651000000000003</v>
      </c>
      <c r="K35" s="8">
        <v>61.563000000000002</v>
      </c>
      <c r="L35" s="8">
        <v>66.635999999999996</v>
      </c>
      <c r="M35" s="8">
        <v>70.444999999999993</v>
      </c>
    </row>
    <row r="36" spans="1:14" x14ac:dyDescent="0.2">
      <c r="A36" s="4" t="str">
        <f>$A$14</f>
        <v>As percentage of nominal GDP</v>
      </c>
      <c r="B36" s="20">
        <f t="shared" ref="B36:M36" si="12">B$35/B$9</f>
        <v>0.3027546926722241</v>
      </c>
      <c r="C36" s="20">
        <f t="shared" si="12"/>
        <v>0.30975704614786276</v>
      </c>
      <c r="D36" s="20">
        <f t="shared" si="12"/>
        <v>0.30478692785126837</v>
      </c>
      <c r="E36" s="20">
        <f t="shared" si="12"/>
        <v>0.30024708863974264</v>
      </c>
      <c r="F36" s="20">
        <f t="shared" si="12"/>
        <v>0.28855256700492343</v>
      </c>
      <c r="G36" s="20">
        <f t="shared" si="12"/>
        <v>0.25793071898747044</v>
      </c>
      <c r="H36" s="20">
        <f t="shared" si="12"/>
        <v>0.25049679572828554</v>
      </c>
      <c r="I36" s="20">
        <f t="shared" si="12"/>
        <v>0.2560620711456571</v>
      </c>
      <c r="J36" s="20">
        <f t="shared" si="12"/>
        <v>0.26815440675563845</v>
      </c>
      <c r="K36" s="20">
        <f t="shared" si="12"/>
        <v>0.26067018952289012</v>
      </c>
      <c r="L36" s="20">
        <f t="shared" si="12"/>
        <v>0.27419852605330403</v>
      </c>
      <c r="M36" s="20">
        <f t="shared" si="12"/>
        <v>0.27834412018049198</v>
      </c>
    </row>
    <row r="37" spans="1:14" ht="15" x14ac:dyDescent="0.25">
      <c r="A37" s="2" t="s">
        <v>738</v>
      </c>
      <c r="B37" s="8">
        <v>46.973999999999997</v>
      </c>
      <c r="C37" s="8">
        <v>50.502000000000002</v>
      </c>
      <c r="D37" s="8">
        <v>53.064</v>
      </c>
      <c r="E37" s="8">
        <v>56.372</v>
      </c>
      <c r="F37" s="8">
        <v>54.145000000000003</v>
      </c>
      <c r="G37" s="8">
        <v>50.347000000000001</v>
      </c>
      <c r="H37" s="8">
        <v>51.128</v>
      </c>
      <c r="I37" s="8">
        <v>54.664999999999999</v>
      </c>
      <c r="J37" s="8">
        <v>58.134</v>
      </c>
      <c r="K37" s="8">
        <v>60.968000000000004</v>
      </c>
      <c r="L37" s="8">
        <v>66.055000000000007</v>
      </c>
      <c r="M37" s="8">
        <v>69.668000000000006</v>
      </c>
    </row>
    <row r="38" spans="1:14" x14ac:dyDescent="0.2">
      <c r="A38" s="4" t="str">
        <f>$A$14</f>
        <v>As percentage of nominal GDP</v>
      </c>
      <c r="B38" s="20">
        <f t="shared" ref="B38:M38" si="13">B$37/B$9</f>
        <v>0.29960392124347041</v>
      </c>
      <c r="C38" s="20">
        <f t="shared" si="13"/>
        <v>0.30689483343258916</v>
      </c>
      <c r="D38" s="20">
        <f t="shared" si="13"/>
        <v>0.30243307477045661</v>
      </c>
      <c r="E38" s="20">
        <f t="shared" si="13"/>
        <v>0.29826297215358649</v>
      </c>
      <c r="F38" s="20">
        <f t="shared" si="13"/>
        <v>0.28572408588872883</v>
      </c>
      <c r="G38" s="20">
        <f t="shared" si="13"/>
        <v>0.25591277606933183</v>
      </c>
      <c r="H38" s="20">
        <f t="shared" si="13"/>
        <v>0.24841244005655455</v>
      </c>
      <c r="I38" s="20">
        <f t="shared" si="13"/>
        <v>0.2541281588783309</v>
      </c>
      <c r="J38" s="20">
        <f t="shared" si="13"/>
        <v>0.26579066481956465</v>
      </c>
      <c r="K38" s="20">
        <f t="shared" si="13"/>
        <v>0.25815083921887438</v>
      </c>
      <c r="L38" s="20">
        <f t="shared" si="13"/>
        <v>0.2718077861583979</v>
      </c>
      <c r="M38" s="20">
        <f t="shared" si="13"/>
        <v>0.27527401752763886</v>
      </c>
    </row>
    <row r="39" spans="1:14" ht="15" x14ac:dyDescent="0.25">
      <c r="A39" s="2" t="s">
        <v>684</v>
      </c>
      <c r="B39" s="8">
        <v>54.24</v>
      </c>
      <c r="C39" s="8">
        <v>83.971000000000004</v>
      </c>
      <c r="D39" s="8">
        <v>96.826999999999998</v>
      </c>
      <c r="E39" s="8">
        <v>105.514</v>
      </c>
      <c r="F39" s="8">
        <v>99.515000000000001</v>
      </c>
      <c r="G39" s="8">
        <v>94.988</v>
      </c>
      <c r="H39" s="8">
        <v>80.887</v>
      </c>
      <c r="I39" s="8">
        <v>59.78</v>
      </c>
      <c r="J39" s="8">
        <v>70.010999999999996</v>
      </c>
      <c r="K39" s="8">
        <v>80.697000000000003</v>
      </c>
      <c r="L39" s="8">
        <v>92.236000000000004</v>
      </c>
      <c r="M39" s="8">
        <v>95.521000000000001</v>
      </c>
      <c r="N39" s="8"/>
    </row>
    <row r="40" spans="1:14" x14ac:dyDescent="0.2">
      <c r="A40" s="4" t="str">
        <f>$A$14</f>
        <v>As percentage of nominal GDP</v>
      </c>
      <c r="B40" s="20">
        <f t="shared" ref="B40:M40" si="14">B$39/B$9</f>
        <v>0.34594704918137348</v>
      </c>
      <c r="C40" s="20">
        <f t="shared" si="14"/>
        <v>0.51028208898990024</v>
      </c>
      <c r="D40" s="20">
        <f t="shared" si="14"/>
        <v>0.55185601030451903</v>
      </c>
      <c r="E40" s="20">
        <f t="shared" si="14"/>
        <v>0.55827217845408217</v>
      </c>
      <c r="F40" s="20">
        <f t="shared" si="14"/>
        <v>0.52514234753378608</v>
      </c>
      <c r="G40" s="20">
        <f t="shared" si="14"/>
        <v>0.48282207029760843</v>
      </c>
      <c r="H40" s="20">
        <f t="shared" si="14"/>
        <v>0.39300064619884462</v>
      </c>
      <c r="I40" s="20">
        <f t="shared" si="14"/>
        <v>0.27790691187682465</v>
      </c>
      <c r="J40" s="20">
        <f t="shared" si="14"/>
        <v>0.32009272086356588</v>
      </c>
      <c r="K40" s="20">
        <f t="shared" si="14"/>
        <v>0.34168741425740562</v>
      </c>
      <c r="L40" s="20">
        <f t="shared" si="14"/>
        <v>0.37953921677550506</v>
      </c>
      <c r="M40" s="20">
        <f t="shared" si="14"/>
        <v>0.37742506499766876</v>
      </c>
    </row>
    <row r="41" spans="1:14" ht="15" x14ac:dyDescent="0.25">
      <c r="A41" s="2" t="s">
        <v>736</v>
      </c>
      <c r="B41" s="8">
        <v>54.024999999999999</v>
      </c>
      <c r="C41" s="8">
        <v>83.677999999999997</v>
      </c>
      <c r="D41" s="8">
        <v>96.457999999999998</v>
      </c>
      <c r="E41" s="8">
        <v>105.13199999999999</v>
      </c>
      <c r="F41" s="8">
        <v>99.067999999999998</v>
      </c>
      <c r="G41" s="8">
        <v>94.585999999999999</v>
      </c>
      <c r="H41" s="8">
        <v>80.578999999999994</v>
      </c>
      <c r="I41" s="8">
        <v>59.347999999999999</v>
      </c>
      <c r="J41" s="8">
        <v>68.070999999999998</v>
      </c>
      <c r="K41" s="8">
        <v>75.486000000000004</v>
      </c>
      <c r="L41" s="8">
        <v>86.454000000000008</v>
      </c>
      <c r="M41" s="8">
        <v>89.366</v>
      </c>
    </row>
    <row r="42" spans="1:14" x14ac:dyDescent="0.2">
      <c r="A42" s="4" t="str">
        <f>$A$14</f>
        <v>As percentage of nominal GDP</v>
      </c>
      <c r="B42" s="20">
        <f t="shared" ref="B42:M42" si="15">B$41/B$9</f>
        <v>0.34457576202108592</v>
      </c>
      <c r="C42" s="20">
        <f t="shared" si="15"/>
        <v>0.50850156175937966</v>
      </c>
      <c r="D42" s="20">
        <f t="shared" si="15"/>
        <v>0.54975293091754673</v>
      </c>
      <c r="E42" s="20">
        <f t="shared" si="15"/>
        <v>0.5562510251268511</v>
      </c>
      <c r="F42" s="20">
        <f t="shared" si="15"/>
        <v>0.52278352093128788</v>
      </c>
      <c r="G42" s="20">
        <f t="shared" si="15"/>
        <v>0.48077871248125648</v>
      </c>
      <c r="H42" s="20">
        <f t="shared" si="15"/>
        <v>0.39150418571657619</v>
      </c>
      <c r="I42" s="20">
        <f t="shared" si="15"/>
        <v>0.27589861836844748</v>
      </c>
      <c r="J42" s="20">
        <f t="shared" si="15"/>
        <v>0.31122297355992334</v>
      </c>
      <c r="K42" s="20">
        <f t="shared" si="15"/>
        <v>0.3196229866368579</v>
      </c>
      <c r="L42" s="20">
        <f t="shared" si="15"/>
        <v>0.35574703420692044</v>
      </c>
      <c r="M42" s="20">
        <f t="shared" si="15"/>
        <v>0.35310526856483565</v>
      </c>
    </row>
    <row r="43" spans="1:14" ht="15" x14ac:dyDescent="0.25">
      <c r="A43" s="2" t="s">
        <v>275</v>
      </c>
      <c r="D43" s="8">
        <v>50.792999999999999</v>
      </c>
      <c r="E43" s="8">
        <v>56.982999999999997</v>
      </c>
      <c r="F43" s="8">
        <v>53.07</v>
      </c>
      <c r="G43" s="8">
        <v>44.668999999999997</v>
      </c>
      <c r="H43" s="8">
        <v>34.930999999999997</v>
      </c>
      <c r="I43" s="8">
        <v>23.370999999999999</v>
      </c>
      <c r="J43" s="8">
        <v>25.613</v>
      </c>
      <c r="K43" s="8">
        <v>28.675999999999998</v>
      </c>
      <c r="L43" s="8">
        <v>33.402000000000001</v>
      </c>
      <c r="M43" s="8">
        <v>36.619</v>
      </c>
    </row>
    <row r="44" spans="1:14" x14ac:dyDescent="0.2">
      <c r="A44" s="4" t="str">
        <f>$A$14</f>
        <v>As percentage of nominal GDP</v>
      </c>
      <c r="D44" s="20">
        <f t="shared" ref="D44:M44" si="16">D$43/D$9</f>
        <v>0.2894897325270579</v>
      </c>
      <c r="E44" s="20">
        <f t="shared" si="16"/>
        <v>0.30149575928169692</v>
      </c>
      <c r="F44" s="20">
        <f t="shared" si="16"/>
        <v>0.28005129260531608</v>
      </c>
      <c r="G44" s="20">
        <f t="shared" si="16"/>
        <v>0.22705161765827125</v>
      </c>
      <c r="H44" s="20">
        <f t="shared" si="16"/>
        <v>0.16971708151336853</v>
      </c>
      <c r="I44" s="20">
        <f t="shared" si="16"/>
        <v>0.10864774903769268</v>
      </c>
      <c r="J44" s="20">
        <f t="shared" si="16"/>
        <v>0.11710352458154452</v>
      </c>
      <c r="K44" s="20">
        <f t="shared" si="16"/>
        <v>0.12141998204698271</v>
      </c>
      <c r="L44" s="20">
        <f t="shared" si="16"/>
        <v>0.13744491216808424</v>
      </c>
      <c r="M44" s="20">
        <f t="shared" si="16"/>
        <v>0.14468994729064427</v>
      </c>
    </row>
    <row r="45" spans="1:14" ht="15" x14ac:dyDescent="0.25">
      <c r="A45" s="2" t="s">
        <v>737</v>
      </c>
      <c r="B45" s="8">
        <v>37.728000000000002</v>
      </c>
      <c r="C45" s="8">
        <v>40.003999999999998</v>
      </c>
      <c r="D45" s="8">
        <v>41.898000000000003</v>
      </c>
      <c r="E45" s="8">
        <v>46.11</v>
      </c>
      <c r="F45" s="8">
        <v>61.953000000000003</v>
      </c>
      <c r="G45" s="8">
        <v>69.733000000000004</v>
      </c>
      <c r="H45" s="8">
        <v>90.245000000000005</v>
      </c>
      <c r="I45" s="8">
        <v>100.53400000000001</v>
      </c>
      <c r="J45" s="8">
        <v>100.087</v>
      </c>
      <c r="K45" s="8">
        <v>103.419</v>
      </c>
      <c r="L45" s="8">
        <v>112.58</v>
      </c>
      <c r="M45" s="8">
        <v>113.956</v>
      </c>
    </row>
    <row r="46" spans="1:14" x14ac:dyDescent="0.2">
      <c r="A46" s="4" t="str">
        <f>$A$14</f>
        <v>As percentage of nominal GDP</v>
      </c>
      <c r="B46" s="20">
        <f>B$45/B$9</f>
        <v>0.24063219527129162</v>
      </c>
      <c r="C46" s="20">
        <f t="shared" ref="C46:M46" si="17">C$45/C$9</f>
        <v>0.24309969737113965</v>
      </c>
      <c r="D46" s="20">
        <f t="shared" si="17"/>
        <v>0.23879355055654664</v>
      </c>
      <c r="E46" s="20">
        <f t="shared" si="17"/>
        <v>0.24396696313776117</v>
      </c>
      <c r="F46" s="20">
        <f t="shared" si="17"/>
        <v>0.32692703468583278</v>
      </c>
      <c r="G46" s="20">
        <f t="shared" si="17"/>
        <v>0.35445141942206521</v>
      </c>
      <c r="H46" s="20">
        <f t="shared" si="17"/>
        <v>0.43846777994257097</v>
      </c>
      <c r="I46" s="20">
        <f t="shared" si="17"/>
        <v>0.46736523048887074</v>
      </c>
      <c r="J46" s="20">
        <f t="shared" si="17"/>
        <v>0.45760123627818089</v>
      </c>
      <c r="K46" s="20">
        <f t="shared" si="17"/>
        <v>0.43789695645546467</v>
      </c>
      <c r="L46" s="20">
        <f t="shared" si="17"/>
        <v>0.46325214693380407</v>
      </c>
      <c r="M46" s="20">
        <f t="shared" si="17"/>
        <v>0.45026591751420464</v>
      </c>
    </row>
    <row r="48" spans="1:14" ht="16.5" x14ac:dyDescent="0.25">
      <c r="A48" s="55" t="s">
        <v>951</v>
      </c>
    </row>
    <row r="49" spans="1:13" x14ac:dyDescent="0.2">
      <c r="A49" s="1" t="s">
        <v>164</v>
      </c>
      <c r="B49" s="7">
        <v>14.535</v>
      </c>
      <c r="C49" s="7">
        <v>15.451000000000001</v>
      </c>
      <c r="D49" s="7">
        <v>16.620999999999999</v>
      </c>
      <c r="E49" s="7">
        <v>17.73</v>
      </c>
      <c r="F49" s="7">
        <v>19.189</v>
      </c>
      <c r="G49" s="7">
        <v>20.814</v>
      </c>
      <c r="H49" s="7">
        <v>21.724</v>
      </c>
      <c r="I49" s="7">
        <v>21.956</v>
      </c>
      <c r="J49" s="7">
        <v>22.459</v>
      </c>
      <c r="K49" s="7">
        <v>23.026</v>
      </c>
      <c r="L49" s="7">
        <v>23.523</v>
      </c>
      <c r="M49" s="7">
        <v>24.081</v>
      </c>
    </row>
    <row r="50" spans="1:13" x14ac:dyDescent="0.2">
      <c r="A50" s="1" t="s">
        <v>165</v>
      </c>
      <c r="B50" s="7">
        <v>0.71799999999999997</v>
      </c>
      <c r="C50" s="7">
        <v>0.76100000000000001</v>
      </c>
      <c r="D50" s="7">
        <v>0.64500000000000002</v>
      </c>
      <c r="E50" s="7">
        <v>0.69</v>
      </c>
      <c r="F50" s="7">
        <v>0.65500000000000003</v>
      </c>
      <c r="G50" s="7">
        <v>0.32800000000000001</v>
      </c>
      <c r="H50" s="7">
        <v>0.30499999999999999</v>
      </c>
      <c r="I50" s="7">
        <v>0.192</v>
      </c>
      <c r="J50" s="7">
        <v>0.27800000000000002</v>
      </c>
      <c r="K50" s="7">
        <v>0.28199999999999997</v>
      </c>
      <c r="L50" s="7">
        <v>0.35799999999999998</v>
      </c>
      <c r="M50" s="7">
        <v>0.27100000000000002</v>
      </c>
    </row>
    <row r="51" spans="1:13" x14ac:dyDescent="0.2">
      <c r="A51" s="1" t="s">
        <v>166</v>
      </c>
      <c r="B51" s="7">
        <v>8.8130000000000006</v>
      </c>
      <c r="C51" s="7">
        <v>9.5470000000000006</v>
      </c>
      <c r="D51" s="7">
        <v>10.355</v>
      </c>
      <c r="E51" s="7">
        <v>11.297000000000001</v>
      </c>
      <c r="F51" s="7">
        <v>12.368</v>
      </c>
      <c r="G51" s="7">
        <v>13.128</v>
      </c>
      <c r="H51" s="7">
        <v>13.753</v>
      </c>
      <c r="I51" s="7">
        <v>14.16</v>
      </c>
      <c r="J51" s="7">
        <v>14.497999999999999</v>
      </c>
      <c r="K51" s="7">
        <v>14.898</v>
      </c>
      <c r="L51" s="7">
        <v>15.058</v>
      </c>
      <c r="M51" s="7">
        <v>15.625999999999999</v>
      </c>
    </row>
    <row r="52" spans="1:13" x14ac:dyDescent="0.2">
      <c r="A52" s="1" t="s">
        <v>167</v>
      </c>
      <c r="B52" s="7">
        <v>7.93</v>
      </c>
      <c r="C52" s="7">
        <v>9.9139999999999997</v>
      </c>
      <c r="D52" s="7">
        <v>9.2690000000000001</v>
      </c>
      <c r="E52" s="7">
        <v>9.5510000000000002</v>
      </c>
      <c r="F52" s="7">
        <v>11.455</v>
      </c>
      <c r="G52" s="7">
        <v>11.724</v>
      </c>
      <c r="H52" s="7">
        <v>11.65</v>
      </c>
      <c r="I52" s="7">
        <v>11.654</v>
      </c>
      <c r="J52" s="7">
        <v>12.504</v>
      </c>
      <c r="K52" s="7">
        <v>12.3</v>
      </c>
      <c r="L52" s="7">
        <v>12.879</v>
      </c>
      <c r="M52" s="7">
        <v>13.157999999999999</v>
      </c>
    </row>
    <row r="53" spans="1:13" x14ac:dyDescent="0.2">
      <c r="A53" s="1" t="s">
        <v>168</v>
      </c>
      <c r="B53" s="7">
        <v>2.5670000000000002</v>
      </c>
      <c r="C53" s="7">
        <v>2.5070000000000001</v>
      </c>
      <c r="D53" s="7">
        <v>4.8170000000000002</v>
      </c>
      <c r="E53" s="7">
        <v>3.371</v>
      </c>
      <c r="F53" s="7">
        <v>5.2930000000000001</v>
      </c>
      <c r="G53" s="7">
        <v>2.9740000000000002</v>
      </c>
      <c r="H53" s="7">
        <v>5.5629999999999997</v>
      </c>
      <c r="I53" s="7">
        <v>5.4279999999999999</v>
      </c>
      <c r="J53" s="7">
        <v>4.2939999999999996</v>
      </c>
      <c r="K53" s="7">
        <v>4.5019999999999998</v>
      </c>
      <c r="L53" s="7">
        <v>4.1340000000000003</v>
      </c>
      <c r="M53" s="7">
        <v>4.1020000000000003</v>
      </c>
    </row>
    <row r="54" spans="1:13" x14ac:dyDescent="0.2">
      <c r="A54" s="1" t="s">
        <v>169</v>
      </c>
      <c r="B54" s="7">
        <v>1.889</v>
      </c>
      <c r="C54" s="7">
        <v>2.1459999999999999</v>
      </c>
      <c r="D54" s="7">
        <v>2.6059999999999999</v>
      </c>
      <c r="E54" s="7">
        <v>2.7970000000000002</v>
      </c>
      <c r="F54" s="7">
        <v>2.992</v>
      </c>
      <c r="G54" s="7">
        <v>3.1030000000000002</v>
      </c>
      <c r="H54" s="7">
        <v>3.3119999999999998</v>
      </c>
      <c r="I54" s="7">
        <v>3.3380000000000001</v>
      </c>
      <c r="J54" s="7">
        <v>3.3940000000000001</v>
      </c>
      <c r="K54" s="7">
        <v>3.4630000000000001</v>
      </c>
      <c r="L54" s="7">
        <v>3.5150000000000001</v>
      </c>
      <c r="M54" s="7">
        <v>3.6480000000000001</v>
      </c>
    </row>
    <row r="55" spans="1:13" x14ac:dyDescent="0.2">
      <c r="A55" s="1" t="s">
        <v>170</v>
      </c>
      <c r="B55" s="7">
        <v>1.2749999999999999</v>
      </c>
      <c r="C55" s="7">
        <v>1.383</v>
      </c>
      <c r="D55" s="7">
        <v>1.5169999999999999</v>
      </c>
      <c r="E55" s="7">
        <v>1.5620000000000001</v>
      </c>
      <c r="F55" s="7">
        <v>1.7569999999999999</v>
      </c>
      <c r="G55" s="7">
        <v>1.8140000000000001</v>
      </c>
      <c r="H55" s="7">
        <v>1.8089999999999999</v>
      </c>
      <c r="I55" s="7">
        <v>1.736</v>
      </c>
      <c r="J55" s="7">
        <v>1.804</v>
      </c>
      <c r="K55" s="7">
        <v>1.8109999999999999</v>
      </c>
      <c r="L55" s="7">
        <v>1.9610000000000001</v>
      </c>
      <c r="M55" s="7">
        <v>2.0259999999999998</v>
      </c>
    </row>
    <row r="56" spans="1:13" x14ac:dyDescent="0.2">
      <c r="A56" s="1" t="s">
        <v>171</v>
      </c>
      <c r="B56" s="7">
        <v>1.635</v>
      </c>
      <c r="C56" s="7">
        <v>1.8180000000000001</v>
      </c>
      <c r="D56" s="7">
        <v>2.4049999999999998</v>
      </c>
      <c r="E56" s="7">
        <v>2.2440000000000002</v>
      </c>
      <c r="F56" s="7">
        <v>2.6629999999999998</v>
      </c>
      <c r="G56" s="7">
        <v>2.3450000000000002</v>
      </c>
      <c r="H56" s="7">
        <v>2.2810000000000001</v>
      </c>
      <c r="I56" s="7">
        <v>2.2320000000000002</v>
      </c>
      <c r="J56" s="7">
        <v>2.2549999999999999</v>
      </c>
      <c r="K56" s="7">
        <v>2.2370000000000001</v>
      </c>
      <c r="L56" s="7">
        <v>2.2909999999999999</v>
      </c>
      <c r="M56" s="7">
        <v>2.1779999999999999</v>
      </c>
    </row>
    <row r="57" spans="1:13" x14ac:dyDescent="0.2">
      <c r="A57" s="1" t="s">
        <v>172</v>
      </c>
      <c r="B57" s="7">
        <v>1.444</v>
      </c>
      <c r="C57" s="7">
        <v>1.5920000000000001</v>
      </c>
      <c r="D57" s="7">
        <v>1.595</v>
      </c>
      <c r="E57" s="7">
        <v>2.8889999999999998</v>
      </c>
      <c r="F57" s="7">
        <v>2.96</v>
      </c>
      <c r="G57" s="7">
        <v>2.806</v>
      </c>
      <c r="H57" s="7">
        <v>2.5419999999999998</v>
      </c>
      <c r="I57" s="7">
        <v>2.073</v>
      </c>
      <c r="J57" s="7">
        <v>1.978</v>
      </c>
      <c r="K57" s="7">
        <v>2.0579999999999998</v>
      </c>
      <c r="L57" s="7">
        <v>2.2280000000000002</v>
      </c>
      <c r="M57" s="7">
        <v>2.1070000000000002</v>
      </c>
    </row>
    <row r="58" spans="1:13" x14ac:dyDescent="0.2">
      <c r="A58" s="1" t="s">
        <v>174</v>
      </c>
      <c r="B58" s="7">
        <v>0.68100000000000005</v>
      </c>
      <c r="C58" s="7">
        <v>0.84899999999999998</v>
      </c>
      <c r="D58" s="7">
        <v>0.52300000000000002</v>
      </c>
      <c r="E58" s="7">
        <v>0.56100000000000005</v>
      </c>
      <c r="F58" s="7">
        <v>0.58599999999999997</v>
      </c>
      <c r="G58" s="7">
        <v>0.63</v>
      </c>
      <c r="H58" s="7">
        <v>0.74099999999999999</v>
      </c>
      <c r="I58" s="7">
        <v>0.86299999999999999</v>
      </c>
      <c r="J58" s="7">
        <v>0.80400000000000005</v>
      </c>
      <c r="K58" s="7">
        <v>0.84199999999999997</v>
      </c>
      <c r="L58" s="7">
        <v>0.77800000000000002</v>
      </c>
      <c r="M58" s="7">
        <v>0.78700000000000003</v>
      </c>
    </row>
    <row r="59" spans="1:13" x14ac:dyDescent="0.2">
      <c r="A59" s="1" t="s">
        <v>173</v>
      </c>
      <c r="B59" s="7">
        <v>0.39400000000000002</v>
      </c>
      <c r="C59" s="7">
        <v>0.46700000000000003</v>
      </c>
      <c r="D59" s="7">
        <v>0.438</v>
      </c>
      <c r="E59" s="7">
        <v>0.54100000000000004</v>
      </c>
      <c r="F59" s="7">
        <v>0.53400000000000003</v>
      </c>
      <c r="G59" s="7">
        <v>0.50700000000000001</v>
      </c>
      <c r="H59" s="7">
        <v>0.70599999999999996</v>
      </c>
      <c r="I59" s="7">
        <v>0.64800000000000002</v>
      </c>
      <c r="J59" s="7">
        <v>0.65900000000000003</v>
      </c>
      <c r="K59" s="7">
        <v>0.67600000000000005</v>
      </c>
      <c r="L59" s="7">
        <v>0.66700000000000004</v>
      </c>
      <c r="M59" s="7">
        <v>0.749</v>
      </c>
    </row>
    <row r="60" spans="1:13" x14ac:dyDescent="0.2">
      <c r="A60" s="1" t="s">
        <v>175</v>
      </c>
      <c r="B60" s="7">
        <v>0.16300000000000001</v>
      </c>
      <c r="C60" s="7">
        <v>0.20200000000000001</v>
      </c>
      <c r="D60" s="7">
        <v>0.255</v>
      </c>
      <c r="E60" s="7">
        <v>0.26</v>
      </c>
      <c r="F60" s="7">
        <v>0.29699999999999999</v>
      </c>
      <c r="G60" s="7">
        <v>0.33900000000000002</v>
      </c>
      <c r="H60" s="7">
        <v>0.94299999999999995</v>
      </c>
      <c r="I60" s="7">
        <v>-4.5999999999999999E-2</v>
      </c>
      <c r="J60" s="7">
        <v>0.28299999999999997</v>
      </c>
      <c r="K60" s="7">
        <v>0.34699999999999998</v>
      </c>
      <c r="L60" s="7">
        <v>0.32</v>
      </c>
      <c r="M60" s="7">
        <v>0.55800000000000005</v>
      </c>
    </row>
    <row r="61" spans="1:13" x14ac:dyDescent="0.2">
      <c r="A61" s="1" t="s">
        <v>176</v>
      </c>
      <c r="B61" s="7">
        <v>0.31</v>
      </c>
      <c r="C61" s="7">
        <v>4.2000000000000003E-2</v>
      </c>
      <c r="D61" s="7">
        <v>0.32100000000000001</v>
      </c>
      <c r="E61" s="7">
        <v>0.54600000000000004</v>
      </c>
      <c r="F61" s="7">
        <v>0.41599999999999998</v>
      </c>
      <c r="G61" s="7">
        <v>0.65100000000000002</v>
      </c>
      <c r="H61" s="7">
        <v>1.2250000000000001</v>
      </c>
      <c r="I61" s="7">
        <v>0.76900000000000002</v>
      </c>
      <c r="J61" s="7">
        <v>0.53</v>
      </c>
      <c r="K61" s="7">
        <v>0.53300000000000003</v>
      </c>
      <c r="L61" s="7">
        <v>0.72299999999999998</v>
      </c>
      <c r="M61" s="7">
        <v>0.58699999999999997</v>
      </c>
    </row>
    <row r="62" spans="1:13" x14ac:dyDescent="0.2">
      <c r="A62" s="1" t="s">
        <v>177</v>
      </c>
      <c r="B62" s="7">
        <v>3.2000000000000001E-2</v>
      </c>
      <c r="C62" s="7">
        <v>4.9000000000000002E-2</v>
      </c>
      <c r="D62" s="7">
        <v>6.8000000000000005E-2</v>
      </c>
      <c r="E62" s="7">
        <v>0.254</v>
      </c>
      <c r="F62" s="7">
        <v>0.11700000000000001</v>
      </c>
      <c r="G62" s="7">
        <v>0.08</v>
      </c>
      <c r="H62" s="7">
        <v>0.47899999999999998</v>
      </c>
      <c r="I62" s="7">
        <v>0.42499999999999999</v>
      </c>
      <c r="J62" s="7">
        <v>0.60299999999999998</v>
      </c>
      <c r="K62" s="7">
        <v>0.57899999999999996</v>
      </c>
      <c r="L62" s="7">
        <v>0.14499999999999999</v>
      </c>
      <c r="M62" s="7">
        <v>0.46100000000000002</v>
      </c>
    </row>
    <row r="63" spans="1:13" x14ac:dyDescent="0.2">
      <c r="A63" s="1" t="s">
        <v>178</v>
      </c>
      <c r="B63" s="7">
        <v>2.274</v>
      </c>
      <c r="C63" s="7">
        <v>2.3559999999999999</v>
      </c>
      <c r="D63" s="7">
        <v>2.3290000000000002</v>
      </c>
      <c r="E63" s="7">
        <v>2.46</v>
      </c>
      <c r="F63" s="7">
        <v>2.4289999999999998</v>
      </c>
      <c r="G63" s="7">
        <v>2.3109999999999999</v>
      </c>
      <c r="H63" s="7">
        <v>3.0659999999999998</v>
      </c>
      <c r="I63" s="7">
        <v>3.5110000000000001</v>
      </c>
      <c r="J63" s="7">
        <v>3.6190000000000002</v>
      </c>
      <c r="K63" s="7">
        <v>3.62</v>
      </c>
      <c r="L63" s="7">
        <v>3.7829999999999999</v>
      </c>
      <c r="M63" s="7">
        <v>3.59</v>
      </c>
    </row>
    <row r="64" spans="1:13" ht="15" x14ac:dyDescent="0.25">
      <c r="A64" s="2" t="s">
        <v>748</v>
      </c>
      <c r="B64" s="28">
        <f>SUM(B$49:B$63)</f>
        <v>44.66</v>
      </c>
      <c r="C64" s="28">
        <f t="shared" ref="C64:M64" si="18">SUM(C$49:C$63)</f>
        <v>49.083999999999996</v>
      </c>
      <c r="D64" s="28">
        <f t="shared" si="18"/>
        <v>53.76400000000001</v>
      </c>
      <c r="E64" s="28">
        <f t="shared" si="18"/>
        <v>56.752999999999993</v>
      </c>
      <c r="F64" s="28">
        <f t="shared" si="18"/>
        <v>63.710999999999984</v>
      </c>
      <c r="G64" s="28">
        <f t="shared" si="18"/>
        <v>63.554000000000002</v>
      </c>
      <c r="H64" s="28">
        <f t="shared" si="18"/>
        <v>70.09899999999999</v>
      </c>
      <c r="I64" s="28">
        <f t="shared" si="18"/>
        <v>68.938999999999993</v>
      </c>
      <c r="J64" s="28">
        <f t="shared" si="18"/>
        <v>69.962000000000003</v>
      </c>
      <c r="K64" s="28">
        <f t="shared" si="18"/>
        <v>71.173999999999992</v>
      </c>
      <c r="L64" s="28">
        <f t="shared" si="18"/>
        <v>72.362999999999985</v>
      </c>
      <c r="M64" s="28">
        <f t="shared" si="18"/>
        <v>73.929000000000016</v>
      </c>
    </row>
    <row r="65" spans="1:13" x14ac:dyDescent="0.2">
      <c r="A65" s="4" t="str">
        <f>$A$14</f>
        <v>As percentage of nominal GDP</v>
      </c>
      <c r="B65" s="20">
        <f t="shared" ref="B65:M65" si="19">B$64/B$9</f>
        <v>0.28484504455088749</v>
      </c>
      <c r="C65" s="20">
        <f t="shared" si="19"/>
        <v>0.29827781086303917</v>
      </c>
      <c r="D65" s="20">
        <f t="shared" si="19"/>
        <v>0.30642265626335802</v>
      </c>
      <c r="E65" s="20">
        <f t="shared" si="19"/>
        <v>0.30027883450352111</v>
      </c>
      <c r="F65" s="20">
        <f t="shared" si="19"/>
        <v>0.33620403058559051</v>
      </c>
      <c r="G65" s="20">
        <f t="shared" si="19"/>
        <v>0.32304368821002871</v>
      </c>
      <c r="H65" s="20">
        <f t="shared" si="19"/>
        <v>0.340585660216015</v>
      </c>
      <c r="I65" s="20">
        <f t="shared" si="19"/>
        <v>0.32048552355096038</v>
      </c>
      <c r="J65" s="20">
        <f t="shared" si="19"/>
        <v>0.31986869116362854</v>
      </c>
      <c r="K65" s="20">
        <f t="shared" si="19"/>
        <v>0.30136510678657924</v>
      </c>
      <c r="L65" s="20">
        <f t="shared" si="19"/>
        <v>0.29776439073166511</v>
      </c>
      <c r="M65" s="20">
        <f t="shared" si="19"/>
        <v>0.29211019179251324</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zoomScaleNormal="100" workbookViewId="0">
      <pane xSplit="2" ySplit="5" topLeftCell="J6" activePane="bottomRight" state="frozen"/>
      <selection pane="topRight" activeCell="C1" sqref="C1"/>
      <selection pane="bottomLeft" activeCell="A6" sqref="A6"/>
      <selection pane="bottomRight" activeCell="O2" sqref="O2"/>
    </sheetView>
  </sheetViews>
  <sheetFormatPr defaultRowHeight="14.25" x14ac:dyDescent="0.2"/>
  <cols>
    <col min="1" max="1" width="85.7109375" style="1" customWidth="1"/>
    <col min="2" max="2" width="5.7109375" style="1" customWidth="1"/>
    <col min="3" max="19" width="10.7109375" style="1" customWidth="1"/>
    <col min="20" max="16384" width="9.140625" style="1"/>
  </cols>
  <sheetData>
    <row r="1" spans="1:19" ht="15" x14ac:dyDescent="0.25">
      <c r="A1" s="2" t="s">
        <v>101</v>
      </c>
      <c r="B1" s="2"/>
    </row>
    <row r="2" spans="1:19" ht="15" x14ac:dyDescent="0.25">
      <c r="A2" s="4" t="s">
        <v>906</v>
      </c>
      <c r="O2" s="33" t="s">
        <v>1362</v>
      </c>
      <c r="P2" s="26"/>
      <c r="Q2" s="26"/>
      <c r="R2" s="26"/>
      <c r="S2" s="26"/>
    </row>
    <row r="3" spans="1:19" x14ac:dyDescent="0.2">
      <c r="O3" s="26"/>
      <c r="P3" s="26"/>
      <c r="Q3" s="26"/>
      <c r="R3" s="26"/>
      <c r="S3" s="26"/>
    </row>
    <row r="4" spans="1:19" ht="15" x14ac:dyDescent="0.25">
      <c r="A4" s="2" t="s">
        <v>11</v>
      </c>
      <c r="B4" s="2"/>
      <c r="C4" s="6" t="s">
        <v>743</v>
      </c>
      <c r="D4" s="6" t="s">
        <v>12</v>
      </c>
      <c r="E4" s="6" t="s">
        <v>13</v>
      </c>
      <c r="F4" s="6" t="s">
        <v>14</v>
      </c>
      <c r="G4" s="6" t="s">
        <v>15</v>
      </c>
      <c r="H4" s="6" t="s">
        <v>17</v>
      </c>
      <c r="I4" s="6" t="s">
        <v>16</v>
      </c>
      <c r="J4" s="6" t="s">
        <v>18</v>
      </c>
      <c r="K4" s="6" t="s">
        <v>19</v>
      </c>
      <c r="L4" s="6" t="s">
        <v>20</v>
      </c>
      <c r="M4" s="6" t="s">
        <v>21</v>
      </c>
      <c r="N4" s="6" t="s">
        <v>23</v>
      </c>
      <c r="O4" s="32" t="s">
        <v>24</v>
      </c>
      <c r="P4" s="32" t="s">
        <v>25</v>
      </c>
      <c r="Q4" s="32" t="s">
        <v>26</v>
      </c>
      <c r="R4" s="32" t="s">
        <v>27</v>
      </c>
      <c r="S4" s="32" t="s">
        <v>28</v>
      </c>
    </row>
    <row r="5" spans="1:19" ht="15" x14ac:dyDescent="0.25">
      <c r="C5" s="2">
        <v>2005</v>
      </c>
      <c r="D5" s="2">
        <v>2006</v>
      </c>
      <c r="E5" s="2">
        <v>2007</v>
      </c>
      <c r="F5" s="2">
        <v>2008</v>
      </c>
      <c r="G5" s="2">
        <v>2009</v>
      </c>
      <c r="H5" s="2">
        <v>2010</v>
      </c>
      <c r="I5" s="2">
        <v>2011</v>
      </c>
      <c r="J5" s="2">
        <v>2012</v>
      </c>
      <c r="K5" s="2">
        <v>2013</v>
      </c>
      <c r="L5" s="2">
        <v>2014</v>
      </c>
      <c r="M5" s="2">
        <v>2015</v>
      </c>
      <c r="N5" s="2">
        <v>2016</v>
      </c>
      <c r="O5" s="33">
        <v>2017</v>
      </c>
      <c r="P5" s="33">
        <v>2018</v>
      </c>
      <c r="Q5" s="33">
        <v>2019</v>
      </c>
      <c r="R5" s="33">
        <v>2020</v>
      </c>
      <c r="S5" s="33">
        <v>2021</v>
      </c>
    </row>
    <row r="6" spans="1:19" ht="15" x14ac:dyDescent="0.25">
      <c r="A6" s="2" t="s">
        <v>107</v>
      </c>
      <c r="B6" s="2"/>
      <c r="C6" s="7">
        <v>181.9</v>
      </c>
      <c r="D6" s="7">
        <v>187.292</v>
      </c>
      <c r="E6" s="7">
        <v>193.08500000000001</v>
      </c>
      <c r="F6" s="7">
        <v>197.27500000000001</v>
      </c>
      <c r="G6" s="7">
        <v>193.86799999999999</v>
      </c>
      <c r="H6" s="7">
        <v>195.48500000000001</v>
      </c>
      <c r="I6" s="7">
        <v>197.68199999999999</v>
      </c>
      <c r="J6" s="7">
        <v>202.91800000000001</v>
      </c>
      <c r="K6" s="7">
        <v>207.47800000000001</v>
      </c>
      <c r="L6" s="7">
        <v>212.63900000000001</v>
      </c>
      <c r="M6" s="7">
        <v>219.703</v>
      </c>
      <c r="N6" s="7">
        <v>225.67699999999999</v>
      </c>
      <c r="O6" s="16">
        <v>231.98</v>
      </c>
      <c r="P6" s="16">
        <v>239.471</v>
      </c>
      <c r="Q6" s="16">
        <v>248.273</v>
      </c>
      <c r="R6" s="16">
        <v>255.11500000000001</v>
      </c>
      <c r="S6" s="16">
        <v>260.85599999999999</v>
      </c>
    </row>
    <row r="7" spans="1:19" ht="15" x14ac:dyDescent="0.25">
      <c r="A7" s="2" t="s">
        <v>124</v>
      </c>
      <c r="B7" s="2"/>
      <c r="C7" s="7">
        <v>156.78700000000001</v>
      </c>
      <c r="D7" s="7">
        <v>164.55799999999999</v>
      </c>
      <c r="E7" s="7">
        <v>175.45699999999999</v>
      </c>
      <c r="F7" s="7">
        <v>189.001</v>
      </c>
      <c r="G7" s="7">
        <v>189.501</v>
      </c>
      <c r="H7" s="7">
        <v>196.73500000000001</v>
      </c>
      <c r="I7" s="7">
        <v>205.81899999999999</v>
      </c>
      <c r="J7" s="7">
        <v>215.108</v>
      </c>
      <c r="K7" s="7">
        <v>218.721</v>
      </c>
      <c r="L7" s="7">
        <v>236.172</v>
      </c>
      <c r="M7" s="7">
        <v>243.02099999999999</v>
      </c>
      <c r="N7" s="7">
        <v>253.08600000000001</v>
      </c>
      <c r="O7" s="16">
        <v>268.82100000000003</v>
      </c>
      <c r="P7" s="16">
        <v>282.62599999999998</v>
      </c>
      <c r="Q7" s="16">
        <v>296.548</v>
      </c>
      <c r="R7" s="16">
        <v>310.54300000000001</v>
      </c>
      <c r="S7" s="16">
        <v>323.24</v>
      </c>
    </row>
    <row r="8" spans="1:19" ht="15" x14ac:dyDescent="0.25">
      <c r="A8" s="2" t="s">
        <v>1287</v>
      </c>
      <c r="B8" s="2"/>
      <c r="C8" s="7">
        <v>2.1385000000000001</v>
      </c>
      <c r="D8" s="7">
        <v>2.1983000000000001</v>
      </c>
      <c r="E8" s="7">
        <v>2.2330000000000001</v>
      </c>
      <c r="F8" s="7">
        <v>2.2588000000000004</v>
      </c>
      <c r="G8" s="7">
        <v>2.2813000000000003</v>
      </c>
      <c r="H8" s="7">
        <v>2.2868000000000004</v>
      </c>
      <c r="I8" s="7">
        <v>2.3144999999999998</v>
      </c>
      <c r="J8" s="7">
        <v>2.3370000000000002</v>
      </c>
      <c r="K8" s="7">
        <v>2.3410000000000002</v>
      </c>
      <c r="L8" s="7">
        <v>2.4003000000000001</v>
      </c>
      <c r="M8" s="7">
        <v>2.4744999999999999</v>
      </c>
      <c r="N8" s="7">
        <v>2.5263</v>
      </c>
      <c r="O8" s="16">
        <v>2.6566000000000001</v>
      </c>
      <c r="P8" s="16">
        <v>2.7256</v>
      </c>
      <c r="Q8" s="16">
        <v>2.7748000000000004</v>
      </c>
      <c r="R8" s="16">
        <v>2.8119000000000001</v>
      </c>
      <c r="S8" s="16">
        <v>2.8405</v>
      </c>
    </row>
    <row r="9" spans="1:19" ht="15" x14ac:dyDescent="0.25">
      <c r="A9" s="2" t="s">
        <v>1288</v>
      </c>
      <c r="B9" s="2"/>
      <c r="C9" s="7">
        <v>3.1745999999999999</v>
      </c>
      <c r="D9" s="7">
        <v>3.2250999999999999</v>
      </c>
      <c r="E9" s="7">
        <v>3.2725999999999997</v>
      </c>
      <c r="F9" s="7">
        <v>3.3045999999999998</v>
      </c>
      <c r="G9" s="7">
        <v>3.3358000000000003</v>
      </c>
      <c r="H9" s="7">
        <v>3.3767</v>
      </c>
      <c r="I9" s="7">
        <v>3.4116</v>
      </c>
      <c r="J9" s="7">
        <v>3.4369999999999998</v>
      </c>
      <c r="K9" s="7">
        <v>3.4639000000000002</v>
      </c>
      <c r="L9" s="7">
        <v>3.5129999999999999</v>
      </c>
      <c r="M9" s="7">
        <v>3.5855999999999999</v>
      </c>
      <c r="N9" s="7">
        <v>3.6730999999999998</v>
      </c>
      <c r="O9" s="16">
        <v>3.7702</v>
      </c>
      <c r="P9" s="16">
        <v>3.8624000000000001</v>
      </c>
      <c r="Q9" s="16">
        <v>3.9436</v>
      </c>
      <c r="R9" s="16">
        <v>4.0108000000000006</v>
      </c>
      <c r="S9" s="16">
        <v>4.0650000000000004</v>
      </c>
    </row>
    <row r="10" spans="1:19" ht="15" x14ac:dyDescent="0.25">
      <c r="A10" s="2" t="s">
        <v>953</v>
      </c>
      <c r="B10" s="2"/>
      <c r="C10" s="7">
        <v>4.1189</v>
      </c>
      <c r="D10" s="7">
        <v>4.1669</v>
      </c>
      <c r="E10" s="7">
        <v>4.2119999999999997</v>
      </c>
      <c r="F10" s="7">
        <v>4.2488999999999999</v>
      </c>
      <c r="G10" s="7">
        <v>4.2865000000000002</v>
      </c>
      <c r="H10" s="7">
        <v>4.3365</v>
      </c>
      <c r="I10" s="7">
        <v>4.3757999999999999</v>
      </c>
      <c r="J10" s="7">
        <v>4.4015000000000004</v>
      </c>
      <c r="K10" s="7">
        <v>4.4298999999999999</v>
      </c>
      <c r="L10" s="7">
        <v>4.4847999999999999</v>
      </c>
      <c r="M10" s="7">
        <v>4.5655000000000001</v>
      </c>
      <c r="N10" s="7">
        <v>4.6593</v>
      </c>
      <c r="O10" s="16">
        <v>4.7611000000000008</v>
      </c>
      <c r="P10" s="16">
        <v>4.8638999999999992</v>
      </c>
      <c r="Q10" s="16">
        <v>4.9543999999999997</v>
      </c>
      <c r="R10" s="16">
        <v>5.03</v>
      </c>
      <c r="S10" s="16">
        <v>5.0898999999999992</v>
      </c>
    </row>
    <row r="11" spans="1:19" ht="15" x14ac:dyDescent="0.25">
      <c r="A11" s="2" t="s">
        <v>108</v>
      </c>
      <c r="B11" s="2"/>
      <c r="C11" s="11">
        <v>3.8300000000000001E-2</v>
      </c>
      <c r="D11" s="11">
        <v>3.8300000000000001E-2</v>
      </c>
      <c r="E11" s="11">
        <v>3.7999999999999999E-2</v>
      </c>
      <c r="F11" s="11">
        <v>3.6000000000000004E-2</v>
      </c>
      <c r="G11" s="11">
        <v>4.7800000000000002E-2</v>
      </c>
      <c r="H11" s="11">
        <v>6.25E-2</v>
      </c>
      <c r="I11" s="11">
        <v>6.0499999999999998E-2</v>
      </c>
      <c r="J11" s="11">
        <v>6.13E-2</v>
      </c>
      <c r="K11" s="11">
        <v>6.1500000000000006E-2</v>
      </c>
      <c r="L11" s="11">
        <v>5.5300000000000002E-2</v>
      </c>
      <c r="M11" s="11">
        <v>5.4000000000000006E-2</v>
      </c>
      <c r="N11" s="11">
        <v>5.1799999999999999E-2</v>
      </c>
      <c r="O11" s="17">
        <v>4.9800000000000004E-2</v>
      </c>
      <c r="P11" s="17">
        <v>4.8499999999999995E-2</v>
      </c>
      <c r="Q11" s="17">
        <v>4.5599999999999995E-2</v>
      </c>
      <c r="R11" s="17">
        <v>4.3700000000000003E-2</v>
      </c>
      <c r="S11" s="17">
        <v>4.3299999999999998E-2</v>
      </c>
    </row>
    <row r="12" spans="1:19" ht="15" x14ac:dyDescent="0.25">
      <c r="A12" s="2" t="s">
        <v>110</v>
      </c>
      <c r="B12" s="2"/>
      <c r="C12" s="10">
        <v>34.799999999999997</v>
      </c>
      <c r="D12" s="10">
        <v>34.520000000000003</v>
      </c>
      <c r="E12" s="10">
        <v>34.33</v>
      </c>
      <c r="F12" s="10">
        <v>33.97</v>
      </c>
      <c r="G12" s="10">
        <v>33.57</v>
      </c>
      <c r="H12" s="10">
        <v>33.450000000000003</v>
      </c>
      <c r="I12" s="10">
        <v>33.54</v>
      </c>
      <c r="J12" s="10">
        <v>33.42</v>
      </c>
      <c r="K12" s="10">
        <v>33.659999999999997</v>
      </c>
      <c r="L12" s="10">
        <v>33.67</v>
      </c>
      <c r="M12" s="10">
        <v>33.49</v>
      </c>
      <c r="N12" s="10">
        <v>33.700000000000003</v>
      </c>
      <c r="O12" s="22">
        <v>33.700000000000003</v>
      </c>
      <c r="P12" s="22">
        <v>33.729999999999997</v>
      </c>
      <c r="Q12" s="22">
        <v>33.69</v>
      </c>
      <c r="R12" s="22">
        <v>33.67</v>
      </c>
      <c r="S12" s="22">
        <v>33.64</v>
      </c>
    </row>
    <row r="13" spans="1:19" ht="15" x14ac:dyDescent="0.25">
      <c r="A13" s="2" t="s">
        <v>109</v>
      </c>
      <c r="B13" s="2"/>
      <c r="C13" s="10">
        <v>32.31</v>
      </c>
      <c r="D13" s="10">
        <v>31.98</v>
      </c>
      <c r="E13" s="10">
        <v>32.15</v>
      </c>
      <c r="F13" s="10">
        <v>32.17</v>
      </c>
      <c r="G13" s="10">
        <v>32.07</v>
      </c>
      <c r="H13" s="10">
        <v>31.97</v>
      </c>
      <c r="I13" s="10">
        <v>32.340000000000003</v>
      </c>
      <c r="J13" s="10">
        <v>32.5</v>
      </c>
      <c r="K13" s="10">
        <v>32.67</v>
      </c>
      <c r="L13" s="10">
        <v>32.94</v>
      </c>
      <c r="M13" s="10">
        <v>32.840000000000003</v>
      </c>
      <c r="N13" s="10">
        <v>32.909999999999997</v>
      </c>
      <c r="O13" s="22">
        <v>33.06</v>
      </c>
      <c r="P13" s="22">
        <v>32.840000000000003</v>
      </c>
      <c r="Q13" s="22">
        <v>32.79</v>
      </c>
      <c r="R13" s="22">
        <v>32.78</v>
      </c>
      <c r="S13" s="22">
        <v>32.75</v>
      </c>
    </row>
    <row r="14" spans="1:19" ht="15" x14ac:dyDescent="0.25">
      <c r="A14" s="2" t="s">
        <v>103</v>
      </c>
      <c r="B14" s="2"/>
      <c r="C14" s="11">
        <v>5.7999999999999996E-3</v>
      </c>
      <c r="D14" s="11">
        <v>9.7000000000000003E-3</v>
      </c>
      <c r="E14" s="11">
        <v>2.01E-2</v>
      </c>
      <c r="F14" s="11">
        <v>1.89E-2</v>
      </c>
      <c r="G14" s="11">
        <v>-3.5999999999999999E-3</v>
      </c>
      <c r="H14" s="11">
        <v>2.5899999999999999E-2</v>
      </c>
      <c r="I14" s="11">
        <v>-5.8999999999999999E-3</v>
      </c>
      <c r="J14" s="11">
        <v>2.12E-2</v>
      </c>
      <c r="K14" s="11">
        <v>1.3299999999999999E-2</v>
      </c>
      <c r="L14" s="11">
        <v>-6.8999999999999999E-3</v>
      </c>
      <c r="M14" s="11">
        <v>6.3E-3</v>
      </c>
      <c r="N14" s="11">
        <v>-2.5000000000000001E-3</v>
      </c>
      <c r="O14" s="17">
        <v>-2.4299999999999999E-2</v>
      </c>
      <c r="P14" s="17">
        <v>3.5000000000000001E-3</v>
      </c>
      <c r="Q14" s="17">
        <v>1.6500000000000001E-2</v>
      </c>
      <c r="R14" s="17">
        <v>1.26E-2</v>
      </c>
      <c r="S14" s="17">
        <v>1.2500000000000001E-2</v>
      </c>
    </row>
    <row r="15" spans="1:19" ht="15" x14ac:dyDescent="0.25">
      <c r="A15" s="2" t="s">
        <v>104</v>
      </c>
      <c r="B15" s="2"/>
      <c r="C15" s="3">
        <v>962</v>
      </c>
      <c r="D15" s="3">
        <v>1000</v>
      </c>
      <c r="E15" s="3">
        <v>1020</v>
      </c>
      <c r="F15" s="3">
        <v>1061</v>
      </c>
      <c r="G15" s="3">
        <v>1081</v>
      </c>
      <c r="H15" s="3">
        <v>1099</v>
      </c>
      <c r="I15" s="3">
        <v>1157</v>
      </c>
      <c r="J15" s="3">
        <v>1168</v>
      </c>
      <c r="K15" s="3">
        <v>1176</v>
      </c>
      <c r="L15" s="3">
        <v>1195</v>
      </c>
      <c r="M15" s="3">
        <v>1200</v>
      </c>
      <c r="N15" s="3">
        <v>1205</v>
      </c>
      <c r="O15" s="24">
        <v>1226</v>
      </c>
      <c r="P15" s="24">
        <v>1242</v>
      </c>
      <c r="Q15" s="24">
        <v>1266</v>
      </c>
      <c r="R15" s="24">
        <v>1292</v>
      </c>
      <c r="S15" s="24">
        <v>1319</v>
      </c>
    </row>
    <row r="16" spans="1:19" ht="15" x14ac:dyDescent="0.25">
      <c r="A16" s="2" t="s">
        <v>105</v>
      </c>
      <c r="B16" s="2"/>
      <c r="C16" s="11">
        <v>3.2399999999999998E-2</v>
      </c>
      <c r="D16" s="11">
        <v>4.9700000000000001E-2</v>
      </c>
      <c r="E16" s="11">
        <v>4.8099999999999997E-2</v>
      </c>
      <c r="F16" s="11">
        <v>4.5900000000000003E-2</v>
      </c>
      <c r="G16" s="11">
        <v>5.3100000000000001E-2</v>
      </c>
      <c r="H16" s="11">
        <v>2.1899999999999999E-2</v>
      </c>
      <c r="I16" s="11">
        <v>2.1399999999999999E-2</v>
      </c>
      <c r="J16" s="11">
        <v>3.1699999999999999E-2</v>
      </c>
      <c r="K16" s="11">
        <v>2.3900000000000001E-2</v>
      </c>
      <c r="L16" s="11">
        <v>2.64E-2</v>
      </c>
      <c r="M16" s="11">
        <v>2.4400000000000002E-2</v>
      </c>
      <c r="N16" s="11">
        <v>2.2499999999999999E-2</v>
      </c>
      <c r="O16" s="17">
        <v>1.47E-2</v>
      </c>
      <c r="P16" s="17">
        <v>2.3400000000000001E-2</v>
      </c>
      <c r="Q16" s="17">
        <v>2.8799999999999999E-2</v>
      </c>
      <c r="R16" s="17">
        <v>2.7199999999999998E-2</v>
      </c>
      <c r="S16" s="17">
        <v>2.6599999999999999E-2</v>
      </c>
    </row>
    <row r="17" spans="1:19" ht="15" x14ac:dyDescent="0.25">
      <c r="A17" s="2" t="s">
        <v>106</v>
      </c>
      <c r="B17" s="2"/>
      <c r="C17" s="11">
        <v>6.0199999999999997E-2</v>
      </c>
      <c r="D17" s="11">
        <v>5.79E-2</v>
      </c>
      <c r="E17" s="11">
        <v>5.96E-2</v>
      </c>
      <c r="F17" s="11">
        <v>6.4100000000000004E-2</v>
      </c>
      <c r="G17" s="11">
        <v>5.4299999999999994E-2</v>
      </c>
      <c r="H17" s="11">
        <v>5.8200000000000002E-2</v>
      </c>
      <c r="I17" s="11">
        <v>5.4199999999999998E-2</v>
      </c>
      <c r="J17" s="11">
        <v>4.1399999999999999E-2</v>
      </c>
      <c r="K17" s="11">
        <v>3.5699999999999996E-2</v>
      </c>
      <c r="L17" s="11">
        <v>4.5499999999999999E-2</v>
      </c>
      <c r="M17" s="11">
        <v>3.7699999999999997E-2</v>
      </c>
      <c r="N17" s="11">
        <v>3.1600000000000003E-2</v>
      </c>
      <c r="O17" s="17">
        <v>2.86E-2</v>
      </c>
      <c r="P17" s="17">
        <v>2.9300000000000003E-2</v>
      </c>
      <c r="Q17" s="17">
        <v>3.2599999999999997E-2</v>
      </c>
      <c r="R17" s="17">
        <v>3.8300000000000001E-2</v>
      </c>
      <c r="S17" s="17">
        <v>4.1500000000000002E-2</v>
      </c>
    </row>
    <row r="19" spans="1:19" ht="15" x14ac:dyDescent="0.25">
      <c r="A19" s="2" t="s">
        <v>855</v>
      </c>
      <c r="C19" s="42">
        <v>757.79</v>
      </c>
      <c r="D19" s="42">
        <v>783.78</v>
      </c>
      <c r="E19" s="42">
        <v>832.3</v>
      </c>
      <c r="F19" s="42">
        <v>861.27</v>
      </c>
      <c r="G19" s="42">
        <v>905.51</v>
      </c>
      <c r="H19" s="42">
        <v>934.78</v>
      </c>
      <c r="I19" s="42">
        <v>967.96</v>
      </c>
      <c r="J19" s="42">
        <v>994.19</v>
      </c>
      <c r="K19" s="42">
        <v>1022.88</v>
      </c>
      <c r="L19" s="42">
        <v>1051.6400000000001</v>
      </c>
      <c r="M19" s="42">
        <v>1077.5</v>
      </c>
      <c r="N19" s="42">
        <v>1111.4000000000001</v>
      </c>
      <c r="O19" s="43">
        <v>1129.72</v>
      </c>
      <c r="P19" s="43">
        <v>1153.1199999999999</v>
      </c>
      <c r="Q19" s="43">
        <v>1186.3699999999999</v>
      </c>
      <c r="R19" s="43">
        <v>1218.04</v>
      </c>
      <c r="S19" s="43">
        <v>1249.56</v>
      </c>
    </row>
    <row r="20" spans="1:19" ht="15" x14ac:dyDescent="0.25">
      <c r="A20" s="2" t="s">
        <v>486</v>
      </c>
      <c r="C20" s="42">
        <v>597.66999999999996</v>
      </c>
      <c r="D20" s="42">
        <v>614.05999999999995</v>
      </c>
      <c r="E20" s="42">
        <v>645.82000000000005</v>
      </c>
      <c r="F20" s="42">
        <v>664.02</v>
      </c>
      <c r="G20" s="42">
        <v>723.19</v>
      </c>
      <c r="H20" s="42">
        <v>741.53</v>
      </c>
      <c r="I20" s="42">
        <v>792.36</v>
      </c>
      <c r="J20" s="42">
        <v>813.32</v>
      </c>
      <c r="K20" s="42">
        <v>833.14</v>
      </c>
      <c r="L20" s="42">
        <v>855.33</v>
      </c>
      <c r="M20" s="42">
        <v>873.01</v>
      </c>
      <c r="N20" s="42">
        <v>896.89</v>
      </c>
      <c r="O20" s="43">
        <v>909.56</v>
      </c>
      <c r="P20" s="43">
        <v>945.81</v>
      </c>
      <c r="Q20" s="43">
        <v>968.7</v>
      </c>
      <c r="R20" s="43">
        <v>990.33</v>
      </c>
      <c r="S20" s="43">
        <v>1012.11</v>
      </c>
    </row>
    <row r="21" spans="1:19" ht="15" x14ac:dyDescent="0.25">
      <c r="A21" s="2" t="s">
        <v>487</v>
      </c>
      <c r="C21" s="42">
        <v>235.16</v>
      </c>
      <c r="D21" s="42">
        <v>243.06</v>
      </c>
      <c r="E21" s="42">
        <v>255.7</v>
      </c>
      <c r="F21" s="42">
        <v>264.37</v>
      </c>
      <c r="G21" s="42">
        <v>273.63</v>
      </c>
      <c r="H21" s="42">
        <v>280.62</v>
      </c>
      <c r="I21" s="42">
        <v>294.08000000000004</v>
      </c>
      <c r="J21" s="42">
        <v>302.39999999999998</v>
      </c>
      <c r="K21" s="42">
        <v>310.33999999999997</v>
      </c>
      <c r="L21" s="42">
        <v>319.23</v>
      </c>
      <c r="M21" s="42">
        <v>326.3</v>
      </c>
      <c r="N21" s="42">
        <v>335.74</v>
      </c>
      <c r="O21" s="43">
        <v>340.8</v>
      </c>
      <c r="P21" s="43">
        <v>348.66</v>
      </c>
      <c r="Q21" s="43">
        <v>357.15</v>
      </c>
      <c r="R21" s="43">
        <v>365.13</v>
      </c>
      <c r="S21" s="43">
        <v>373.16</v>
      </c>
    </row>
    <row r="22" spans="1:19" ht="15" x14ac:dyDescent="0.25">
      <c r="A22" s="2" t="s">
        <v>490</v>
      </c>
      <c r="C22" s="42">
        <v>196.78</v>
      </c>
      <c r="D22" s="42">
        <v>203</v>
      </c>
      <c r="E22" s="42">
        <v>213.12</v>
      </c>
      <c r="F22" s="42">
        <v>219.9</v>
      </c>
      <c r="G22" s="42">
        <v>239.19</v>
      </c>
      <c r="H22" s="42">
        <v>244.71</v>
      </c>
      <c r="I22" s="42">
        <v>261.48</v>
      </c>
      <c r="J22" s="42">
        <v>268.39999999999998</v>
      </c>
      <c r="K22" s="42">
        <v>274.94</v>
      </c>
      <c r="L22" s="42">
        <v>282.26</v>
      </c>
      <c r="M22" s="42">
        <v>288.10000000000002</v>
      </c>
      <c r="N22" s="42">
        <v>295.97000000000003</v>
      </c>
      <c r="O22" s="43">
        <v>300.14999999999998</v>
      </c>
      <c r="P22" s="43">
        <v>312.12</v>
      </c>
      <c r="Q22" s="43">
        <v>319.67</v>
      </c>
      <c r="R22" s="43">
        <v>326.81</v>
      </c>
      <c r="S22" s="43">
        <v>334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6"/>
  <sheetViews>
    <sheetView zoomScaleNormal="100" workbookViewId="0">
      <pane xSplit="2" ySplit="7" topLeftCell="C47" activePane="bottomRight" state="frozen"/>
      <selection pane="topRight" activeCell="C1" sqref="C1"/>
      <selection pane="bottomLeft" activeCell="A8" sqref="A8"/>
      <selection pane="bottomRight" activeCell="F62" sqref="F62"/>
    </sheetView>
  </sheetViews>
  <sheetFormatPr defaultRowHeight="14.25" x14ac:dyDescent="0.2"/>
  <cols>
    <col min="1" max="1" width="90.7109375" style="1" customWidth="1"/>
    <col min="2" max="2" width="7.7109375" style="1" customWidth="1"/>
    <col min="3" max="10" width="10.7109375" style="1" customWidth="1"/>
    <col min="11" max="16384" width="9.140625" style="1"/>
  </cols>
  <sheetData>
    <row r="1" spans="1:11" ht="15" x14ac:dyDescent="0.25">
      <c r="A1" s="2" t="s">
        <v>139</v>
      </c>
      <c r="B1" s="2"/>
    </row>
    <row r="2" spans="1:11" x14ac:dyDescent="0.2">
      <c r="A2" s="4" t="s">
        <v>906</v>
      </c>
    </row>
    <row r="3" spans="1:11" x14ac:dyDescent="0.2">
      <c r="A3" s="4" t="s">
        <v>141</v>
      </c>
    </row>
    <row r="4" spans="1:11" x14ac:dyDescent="0.2">
      <c r="A4" s="4" t="s">
        <v>142</v>
      </c>
    </row>
    <row r="5" spans="1:11" ht="15" x14ac:dyDescent="0.25">
      <c r="A5" s="4" t="s">
        <v>119</v>
      </c>
      <c r="F5" s="33" t="s">
        <v>1362</v>
      </c>
    </row>
    <row r="6" spans="1:11" ht="15" x14ac:dyDescent="0.25">
      <c r="A6" s="2" t="s">
        <v>11</v>
      </c>
      <c r="B6" s="2"/>
      <c r="D6" s="6" t="s">
        <v>21</v>
      </c>
      <c r="E6" s="6" t="s">
        <v>23</v>
      </c>
      <c r="F6" s="32" t="s">
        <v>24</v>
      </c>
      <c r="G6" s="32" t="s">
        <v>25</v>
      </c>
      <c r="H6" s="32" t="s">
        <v>26</v>
      </c>
      <c r="I6" s="32" t="s">
        <v>27</v>
      </c>
      <c r="J6" s="32" t="s">
        <v>28</v>
      </c>
    </row>
    <row r="7" spans="1:11" ht="15" x14ac:dyDescent="0.25">
      <c r="D7" s="2">
        <v>2015</v>
      </c>
      <c r="E7" s="2">
        <v>2016</v>
      </c>
      <c r="F7" s="33">
        <v>2017</v>
      </c>
      <c r="G7" s="33">
        <v>2018</v>
      </c>
      <c r="H7" s="33">
        <v>2019</v>
      </c>
      <c r="I7" s="33">
        <v>2020</v>
      </c>
      <c r="J7" s="33">
        <v>2021</v>
      </c>
    </row>
    <row r="8" spans="1:11" ht="15" x14ac:dyDescent="0.25">
      <c r="A8" s="2" t="s">
        <v>140</v>
      </c>
      <c r="B8" s="2"/>
      <c r="C8" s="98"/>
      <c r="D8" s="98"/>
      <c r="E8" s="98"/>
      <c r="F8" s="99"/>
      <c r="G8" s="99"/>
      <c r="H8" s="99"/>
      <c r="I8" s="99"/>
      <c r="J8" s="99"/>
      <c r="K8" s="100"/>
    </row>
    <row r="9" spans="1:11" x14ac:dyDescent="0.2">
      <c r="A9" s="1" t="s">
        <v>143</v>
      </c>
      <c r="B9" s="1" t="s">
        <v>446</v>
      </c>
      <c r="C9" s="101"/>
      <c r="D9" s="101">
        <v>66.055000000000007</v>
      </c>
      <c r="E9" s="101">
        <v>69.668000000000006</v>
      </c>
      <c r="F9" s="97">
        <v>75.012</v>
      </c>
      <c r="G9" s="97">
        <v>77.585999999999999</v>
      </c>
      <c r="H9" s="97">
        <v>80.656999999999996</v>
      </c>
      <c r="I9" s="97">
        <v>85.063000000000002</v>
      </c>
      <c r="J9" s="97">
        <v>89.063000000000002</v>
      </c>
      <c r="K9" s="100"/>
    </row>
    <row r="10" spans="1:11" x14ac:dyDescent="0.2">
      <c r="A10" s="1" t="s">
        <v>144</v>
      </c>
      <c r="B10" s="1" t="str">
        <f>$B$9</f>
        <v>NAC</v>
      </c>
      <c r="C10" s="101"/>
      <c r="D10" s="101">
        <v>4.9530000000000003</v>
      </c>
      <c r="E10" s="101">
        <v>4.6429999999999998</v>
      </c>
      <c r="F10" s="97">
        <v>4.9870000000000001</v>
      </c>
      <c r="G10" s="97">
        <v>5.0789999999999997</v>
      </c>
      <c r="H10" s="97">
        <v>5.4219999999999997</v>
      </c>
      <c r="I10" s="97">
        <v>5.8259999999999996</v>
      </c>
      <c r="J10" s="97">
        <v>6.04</v>
      </c>
      <c r="K10" s="100"/>
    </row>
    <row r="11" spans="1:11" x14ac:dyDescent="0.2">
      <c r="A11" s="1" t="s">
        <v>145</v>
      </c>
      <c r="B11" s="1" t="s">
        <v>362</v>
      </c>
      <c r="C11" s="101"/>
      <c r="D11" s="101">
        <v>16.866</v>
      </c>
      <c r="E11" s="101">
        <v>16.364000000000001</v>
      </c>
      <c r="F11" s="97">
        <v>17.048999999999999</v>
      </c>
      <c r="G11" s="97">
        <v>17.523</v>
      </c>
      <c r="H11" s="97">
        <v>18.190999999999999</v>
      </c>
      <c r="I11" s="97">
        <v>18.8</v>
      </c>
      <c r="J11" s="97">
        <v>19.202000000000002</v>
      </c>
      <c r="K11" s="100"/>
    </row>
    <row r="12" spans="1:11" x14ac:dyDescent="0.2">
      <c r="A12" s="1" t="s">
        <v>146</v>
      </c>
      <c r="B12" s="1" t="str">
        <f>$B$9</f>
        <v>NAC</v>
      </c>
      <c r="C12" s="101"/>
      <c r="D12" s="101">
        <v>3.524</v>
      </c>
      <c r="E12" s="101">
        <v>3.6030000000000002</v>
      </c>
      <c r="F12" s="97">
        <v>3.6259999999999999</v>
      </c>
      <c r="G12" s="97">
        <v>3.7719999999999998</v>
      </c>
      <c r="H12" s="97">
        <v>3.9209999999999998</v>
      </c>
      <c r="I12" s="97">
        <v>4.1420000000000003</v>
      </c>
      <c r="J12" s="97">
        <v>4.3609999999999998</v>
      </c>
      <c r="K12" s="100"/>
    </row>
    <row r="13" spans="1:11" x14ac:dyDescent="0.2">
      <c r="A13" s="1" t="s">
        <v>147</v>
      </c>
      <c r="B13" s="1" t="str">
        <f>$B$11</f>
        <v>UIM</v>
      </c>
      <c r="C13" s="101"/>
      <c r="D13" s="101">
        <v>3.6150000000000002</v>
      </c>
      <c r="E13" s="101">
        <v>3.8809999999999998</v>
      </c>
      <c r="F13" s="97">
        <v>3.6259999999999999</v>
      </c>
      <c r="G13" s="97">
        <v>3.78</v>
      </c>
      <c r="H13" s="97">
        <v>3.871</v>
      </c>
      <c r="I13" s="97">
        <v>3.9260000000000002</v>
      </c>
      <c r="J13" s="97">
        <v>3.9750000000000001</v>
      </c>
      <c r="K13" s="100"/>
    </row>
    <row r="14" spans="1:11" ht="15" x14ac:dyDescent="0.25">
      <c r="A14" s="27" t="s">
        <v>148</v>
      </c>
      <c r="B14" s="2"/>
      <c r="C14" s="101"/>
      <c r="D14" s="102">
        <f t="shared" ref="D14:J14" si="0">SUM(D$9:D$13)</f>
        <v>95.013000000000005</v>
      </c>
      <c r="E14" s="102">
        <f t="shared" si="0"/>
        <v>98.159000000000006</v>
      </c>
      <c r="F14" s="103">
        <f t="shared" si="0"/>
        <v>104.30000000000001</v>
      </c>
      <c r="G14" s="103">
        <f t="shared" si="0"/>
        <v>107.74</v>
      </c>
      <c r="H14" s="103">
        <f t="shared" si="0"/>
        <v>112.062</v>
      </c>
      <c r="I14" s="103">
        <f t="shared" si="0"/>
        <v>117.75699999999999</v>
      </c>
      <c r="J14" s="103">
        <f t="shared" si="0"/>
        <v>122.64100000000001</v>
      </c>
      <c r="K14" s="100"/>
    </row>
    <row r="15" spans="1:11" x14ac:dyDescent="0.2">
      <c r="A15" s="1" t="s">
        <v>149</v>
      </c>
      <c r="B15" s="1" t="str">
        <f t="shared" ref="B15:B20" si="1">$B$9</f>
        <v>NAC</v>
      </c>
      <c r="C15" s="101"/>
      <c r="D15" s="101">
        <v>23.722999999999999</v>
      </c>
      <c r="E15" s="101">
        <v>24.312000000000001</v>
      </c>
      <c r="F15" s="97">
        <v>25.379000000000001</v>
      </c>
      <c r="G15" s="97">
        <v>26.494</v>
      </c>
      <c r="H15" s="97">
        <v>27.646000000000001</v>
      </c>
      <c r="I15" s="97">
        <v>28.498000000000001</v>
      </c>
      <c r="J15" s="97">
        <v>29.471</v>
      </c>
      <c r="K15" s="100"/>
    </row>
    <row r="16" spans="1:11" x14ac:dyDescent="0.2">
      <c r="A16" s="1" t="s">
        <v>150</v>
      </c>
      <c r="B16" s="1" t="str">
        <f t="shared" si="1"/>
        <v>NAC</v>
      </c>
      <c r="C16" s="101"/>
      <c r="D16" s="101">
        <v>21.123999999999999</v>
      </c>
      <c r="E16" s="101">
        <v>21.763000000000002</v>
      </c>
      <c r="F16" s="97">
        <v>22.405000000000001</v>
      </c>
      <c r="G16" s="97">
        <v>22.984999999999999</v>
      </c>
      <c r="H16" s="97">
        <v>23.18</v>
      </c>
      <c r="I16" s="97">
        <v>23.332999999999998</v>
      </c>
      <c r="J16" s="97">
        <v>23.637</v>
      </c>
      <c r="K16" s="100"/>
    </row>
    <row r="17" spans="1:11" x14ac:dyDescent="0.2">
      <c r="A17" s="1" t="s">
        <v>151</v>
      </c>
      <c r="B17" s="1" t="str">
        <f t="shared" si="1"/>
        <v>NAC</v>
      </c>
      <c r="C17" s="101"/>
      <c r="D17" s="101">
        <v>4.8419999999999996</v>
      </c>
      <c r="E17" s="101">
        <v>4.875</v>
      </c>
      <c r="F17" s="97">
        <v>5.1630000000000003</v>
      </c>
      <c r="G17" s="97">
        <v>5.327</v>
      </c>
      <c r="H17" s="97">
        <v>5.4909999999999997</v>
      </c>
      <c r="I17" s="97">
        <v>5.5949999999999998</v>
      </c>
      <c r="J17" s="97">
        <v>5.6840000000000002</v>
      </c>
      <c r="K17" s="100"/>
    </row>
    <row r="18" spans="1:11" x14ac:dyDescent="0.2">
      <c r="A18" s="1" t="s">
        <v>152</v>
      </c>
      <c r="B18" s="1" t="str">
        <f t="shared" si="1"/>
        <v>NAC</v>
      </c>
      <c r="C18" s="101"/>
      <c r="D18" s="101">
        <v>35.909999999999997</v>
      </c>
      <c r="E18" s="101">
        <v>35.869</v>
      </c>
      <c r="F18" s="97">
        <v>37.79</v>
      </c>
      <c r="G18" s="97">
        <v>41.542999999999999</v>
      </c>
      <c r="H18" s="97">
        <v>41.165999999999997</v>
      </c>
      <c r="I18" s="97">
        <v>41.103000000000002</v>
      </c>
      <c r="J18" s="97">
        <v>41.829000000000001</v>
      </c>
      <c r="K18" s="100"/>
    </row>
    <row r="19" spans="1:11" x14ac:dyDescent="0.2">
      <c r="A19" s="1" t="s">
        <v>153</v>
      </c>
      <c r="B19" s="1" t="str">
        <f t="shared" si="1"/>
        <v>NAC</v>
      </c>
      <c r="C19" s="101"/>
      <c r="D19" s="101">
        <v>4.5629999999999997</v>
      </c>
      <c r="E19" s="101">
        <v>4.3360000000000003</v>
      </c>
      <c r="F19" s="97">
        <v>4.1879999999999997</v>
      </c>
      <c r="G19" s="97">
        <v>4.2149999999999999</v>
      </c>
      <c r="H19" s="97">
        <v>4.1280000000000001</v>
      </c>
      <c r="I19" s="97">
        <v>4.1779999999999999</v>
      </c>
      <c r="J19" s="97">
        <v>4.1580000000000004</v>
      </c>
      <c r="K19" s="100"/>
    </row>
    <row r="20" spans="1:11" x14ac:dyDescent="0.2">
      <c r="A20" s="1" t="s">
        <v>154</v>
      </c>
      <c r="B20" s="1" t="str">
        <f t="shared" si="1"/>
        <v>NAC</v>
      </c>
      <c r="C20" s="101"/>
      <c r="D20" s="101">
        <v>4.1100000000000003</v>
      </c>
      <c r="E20" s="101">
        <v>4.7249999999999996</v>
      </c>
      <c r="F20" s="97">
        <v>5.24</v>
      </c>
      <c r="G20" s="97">
        <v>4.5979999999999999</v>
      </c>
      <c r="H20" s="97">
        <v>5.0510000000000002</v>
      </c>
      <c r="I20" s="97">
        <v>5.6230000000000002</v>
      </c>
      <c r="J20" s="97">
        <v>5.9509999999999996</v>
      </c>
      <c r="K20" s="100"/>
    </row>
    <row r="21" spans="1:11" x14ac:dyDescent="0.2">
      <c r="A21" s="1" t="s">
        <v>155</v>
      </c>
      <c r="B21" s="1" t="str">
        <f>$B$11</f>
        <v>UIM</v>
      </c>
      <c r="C21" s="101"/>
      <c r="D21" s="101">
        <v>0</v>
      </c>
      <c r="E21" s="101">
        <v>0</v>
      </c>
      <c r="F21" s="97">
        <v>0</v>
      </c>
      <c r="G21" s="97">
        <v>0.49199999999999999</v>
      </c>
      <c r="H21" s="97">
        <v>2.0339999999999998</v>
      </c>
      <c r="I21" s="97">
        <v>3.746</v>
      </c>
      <c r="J21" s="97">
        <v>5.4950000000000001</v>
      </c>
      <c r="K21" s="100"/>
    </row>
    <row r="22" spans="1:11" x14ac:dyDescent="0.2">
      <c r="A22" s="1" t="s">
        <v>156</v>
      </c>
      <c r="B22" s="1" t="str">
        <f>$B$11</f>
        <v>UIM</v>
      </c>
      <c r="C22" s="101"/>
      <c r="D22" s="101">
        <v>0</v>
      </c>
      <c r="E22" s="101">
        <v>0</v>
      </c>
      <c r="F22" s="97">
        <v>0</v>
      </c>
      <c r="G22" s="97">
        <v>-1.175</v>
      </c>
      <c r="H22" s="97">
        <v>-0.56999999999999995</v>
      </c>
      <c r="I22" s="97">
        <v>-0.52500000000000002</v>
      </c>
      <c r="J22" s="97">
        <v>-0.5</v>
      </c>
      <c r="K22" s="100"/>
    </row>
    <row r="23" spans="1:11" ht="15" x14ac:dyDescent="0.25">
      <c r="A23" s="27" t="s">
        <v>157</v>
      </c>
      <c r="C23" s="101"/>
      <c r="D23" s="102">
        <f t="shared" ref="D23:J23" si="2">SUM(D$15:D$22)</f>
        <v>94.271999999999991</v>
      </c>
      <c r="E23" s="102">
        <f t="shared" si="2"/>
        <v>95.88</v>
      </c>
      <c r="F23" s="103">
        <f t="shared" si="2"/>
        <v>100.16499999999999</v>
      </c>
      <c r="G23" s="103">
        <f t="shared" si="2"/>
        <v>104.479</v>
      </c>
      <c r="H23" s="103">
        <f t="shared" si="2"/>
        <v>108.12600000000002</v>
      </c>
      <c r="I23" s="103">
        <f t="shared" si="2"/>
        <v>111.55099999999999</v>
      </c>
      <c r="J23" s="103">
        <f t="shared" si="2"/>
        <v>115.72500000000001</v>
      </c>
      <c r="K23" s="100"/>
    </row>
    <row r="24" spans="1:11" x14ac:dyDescent="0.2">
      <c r="A24" s="1" t="s">
        <v>158</v>
      </c>
      <c r="B24" s="1" t="str">
        <f>$B$11</f>
        <v>UIM</v>
      </c>
      <c r="C24" s="101"/>
      <c r="D24" s="101">
        <v>0.32700000000000001</v>
      </c>
      <c r="E24" s="101">
        <v>0.44800000000000001</v>
      </c>
      <c r="F24" s="97">
        <v>0.43099999999999999</v>
      </c>
      <c r="G24" s="97">
        <v>0.39200000000000002</v>
      </c>
      <c r="H24" s="97">
        <v>0.42099999999999999</v>
      </c>
      <c r="I24" s="97">
        <v>0.46</v>
      </c>
      <c r="J24" s="97">
        <v>0.47599999999999998</v>
      </c>
      <c r="K24" s="100"/>
    </row>
    <row r="25" spans="1:11" ht="15" x14ac:dyDescent="0.25">
      <c r="A25" s="27" t="s">
        <v>329</v>
      </c>
      <c r="C25" s="101"/>
      <c r="D25" s="102">
        <f t="shared" ref="D25:J25" si="3">D$14-D$23-D$24</f>
        <v>0.41400000000001386</v>
      </c>
      <c r="E25" s="102">
        <f t="shared" si="3"/>
        <v>1.8310000000000106</v>
      </c>
      <c r="F25" s="103">
        <f t="shared" si="3"/>
        <v>3.7040000000000193</v>
      </c>
      <c r="G25" s="103">
        <f t="shared" si="3"/>
        <v>2.8689999999999958</v>
      </c>
      <c r="H25" s="103">
        <f t="shared" si="3"/>
        <v>3.5149999999999788</v>
      </c>
      <c r="I25" s="103">
        <f t="shared" si="3"/>
        <v>5.7460000000000031</v>
      </c>
      <c r="J25" s="103">
        <f t="shared" si="3"/>
        <v>6.4399999999999968</v>
      </c>
      <c r="K25" s="100"/>
    </row>
    <row r="26" spans="1:11" x14ac:dyDescent="0.2">
      <c r="A26" s="1" t="s">
        <v>159</v>
      </c>
      <c r="B26" s="1" t="str">
        <f>$B$11</f>
        <v>UIM</v>
      </c>
      <c r="C26" s="101"/>
      <c r="D26" s="101">
        <v>6.1959999999999997</v>
      </c>
      <c r="E26" s="101">
        <v>1.117</v>
      </c>
      <c r="F26" s="97">
        <v>5.8819999999999997</v>
      </c>
      <c r="G26" s="97">
        <v>2.77</v>
      </c>
      <c r="H26" s="97">
        <v>2.9350000000000001</v>
      </c>
      <c r="I26" s="97">
        <v>3.1869999999999998</v>
      </c>
      <c r="J26" s="97">
        <v>3.44</v>
      </c>
      <c r="K26" s="100"/>
    </row>
    <row r="27" spans="1:11" x14ac:dyDescent="0.2">
      <c r="A27" s="1" t="s">
        <v>160</v>
      </c>
      <c r="B27" s="1" t="str">
        <f>$B$11</f>
        <v>UIM</v>
      </c>
      <c r="C27" s="101"/>
      <c r="D27" s="101">
        <v>-1.649</v>
      </c>
      <c r="E27" s="101">
        <v>-8.6359999999999992</v>
      </c>
      <c r="F27" s="97">
        <v>1.3879999999999999</v>
      </c>
      <c r="G27" s="97">
        <v>-0.17699999999999999</v>
      </c>
      <c r="H27" s="97">
        <v>-7.8E-2</v>
      </c>
      <c r="I27" s="97">
        <v>-2.7E-2</v>
      </c>
      <c r="J27" s="97">
        <v>-3.2000000000000001E-2</v>
      </c>
      <c r="K27" s="100"/>
    </row>
    <row r="28" spans="1:11" ht="15" x14ac:dyDescent="0.25">
      <c r="A28" s="27" t="s">
        <v>162</v>
      </c>
      <c r="C28" s="101"/>
      <c r="D28" s="102">
        <f t="shared" ref="D28:J28" si="4">SUM(D$26:D$27)</f>
        <v>4.5469999999999997</v>
      </c>
      <c r="E28" s="102">
        <f t="shared" si="4"/>
        <v>-7.5189999999999992</v>
      </c>
      <c r="F28" s="103">
        <f t="shared" si="4"/>
        <v>7.27</v>
      </c>
      <c r="G28" s="103">
        <f t="shared" si="4"/>
        <v>2.593</v>
      </c>
      <c r="H28" s="103">
        <f t="shared" si="4"/>
        <v>2.8570000000000002</v>
      </c>
      <c r="I28" s="103">
        <f t="shared" si="4"/>
        <v>3.1599999999999997</v>
      </c>
      <c r="J28" s="103">
        <f t="shared" si="4"/>
        <v>3.4079999999999999</v>
      </c>
      <c r="K28" s="100"/>
    </row>
    <row r="29" spans="1:11" x14ac:dyDescent="0.2">
      <c r="A29" s="1" t="s">
        <v>161</v>
      </c>
      <c r="B29" s="1" t="str">
        <f>$B$11</f>
        <v>UIM</v>
      </c>
      <c r="C29" s="101"/>
      <c r="D29" s="101">
        <v>0.218</v>
      </c>
      <c r="E29" s="101">
        <v>-1.2E-2</v>
      </c>
      <c r="F29" s="97">
        <v>1.2E-2</v>
      </c>
      <c r="G29" s="97">
        <v>4.8000000000000001E-2</v>
      </c>
      <c r="H29" s="97">
        <v>1.9E-2</v>
      </c>
      <c r="I29" s="97">
        <v>8.9999999999999993E-3</v>
      </c>
      <c r="J29" s="97">
        <v>8.9999999999999993E-3</v>
      </c>
      <c r="K29" s="100"/>
    </row>
    <row r="30" spans="1:11" ht="15" x14ac:dyDescent="0.25">
      <c r="A30" s="27" t="s">
        <v>330</v>
      </c>
      <c r="C30" s="101"/>
      <c r="D30" s="102">
        <f t="shared" ref="D30:J30" si="5">D$28-D$29</f>
        <v>4.3289999999999997</v>
      </c>
      <c r="E30" s="102">
        <f t="shared" si="5"/>
        <v>-7.5069999999999997</v>
      </c>
      <c r="F30" s="103">
        <f t="shared" si="5"/>
        <v>7.258</v>
      </c>
      <c r="G30" s="103">
        <f t="shared" si="5"/>
        <v>2.5449999999999999</v>
      </c>
      <c r="H30" s="103">
        <f t="shared" si="5"/>
        <v>2.8380000000000001</v>
      </c>
      <c r="I30" s="103">
        <f t="shared" si="5"/>
        <v>3.1509999999999998</v>
      </c>
      <c r="J30" s="103">
        <f t="shared" si="5"/>
        <v>3.399</v>
      </c>
      <c r="K30" s="100"/>
    </row>
    <row r="31" spans="1:11" x14ac:dyDescent="0.2">
      <c r="A31" s="1" t="s">
        <v>268</v>
      </c>
      <c r="B31" s="1" t="str">
        <f>$B$11</f>
        <v>UIM</v>
      </c>
      <c r="C31" s="101"/>
      <c r="D31" s="101">
        <v>1.028</v>
      </c>
      <c r="E31" s="101">
        <v>0.307</v>
      </c>
      <c r="F31" s="97">
        <v>0.51400000000000001</v>
      </c>
      <c r="G31" s="97">
        <v>0.20599999999999999</v>
      </c>
      <c r="H31" s="97">
        <v>0.245</v>
      </c>
      <c r="I31" s="97">
        <v>0.28100000000000003</v>
      </c>
      <c r="J31" s="97">
        <v>0.29899999999999999</v>
      </c>
      <c r="K31" s="100"/>
    </row>
    <row r="32" spans="1:11" ht="15" x14ac:dyDescent="0.25">
      <c r="A32" s="27" t="s">
        <v>331</v>
      </c>
      <c r="B32" s="1" t="str">
        <f>$B$9</f>
        <v>NAC</v>
      </c>
      <c r="C32" s="101"/>
      <c r="D32" s="104">
        <v>5.7709999999999999</v>
      </c>
      <c r="E32" s="104">
        <v>-5.3689999999999998</v>
      </c>
      <c r="F32" s="105">
        <v>11.476000000000001</v>
      </c>
      <c r="G32" s="105">
        <v>5.62</v>
      </c>
      <c r="H32" s="105">
        <v>6.5979999999999999</v>
      </c>
      <c r="I32" s="105">
        <v>9.1780000000000008</v>
      </c>
      <c r="J32" s="105">
        <v>10.138</v>
      </c>
      <c r="K32" s="100"/>
    </row>
    <row r="33" spans="1:11" ht="15" x14ac:dyDescent="0.25">
      <c r="A33" s="27" t="s">
        <v>332</v>
      </c>
      <c r="B33" s="29"/>
      <c r="C33" s="101"/>
      <c r="D33" s="106" t="str">
        <f t="shared" ref="D33:J33" si="6">IF(ROUND(D$32-(D$25+D$30+D$31),3)=0,"OK","ERROR")</f>
        <v>OK</v>
      </c>
      <c r="E33" s="106" t="str">
        <f t="shared" si="6"/>
        <v>OK</v>
      </c>
      <c r="F33" s="107" t="str">
        <f t="shared" si="6"/>
        <v>OK</v>
      </c>
      <c r="G33" s="107" t="str">
        <f t="shared" si="6"/>
        <v>OK</v>
      </c>
      <c r="H33" s="107" t="str">
        <f t="shared" si="6"/>
        <v>OK</v>
      </c>
      <c r="I33" s="107" t="str">
        <f t="shared" si="6"/>
        <v>OK</v>
      </c>
      <c r="J33" s="107" t="str">
        <f t="shared" si="6"/>
        <v>OK</v>
      </c>
      <c r="K33" s="100"/>
    </row>
    <row r="34" spans="1:11" ht="15" x14ac:dyDescent="0.25">
      <c r="A34" s="27" t="s">
        <v>328</v>
      </c>
      <c r="B34" s="29"/>
      <c r="C34" s="101"/>
      <c r="D34" s="104">
        <f>SUM(D$24,D$29,D$32)</f>
        <v>6.3159999999999998</v>
      </c>
      <c r="E34" s="104">
        <v>-4.9329999999999998</v>
      </c>
      <c r="F34" s="105">
        <v>11.919</v>
      </c>
      <c r="G34" s="105">
        <v>6.06</v>
      </c>
      <c r="H34" s="105">
        <v>7.0380000000000003</v>
      </c>
      <c r="I34" s="105">
        <v>9.6470000000000002</v>
      </c>
      <c r="J34" s="105">
        <v>10.622999999999999</v>
      </c>
      <c r="K34" s="100"/>
    </row>
    <row r="35" spans="1:11" ht="15" x14ac:dyDescent="0.25">
      <c r="A35" s="27" t="s">
        <v>163</v>
      </c>
      <c r="C35" s="101"/>
      <c r="D35" s="101"/>
      <c r="E35" s="101"/>
      <c r="F35" s="101"/>
      <c r="G35" s="101"/>
      <c r="H35" s="101"/>
      <c r="I35" s="101"/>
      <c r="J35" s="101"/>
      <c r="K35" s="100"/>
    </row>
    <row r="36" spans="1:11" x14ac:dyDescent="0.2">
      <c r="A36" s="1" t="s">
        <v>164</v>
      </c>
      <c r="B36" s="1" t="str">
        <f t="shared" ref="B36:B49" si="7">$B$11</f>
        <v>UIM</v>
      </c>
      <c r="C36" s="101"/>
      <c r="D36" s="101">
        <v>28.231000000000002</v>
      </c>
      <c r="E36" s="101">
        <v>28.901</v>
      </c>
      <c r="F36" s="97">
        <v>30.593</v>
      </c>
      <c r="G36" s="97">
        <v>31.795999999999999</v>
      </c>
      <c r="H36" s="97">
        <v>33.067999999999998</v>
      </c>
      <c r="I36" s="97">
        <v>34.314</v>
      </c>
      <c r="J36" s="97">
        <v>35.554000000000002</v>
      </c>
      <c r="K36" s="100"/>
    </row>
    <row r="37" spans="1:11" x14ac:dyDescent="0.2">
      <c r="A37" s="1" t="s">
        <v>165</v>
      </c>
      <c r="B37" s="1" t="str">
        <f t="shared" si="7"/>
        <v>UIM</v>
      </c>
      <c r="C37" s="101"/>
      <c r="D37" s="101">
        <v>0.373</v>
      </c>
      <c r="E37" s="101">
        <v>0.28599999999999998</v>
      </c>
      <c r="F37" s="97">
        <v>0.23400000000000001</v>
      </c>
      <c r="G37" s="97">
        <v>0.16700000000000001</v>
      </c>
      <c r="H37" s="97">
        <v>0.21299999999999999</v>
      </c>
      <c r="I37" s="97">
        <v>0.24</v>
      </c>
      <c r="J37" s="97">
        <v>0.25600000000000001</v>
      </c>
      <c r="K37" s="100"/>
    </row>
    <row r="38" spans="1:11" x14ac:dyDescent="0.2">
      <c r="A38" s="1" t="s">
        <v>166</v>
      </c>
      <c r="B38" s="1" t="str">
        <f t="shared" si="7"/>
        <v>UIM</v>
      </c>
      <c r="C38" s="101"/>
      <c r="D38" s="101">
        <v>14.696</v>
      </c>
      <c r="E38" s="101">
        <v>15.16</v>
      </c>
      <c r="F38" s="97">
        <v>15.722</v>
      </c>
      <c r="G38" s="97">
        <v>16.431999999999999</v>
      </c>
      <c r="H38" s="97">
        <v>16.449000000000002</v>
      </c>
      <c r="I38" s="97">
        <v>16.481000000000002</v>
      </c>
      <c r="J38" s="97">
        <v>16.396000000000001</v>
      </c>
      <c r="K38" s="100"/>
    </row>
    <row r="39" spans="1:11" x14ac:dyDescent="0.2">
      <c r="A39" s="1" t="s">
        <v>167</v>
      </c>
      <c r="B39" s="1" t="str">
        <f t="shared" si="7"/>
        <v>UIM</v>
      </c>
      <c r="C39" s="101"/>
      <c r="D39" s="101">
        <v>13.537000000000001</v>
      </c>
      <c r="E39" s="101">
        <v>13.808999999999999</v>
      </c>
      <c r="F39" s="97">
        <v>14.010999999999999</v>
      </c>
      <c r="G39" s="97">
        <v>14.784000000000001</v>
      </c>
      <c r="H39" s="97">
        <v>14.91</v>
      </c>
      <c r="I39" s="97">
        <v>14.955</v>
      </c>
      <c r="J39" s="97">
        <v>15.172000000000001</v>
      </c>
      <c r="K39" s="100"/>
    </row>
    <row r="40" spans="1:11" x14ac:dyDescent="0.2">
      <c r="A40" s="1" t="s">
        <v>168</v>
      </c>
      <c r="B40" s="1" t="str">
        <f t="shared" si="7"/>
        <v>UIM</v>
      </c>
      <c r="C40" s="101"/>
      <c r="D40" s="101">
        <v>3.8980000000000001</v>
      </c>
      <c r="E40" s="101">
        <v>3.95</v>
      </c>
      <c r="F40" s="97">
        <v>4.1529999999999996</v>
      </c>
      <c r="G40" s="97">
        <v>5.343</v>
      </c>
      <c r="H40" s="97">
        <v>4.6550000000000002</v>
      </c>
      <c r="I40" s="97">
        <v>4.4770000000000003</v>
      </c>
      <c r="J40" s="97">
        <v>4.32</v>
      </c>
      <c r="K40" s="100"/>
    </row>
    <row r="41" spans="1:11" x14ac:dyDescent="0.2">
      <c r="A41" s="1" t="s">
        <v>169</v>
      </c>
      <c r="B41" s="1" t="str">
        <f t="shared" si="7"/>
        <v>UIM</v>
      </c>
      <c r="C41" s="101"/>
      <c r="D41" s="101">
        <v>3.73</v>
      </c>
      <c r="E41" s="101">
        <v>3.8940000000000001</v>
      </c>
      <c r="F41" s="97">
        <v>4.2530000000000001</v>
      </c>
      <c r="G41" s="97">
        <v>4.4349999999999996</v>
      </c>
      <c r="H41" s="97">
        <v>4.5369999999999999</v>
      </c>
      <c r="I41" s="97">
        <v>4.59</v>
      </c>
      <c r="J41" s="97">
        <v>4.6310000000000002</v>
      </c>
      <c r="K41" s="100"/>
    </row>
    <row r="42" spans="1:11" x14ac:dyDescent="0.2">
      <c r="A42" s="1" t="s">
        <v>170</v>
      </c>
      <c r="B42" s="1" t="str">
        <f t="shared" si="7"/>
        <v>UIM</v>
      </c>
      <c r="C42" s="101"/>
      <c r="D42" s="101">
        <v>1.917</v>
      </c>
      <c r="E42" s="101">
        <v>2.0129999999999999</v>
      </c>
      <c r="F42" s="97">
        <v>2.137</v>
      </c>
      <c r="G42" s="97">
        <v>2.286</v>
      </c>
      <c r="H42" s="97">
        <v>2.351</v>
      </c>
      <c r="I42" s="97">
        <v>2.3620000000000001</v>
      </c>
      <c r="J42" s="97">
        <v>2.3719999999999999</v>
      </c>
      <c r="K42" s="100"/>
    </row>
    <row r="43" spans="1:11" x14ac:dyDescent="0.2">
      <c r="A43" s="1" t="s">
        <v>171</v>
      </c>
      <c r="B43" s="1" t="str">
        <f t="shared" si="7"/>
        <v>UIM</v>
      </c>
      <c r="C43" s="101"/>
      <c r="D43" s="101">
        <v>9.2789999999999999</v>
      </c>
      <c r="E43" s="101">
        <v>9.4</v>
      </c>
      <c r="F43" s="97">
        <v>9.2959999999999994</v>
      </c>
      <c r="G43" s="97">
        <v>9.7780000000000005</v>
      </c>
      <c r="H43" s="97">
        <v>10.083</v>
      </c>
      <c r="I43" s="97">
        <v>10.191000000000001</v>
      </c>
      <c r="J43" s="97">
        <v>11.12</v>
      </c>
      <c r="K43" s="100"/>
    </row>
    <row r="44" spans="1:11" x14ac:dyDescent="0.2">
      <c r="A44" s="1" t="s">
        <v>172</v>
      </c>
      <c r="B44" s="1" t="str">
        <f t="shared" si="7"/>
        <v>UIM</v>
      </c>
      <c r="C44" s="101"/>
      <c r="D44" s="101">
        <v>8.2349999999999994</v>
      </c>
      <c r="E44" s="101">
        <v>7.4279999999999999</v>
      </c>
      <c r="F44" s="97">
        <v>8.2530000000000001</v>
      </c>
      <c r="G44" s="97">
        <v>8.0969999999999995</v>
      </c>
      <c r="H44" s="97">
        <v>8.5030000000000001</v>
      </c>
      <c r="I44" s="97">
        <v>8.7620000000000005</v>
      </c>
      <c r="J44" s="97">
        <v>8.8010000000000002</v>
      </c>
      <c r="K44" s="100"/>
    </row>
    <row r="45" spans="1:11" x14ac:dyDescent="0.2">
      <c r="A45" s="1" t="s">
        <v>174</v>
      </c>
      <c r="B45" s="1" t="str">
        <f t="shared" si="7"/>
        <v>UIM</v>
      </c>
      <c r="C45" s="101"/>
      <c r="D45" s="101">
        <v>2.198</v>
      </c>
      <c r="E45" s="101">
        <v>2.21</v>
      </c>
      <c r="F45" s="97">
        <v>2.5110000000000001</v>
      </c>
      <c r="G45" s="97">
        <v>2.327</v>
      </c>
      <c r="H45" s="97">
        <v>2.351</v>
      </c>
      <c r="I45" s="97">
        <v>2.3559999999999999</v>
      </c>
      <c r="J45" s="97">
        <v>2.3639999999999999</v>
      </c>
      <c r="K45" s="100"/>
    </row>
    <row r="46" spans="1:11" x14ac:dyDescent="0.2">
      <c r="A46" s="1" t="s">
        <v>173</v>
      </c>
      <c r="B46" s="1" t="str">
        <f t="shared" si="7"/>
        <v>UIM</v>
      </c>
      <c r="C46" s="101"/>
      <c r="D46" s="101">
        <v>1.74</v>
      </c>
      <c r="E46" s="101">
        <v>1.8520000000000001</v>
      </c>
      <c r="F46" s="97">
        <v>1.86</v>
      </c>
      <c r="G46" s="97">
        <v>1.994</v>
      </c>
      <c r="H46" s="97">
        <v>1.9870000000000001</v>
      </c>
      <c r="I46" s="97">
        <v>1.992</v>
      </c>
      <c r="J46" s="97">
        <v>2.0430000000000001</v>
      </c>
      <c r="K46" s="100"/>
    </row>
    <row r="47" spans="1:11" x14ac:dyDescent="0.2">
      <c r="A47" s="1" t="s">
        <v>175</v>
      </c>
      <c r="B47" s="1" t="str">
        <f t="shared" si="7"/>
        <v>UIM</v>
      </c>
      <c r="C47" s="101"/>
      <c r="D47" s="101">
        <v>1.1140000000000001</v>
      </c>
      <c r="E47" s="101">
        <v>1.6</v>
      </c>
      <c r="F47" s="97">
        <v>1.869</v>
      </c>
      <c r="G47" s="97">
        <v>2.08</v>
      </c>
      <c r="H47" s="97">
        <v>2.0249999999999999</v>
      </c>
      <c r="I47" s="97">
        <v>1.978</v>
      </c>
      <c r="J47" s="97">
        <v>2.0870000000000002</v>
      </c>
      <c r="K47" s="100"/>
    </row>
    <row r="48" spans="1:11" x14ac:dyDescent="0.2">
      <c r="A48" s="1" t="s">
        <v>176</v>
      </c>
      <c r="B48" s="1" t="str">
        <f t="shared" si="7"/>
        <v>UIM</v>
      </c>
      <c r="C48" s="101"/>
      <c r="D48" s="101">
        <v>0.61599999999999999</v>
      </c>
      <c r="E48" s="101">
        <v>0.57999999999999996</v>
      </c>
      <c r="F48" s="97">
        <v>0.84699999999999998</v>
      </c>
      <c r="G48" s="97">
        <v>1.0249999999999999</v>
      </c>
      <c r="H48" s="97">
        <v>0.93700000000000006</v>
      </c>
      <c r="I48" s="97">
        <v>0.99399999999999999</v>
      </c>
      <c r="J48" s="97">
        <v>0.996</v>
      </c>
      <c r="K48" s="100"/>
    </row>
    <row r="49" spans="1:11" x14ac:dyDescent="0.2">
      <c r="A49" s="1" t="s">
        <v>177</v>
      </c>
      <c r="B49" s="1" t="str">
        <f t="shared" si="7"/>
        <v>UIM</v>
      </c>
      <c r="C49" s="101"/>
      <c r="D49" s="101">
        <v>0.14499999999999999</v>
      </c>
      <c r="E49" s="101">
        <v>0.46100000000000002</v>
      </c>
      <c r="F49" s="97">
        <v>0.23799999999999999</v>
      </c>
      <c r="G49" s="97">
        <v>0.40300000000000002</v>
      </c>
      <c r="H49" s="97">
        <v>0.46500000000000002</v>
      </c>
      <c r="I49" s="97">
        <v>0.46</v>
      </c>
      <c r="J49" s="97">
        <v>0.46</v>
      </c>
      <c r="K49" s="100"/>
    </row>
    <row r="50" spans="1:11" x14ac:dyDescent="0.2">
      <c r="A50" s="1" t="s">
        <v>178</v>
      </c>
      <c r="B50" s="1" t="str">
        <f>$B$9</f>
        <v>NAC</v>
      </c>
      <c r="C50" s="101"/>
      <c r="D50" s="101">
        <v>4.5629999999999997</v>
      </c>
      <c r="E50" s="101">
        <v>4.3360000000000003</v>
      </c>
      <c r="F50" s="97">
        <v>4.1879999999999997</v>
      </c>
      <c r="G50" s="97">
        <v>4.2149999999999999</v>
      </c>
      <c r="H50" s="97">
        <v>4.1280000000000001</v>
      </c>
      <c r="I50" s="97">
        <v>4.1779999999999999</v>
      </c>
      <c r="J50" s="97">
        <v>4.1580000000000004</v>
      </c>
      <c r="K50" s="100"/>
    </row>
    <row r="51" spans="1:11" ht="15" x14ac:dyDescent="0.25">
      <c r="A51" s="27" t="s">
        <v>1291</v>
      </c>
      <c r="C51" s="101"/>
      <c r="D51" s="102">
        <f t="shared" ref="D51:J51" si="8">SUM(D$21:D$22,D$36:D$50)</f>
        <v>94.271999999999991</v>
      </c>
      <c r="E51" s="102">
        <f t="shared" si="8"/>
        <v>95.88</v>
      </c>
      <c r="F51" s="103">
        <f t="shared" si="8"/>
        <v>100.16499999999999</v>
      </c>
      <c r="G51" s="103">
        <f t="shared" si="8"/>
        <v>104.47900000000001</v>
      </c>
      <c r="H51" s="103">
        <f t="shared" si="8"/>
        <v>108.126</v>
      </c>
      <c r="I51" s="103">
        <f t="shared" si="8"/>
        <v>111.55099999999999</v>
      </c>
      <c r="J51" s="103">
        <f t="shared" si="8"/>
        <v>115.72500000000002</v>
      </c>
      <c r="K51" s="100"/>
    </row>
    <row r="52" spans="1:11" ht="15" x14ac:dyDescent="0.25">
      <c r="A52" s="27" t="s">
        <v>179</v>
      </c>
      <c r="C52" s="101"/>
      <c r="D52" s="101"/>
      <c r="E52" s="101"/>
      <c r="F52" s="101"/>
      <c r="G52" s="101"/>
      <c r="H52" s="101"/>
      <c r="I52" s="101"/>
      <c r="J52" s="101"/>
      <c r="K52" s="100"/>
    </row>
    <row r="53" spans="1:11" x14ac:dyDescent="0.2">
      <c r="A53" s="1" t="s">
        <v>164</v>
      </c>
      <c r="B53" s="1" t="str">
        <f t="shared" ref="B53:B66" si="9">$B$11</f>
        <v>UIM</v>
      </c>
      <c r="C53" s="101"/>
      <c r="D53" s="101">
        <v>23.523</v>
      </c>
      <c r="E53" s="101">
        <v>24.081</v>
      </c>
      <c r="F53" s="97">
        <v>25.32</v>
      </c>
      <c r="G53" s="97">
        <v>26.28</v>
      </c>
      <c r="H53" s="97">
        <v>27.396999999999998</v>
      </c>
      <c r="I53" s="97">
        <v>28.222000000000001</v>
      </c>
      <c r="J53" s="97">
        <v>29.135999999999999</v>
      </c>
      <c r="K53" s="100"/>
    </row>
    <row r="54" spans="1:11" x14ac:dyDescent="0.2">
      <c r="A54" s="1" t="s">
        <v>165</v>
      </c>
      <c r="B54" s="1" t="str">
        <f t="shared" si="9"/>
        <v>UIM</v>
      </c>
      <c r="C54" s="101"/>
      <c r="D54" s="101">
        <v>0.35799999999999998</v>
      </c>
      <c r="E54" s="101">
        <v>0.27100000000000002</v>
      </c>
      <c r="F54" s="97">
        <v>0.218</v>
      </c>
      <c r="G54" s="97">
        <v>0.151</v>
      </c>
      <c r="H54" s="97">
        <v>0.19700000000000001</v>
      </c>
      <c r="I54" s="97">
        <v>0.224</v>
      </c>
      <c r="J54" s="97">
        <v>0.24</v>
      </c>
      <c r="K54" s="100"/>
    </row>
    <row r="55" spans="1:11" x14ac:dyDescent="0.2">
      <c r="A55" s="1" t="s">
        <v>166</v>
      </c>
      <c r="B55" s="1" t="str">
        <f t="shared" si="9"/>
        <v>UIM</v>
      </c>
      <c r="C55" s="101"/>
      <c r="D55" s="101">
        <v>15.058</v>
      </c>
      <c r="E55" s="101">
        <v>15.625999999999999</v>
      </c>
      <c r="F55" s="97">
        <v>16.189</v>
      </c>
      <c r="G55" s="97">
        <v>17.12</v>
      </c>
      <c r="H55" s="97">
        <v>17.225000000000001</v>
      </c>
      <c r="I55" s="97">
        <v>17.234000000000002</v>
      </c>
      <c r="J55" s="97">
        <v>17.193000000000001</v>
      </c>
      <c r="K55" s="100"/>
    </row>
    <row r="56" spans="1:11" x14ac:dyDescent="0.2">
      <c r="A56" s="1" t="s">
        <v>167</v>
      </c>
      <c r="B56" s="1" t="str">
        <f t="shared" si="9"/>
        <v>UIM</v>
      </c>
      <c r="C56" s="101"/>
      <c r="D56" s="101">
        <v>12.879</v>
      </c>
      <c r="E56" s="101">
        <v>13.157999999999999</v>
      </c>
      <c r="F56" s="97">
        <v>13.316000000000001</v>
      </c>
      <c r="G56" s="97">
        <v>14.032</v>
      </c>
      <c r="H56" s="97">
        <v>14.16</v>
      </c>
      <c r="I56" s="97">
        <v>14.21</v>
      </c>
      <c r="J56" s="97">
        <v>14.43</v>
      </c>
      <c r="K56" s="100"/>
    </row>
    <row r="57" spans="1:11" x14ac:dyDescent="0.2">
      <c r="A57" s="1" t="s">
        <v>168</v>
      </c>
      <c r="B57" s="1" t="str">
        <f t="shared" si="9"/>
        <v>UIM</v>
      </c>
      <c r="C57" s="101"/>
      <c r="D57" s="101">
        <v>4.1340000000000003</v>
      </c>
      <c r="E57" s="101">
        <v>4.1020000000000003</v>
      </c>
      <c r="F57" s="97">
        <v>4.157</v>
      </c>
      <c r="G57" s="97">
        <v>5.2149999999999999</v>
      </c>
      <c r="H57" s="97">
        <v>4.6660000000000004</v>
      </c>
      <c r="I57" s="97">
        <v>4.5039999999999996</v>
      </c>
      <c r="J57" s="97">
        <v>4.3810000000000002</v>
      </c>
      <c r="K57" s="100"/>
    </row>
    <row r="58" spans="1:11" x14ac:dyDescent="0.2">
      <c r="A58" s="1" t="s">
        <v>169</v>
      </c>
      <c r="B58" s="1" t="str">
        <f t="shared" si="9"/>
        <v>UIM</v>
      </c>
      <c r="C58" s="101"/>
      <c r="D58" s="101">
        <v>3.5150000000000001</v>
      </c>
      <c r="E58" s="101">
        <v>3.6480000000000001</v>
      </c>
      <c r="F58" s="97">
        <v>3.9860000000000002</v>
      </c>
      <c r="G58" s="97">
        <v>4.1189999999999998</v>
      </c>
      <c r="H58" s="97">
        <v>4.1779999999999999</v>
      </c>
      <c r="I58" s="97">
        <v>4.2220000000000004</v>
      </c>
      <c r="J58" s="97">
        <v>4.2779999999999996</v>
      </c>
      <c r="K58" s="100"/>
    </row>
    <row r="59" spans="1:11" x14ac:dyDescent="0.2">
      <c r="A59" s="1" t="s">
        <v>170</v>
      </c>
      <c r="B59" s="1" t="str">
        <f t="shared" si="9"/>
        <v>UIM</v>
      </c>
      <c r="C59" s="101"/>
      <c r="D59" s="101">
        <v>1.9610000000000001</v>
      </c>
      <c r="E59" s="101">
        <v>2.0259999999999998</v>
      </c>
      <c r="F59" s="97">
        <v>2.145</v>
      </c>
      <c r="G59" s="97">
        <v>2.294</v>
      </c>
      <c r="H59" s="97">
        <v>2.36</v>
      </c>
      <c r="I59" s="97">
        <v>2.37</v>
      </c>
      <c r="J59" s="97">
        <v>2.38</v>
      </c>
      <c r="K59" s="100"/>
    </row>
    <row r="60" spans="1:11" x14ac:dyDescent="0.2">
      <c r="A60" s="1" t="s">
        <v>171</v>
      </c>
      <c r="B60" s="1" t="str">
        <f t="shared" si="9"/>
        <v>UIM</v>
      </c>
      <c r="C60" s="101"/>
      <c r="D60" s="101">
        <v>2.2909999999999999</v>
      </c>
      <c r="E60" s="101">
        <v>2.1779999999999999</v>
      </c>
      <c r="F60" s="97">
        <v>2.1819999999999999</v>
      </c>
      <c r="G60" s="97">
        <v>2.5369999999999999</v>
      </c>
      <c r="H60" s="97">
        <v>2.34</v>
      </c>
      <c r="I60" s="97">
        <v>2.274</v>
      </c>
      <c r="J60" s="97">
        <v>2.8069999999999999</v>
      </c>
      <c r="K60" s="100"/>
    </row>
    <row r="61" spans="1:11" x14ac:dyDescent="0.2">
      <c r="A61" s="1" t="s">
        <v>172</v>
      </c>
      <c r="B61" s="1" t="str">
        <f t="shared" si="9"/>
        <v>UIM</v>
      </c>
      <c r="C61" s="101"/>
      <c r="D61" s="101">
        <v>2.2280000000000002</v>
      </c>
      <c r="E61" s="101">
        <v>2.1070000000000002</v>
      </c>
      <c r="F61" s="97">
        <v>2.5830000000000002</v>
      </c>
      <c r="G61" s="97">
        <v>2.8340000000000001</v>
      </c>
      <c r="H61" s="97">
        <v>2.7810000000000001</v>
      </c>
      <c r="I61" s="97">
        <v>2.7389999999999999</v>
      </c>
      <c r="J61" s="97">
        <v>2.7490000000000001</v>
      </c>
      <c r="K61" s="100"/>
    </row>
    <row r="62" spans="1:11" x14ac:dyDescent="0.2">
      <c r="A62" s="1" t="s">
        <v>174</v>
      </c>
      <c r="B62" s="1" t="str">
        <f t="shared" si="9"/>
        <v>UIM</v>
      </c>
      <c r="C62" s="101"/>
      <c r="D62" s="101">
        <v>0.77800000000000002</v>
      </c>
      <c r="E62" s="101">
        <v>0.78700000000000003</v>
      </c>
      <c r="F62" s="97">
        <v>0.86099999999999999</v>
      </c>
      <c r="G62" s="97">
        <v>0.88500000000000001</v>
      </c>
      <c r="H62" s="97">
        <v>0.875</v>
      </c>
      <c r="I62" s="97">
        <v>0.84099999999999997</v>
      </c>
      <c r="J62" s="97">
        <v>0.81399999999999995</v>
      </c>
      <c r="K62" s="100"/>
    </row>
    <row r="63" spans="1:11" x14ac:dyDescent="0.2">
      <c r="A63" s="1" t="s">
        <v>173</v>
      </c>
      <c r="B63" s="1" t="str">
        <f t="shared" si="9"/>
        <v>UIM</v>
      </c>
      <c r="C63" s="101"/>
      <c r="D63" s="101">
        <v>0.66700000000000004</v>
      </c>
      <c r="E63" s="101">
        <v>0.749</v>
      </c>
      <c r="F63" s="97">
        <v>0.67900000000000005</v>
      </c>
      <c r="G63" s="97">
        <v>0.73</v>
      </c>
      <c r="H63" s="97">
        <v>0.67600000000000005</v>
      </c>
      <c r="I63" s="97">
        <v>0.66300000000000003</v>
      </c>
      <c r="J63" s="97">
        <v>0.63900000000000001</v>
      </c>
      <c r="K63" s="100"/>
    </row>
    <row r="64" spans="1:11" x14ac:dyDescent="0.2">
      <c r="A64" s="1" t="s">
        <v>175</v>
      </c>
      <c r="B64" s="1" t="str">
        <f t="shared" si="9"/>
        <v>UIM</v>
      </c>
      <c r="C64" s="101"/>
      <c r="D64" s="101">
        <v>0.32</v>
      </c>
      <c r="E64" s="101">
        <v>0.55800000000000005</v>
      </c>
      <c r="F64" s="97">
        <v>0.57699999999999996</v>
      </c>
      <c r="G64" s="97">
        <v>0.59599999999999997</v>
      </c>
      <c r="H64" s="97">
        <v>0.55700000000000005</v>
      </c>
      <c r="I64" s="97">
        <v>0.51900000000000002</v>
      </c>
      <c r="J64" s="97">
        <v>0.54</v>
      </c>
      <c r="K64" s="100"/>
    </row>
    <row r="65" spans="1:11" x14ac:dyDescent="0.2">
      <c r="A65" s="1" t="s">
        <v>176</v>
      </c>
      <c r="B65" s="1" t="str">
        <f t="shared" si="9"/>
        <v>UIM</v>
      </c>
      <c r="C65" s="101"/>
      <c r="D65" s="101">
        <v>0.72299999999999998</v>
      </c>
      <c r="E65" s="101">
        <v>0.58699999999999997</v>
      </c>
      <c r="F65" s="97">
        <v>0.84899999999999998</v>
      </c>
      <c r="G65" s="97">
        <v>1.0269999999999999</v>
      </c>
      <c r="H65" s="97">
        <v>0.93899999999999995</v>
      </c>
      <c r="I65" s="97">
        <v>0.996</v>
      </c>
      <c r="J65" s="97">
        <v>0.998</v>
      </c>
      <c r="K65" s="100"/>
    </row>
    <row r="66" spans="1:11" x14ac:dyDescent="0.2">
      <c r="A66" s="1" t="s">
        <v>177</v>
      </c>
      <c r="B66" s="1" t="str">
        <f t="shared" si="9"/>
        <v>UIM</v>
      </c>
      <c r="C66" s="101"/>
      <c r="D66" s="101">
        <v>0.14499999999999999</v>
      </c>
      <c r="E66" s="101">
        <v>0.46100000000000002</v>
      </c>
      <c r="F66" s="97">
        <v>0.23799999999999999</v>
      </c>
      <c r="G66" s="97">
        <v>0.40300000000000002</v>
      </c>
      <c r="H66" s="97">
        <v>0.46500000000000002</v>
      </c>
      <c r="I66" s="97">
        <v>0.46</v>
      </c>
      <c r="J66" s="97">
        <v>0.46</v>
      </c>
      <c r="K66" s="100"/>
    </row>
    <row r="67" spans="1:11" x14ac:dyDescent="0.2">
      <c r="A67" s="1" t="s">
        <v>178</v>
      </c>
      <c r="B67" s="1" t="str">
        <f>$B$9</f>
        <v>NAC</v>
      </c>
      <c r="C67" s="101"/>
      <c r="D67" s="101">
        <v>3.7829999999999999</v>
      </c>
      <c r="E67" s="101">
        <v>3.59</v>
      </c>
      <c r="F67" s="97">
        <v>3.54</v>
      </c>
      <c r="G67" s="97">
        <v>3.4449999999999998</v>
      </c>
      <c r="H67" s="97">
        <v>3.3929999999999998</v>
      </c>
      <c r="I67" s="97">
        <v>3.4220000000000002</v>
      </c>
      <c r="J67" s="97">
        <v>3.4239999999999999</v>
      </c>
      <c r="K67" s="100"/>
    </row>
    <row r="68" spans="1:11" ht="15" x14ac:dyDescent="0.25">
      <c r="A68" s="27" t="s">
        <v>1289</v>
      </c>
      <c r="C68" s="101"/>
      <c r="D68" s="102">
        <f t="shared" ref="D68:J68" si="10">SUM(D$21:D$22,D$53:D$67)</f>
        <v>72.362999999999985</v>
      </c>
      <c r="E68" s="102">
        <f t="shared" si="10"/>
        <v>73.929000000000016</v>
      </c>
      <c r="F68" s="103">
        <f t="shared" si="10"/>
        <v>76.840000000000018</v>
      </c>
      <c r="G68" s="103">
        <f t="shared" si="10"/>
        <v>80.985000000000028</v>
      </c>
      <c r="H68" s="103">
        <f t="shared" si="10"/>
        <v>83.673000000000002</v>
      </c>
      <c r="I68" s="103">
        <f t="shared" si="10"/>
        <v>86.120999999999995</v>
      </c>
      <c r="J68" s="103">
        <f t="shared" si="10"/>
        <v>89.463999999999999</v>
      </c>
      <c r="K68" s="100"/>
    </row>
    <row r="69" spans="1:11" ht="15" x14ac:dyDescent="0.25">
      <c r="A69" s="2" t="s">
        <v>180</v>
      </c>
      <c r="C69" s="101"/>
      <c r="D69" s="108"/>
      <c r="E69" s="108"/>
      <c r="F69" s="108"/>
      <c r="G69" s="108"/>
      <c r="H69" s="108"/>
      <c r="I69" s="108"/>
      <c r="J69" s="108"/>
      <c r="K69" s="100"/>
    </row>
    <row r="70" spans="1:11" x14ac:dyDescent="0.2">
      <c r="A70" s="1" t="s">
        <v>181</v>
      </c>
      <c r="B70" s="1" t="str">
        <f>$B$11</f>
        <v>UIM</v>
      </c>
      <c r="C70" s="101"/>
      <c r="D70" s="101">
        <v>64.944999999999993</v>
      </c>
      <c r="E70" s="101">
        <v>69.027000000000001</v>
      </c>
      <c r="F70" s="97">
        <v>73.177999999999997</v>
      </c>
      <c r="G70" s="97">
        <v>76.364000000000004</v>
      </c>
      <c r="H70" s="97">
        <v>79.557000000000002</v>
      </c>
      <c r="I70" s="97">
        <v>84.019000000000005</v>
      </c>
      <c r="J70" s="97">
        <v>87.903999999999996</v>
      </c>
      <c r="K70" s="100"/>
    </row>
    <row r="71" spans="1:11" x14ac:dyDescent="0.2">
      <c r="A71" s="1" t="s">
        <v>182</v>
      </c>
      <c r="B71" s="1" t="str">
        <f t="shared" ref="B71:B78" si="11">$B$11</f>
        <v>UIM</v>
      </c>
      <c r="C71" s="101"/>
      <c r="D71" s="101">
        <v>4.7309999999999999</v>
      </c>
      <c r="E71" s="101">
        <v>4.6849999999999996</v>
      </c>
      <c r="F71" s="97">
        <v>4.4800000000000004</v>
      </c>
      <c r="G71" s="97">
        <v>4.431</v>
      </c>
      <c r="H71" s="97">
        <v>4.5410000000000004</v>
      </c>
      <c r="I71" s="97">
        <v>5.0590000000000002</v>
      </c>
      <c r="J71" s="97">
        <v>5.2050000000000001</v>
      </c>
      <c r="K71" s="100"/>
    </row>
    <row r="72" spans="1:11" x14ac:dyDescent="0.2">
      <c r="A72" s="1" t="s">
        <v>145</v>
      </c>
      <c r="B72" s="1" t="str">
        <f t="shared" si="11"/>
        <v>UIM</v>
      </c>
      <c r="C72" s="101"/>
      <c r="D72" s="101">
        <v>17.231999999999999</v>
      </c>
      <c r="E72" s="101">
        <v>17.074000000000002</v>
      </c>
      <c r="F72" s="97">
        <v>16.54</v>
      </c>
      <c r="G72" s="97">
        <v>17.666</v>
      </c>
      <c r="H72" s="97">
        <v>18.298999999999999</v>
      </c>
      <c r="I72" s="97">
        <v>18.863</v>
      </c>
      <c r="J72" s="97">
        <v>19.268000000000001</v>
      </c>
      <c r="K72" s="100"/>
    </row>
    <row r="73" spans="1:11" x14ac:dyDescent="0.2">
      <c r="A73" s="1" t="s">
        <v>183</v>
      </c>
      <c r="B73" s="1" t="str">
        <f t="shared" si="11"/>
        <v>UIM</v>
      </c>
      <c r="C73" s="101"/>
      <c r="D73" s="101">
        <v>3.3639999999999999</v>
      </c>
      <c r="E73" s="101">
        <v>3.43</v>
      </c>
      <c r="F73" s="97">
        <v>3.3130000000000002</v>
      </c>
      <c r="G73" s="97">
        <v>3.2879999999999998</v>
      </c>
      <c r="H73" s="97">
        <v>3.47</v>
      </c>
      <c r="I73" s="97">
        <v>3.7</v>
      </c>
      <c r="J73" s="97">
        <v>3.9279999999999999</v>
      </c>
      <c r="K73" s="100"/>
    </row>
    <row r="74" spans="1:11" x14ac:dyDescent="0.2">
      <c r="A74" s="1" t="s">
        <v>184</v>
      </c>
      <c r="B74" s="1" t="str">
        <f t="shared" si="11"/>
        <v>UIM</v>
      </c>
      <c r="C74" s="101"/>
      <c r="D74" s="101">
        <v>3.823</v>
      </c>
      <c r="E74" s="101">
        <v>4.1310000000000002</v>
      </c>
      <c r="F74" s="97">
        <v>3.8759999999999999</v>
      </c>
      <c r="G74" s="97">
        <v>3.8319999999999999</v>
      </c>
      <c r="H74" s="97">
        <v>3.7370000000000001</v>
      </c>
      <c r="I74" s="97">
        <v>3.7989999999999999</v>
      </c>
      <c r="J74" s="97">
        <v>3.8439999999999999</v>
      </c>
      <c r="K74" s="100"/>
    </row>
    <row r="75" spans="1:11" ht="15" x14ac:dyDescent="0.25">
      <c r="A75" s="27" t="s">
        <v>185</v>
      </c>
      <c r="C75" s="101"/>
      <c r="D75" s="102">
        <f t="shared" ref="D75:J75" si="12">SUM(D$70:D$74)</f>
        <v>94.094999999999985</v>
      </c>
      <c r="E75" s="102">
        <f t="shared" si="12"/>
        <v>98.347000000000008</v>
      </c>
      <c r="F75" s="103">
        <f t="shared" si="12"/>
        <v>101.38700000000001</v>
      </c>
      <c r="G75" s="103">
        <f t="shared" si="12"/>
        <v>105.58099999999999</v>
      </c>
      <c r="H75" s="103">
        <f t="shared" si="12"/>
        <v>109.60399999999998</v>
      </c>
      <c r="I75" s="103">
        <f t="shared" si="12"/>
        <v>115.44000000000001</v>
      </c>
      <c r="J75" s="103">
        <f t="shared" si="12"/>
        <v>120.14899999999999</v>
      </c>
      <c r="K75" s="100"/>
    </row>
    <row r="76" spans="1:11" x14ac:dyDescent="0.2">
      <c r="A76" s="1" t="s">
        <v>149</v>
      </c>
      <c r="B76" s="1" t="str">
        <f t="shared" si="11"/>
        <v>UIM</v>
      </c>
      <c r="C76" s="101"/>
      <c r="D76" s="101">
        <v>23.896000000000001</v>
      </c>
      <c r="E76" s="101">
        <v>24.338000000000001</v>
      </c>
      <c r="F76" s="97">
        <v>25.31</v>
      </c>
      <c r="G76" s="97">
        <v>26.442</v>
      </c>
      <c r="H76" s="97">
        <v>27.596</v>
      </c>
      <c r="I76" s="97">
        <v>28.518000000000001</v>
      </c>
      <c r="J76" s="97">
        <v>29.484000000000002</v>
      </c>
      <c r="K76" s="100"/>
    </row>
    <row r="77" spans="1:11" x14ac:dyDescent="0.2">
      <c r="A77" s="1" t="s">
        <v>186</v>
      </c>
      <c r="B77" s="1" t="str">
        <f t="shared" si="11"/>
        <v>UIM</v>
      </c>
      <c r="C77" s="101"/>
      <c r="D77" s="101">
        <v>60.009</v>
      </c>
      <c r="E77" s="101">
        <v>61.16</v>
      </c>
      <c r="F77" s="97">
        <v>62.875999999999998</v>
      </c>
      <c r="G77" s="97">
        <v>67.986000000000004</v>
      </c>
      <c r="H77" s="97">
        <v>67.132000000000005</v>
      </c>
      <c r="I77" s="97">
        <v>67.350999999999999</v>
      </c>
      <c r="J77" s="97">
        <v>67.756</v>
      </c>
      <c r="K77" s="100"/>
    </row>
    <row r="78" spans="1:11" x14ac:dyDescent="0.2">
      <c r="A78" s="1" t="s">
        <v>187</v>
      </c>
      <c r="B78" s="1" t="str">
        <f t="shared" si="11"/>
        <v>UIM</v>
      </c>
      <c r="C78" s="101"/>
      <c r="D78" s="101">
        <v>4.5979999999999999</v>
      </c>
      <c r="E78" s="101">
        <v>4.3330000000000002</v>
      </c>
      <c r="F78" s="97">
        <v>4.218</v>
      </c>
      <c r="G78" s="97">
        <v>4.09</v>
      </c>
      <c r="H78" s="97">
        <v>4.077</v>
      </c>
      <c r="I78" s="97">
        <v>4.0860000000000003</v>
      </c>
      <c r="J78" s="97">
        <v>4.1459999999999999</v>
      </c>
      <c r="K78" s="100"/>
    </row>
    <row r="79" spans="1:11" ht="15" x14ac:dyDescent="0.25">
      <c r="A79" s="27" t="s">
        <v>1290</v>
      </c>
      <c r="C79" s="101"/>
      <c r="D79" s="102">
        <f t="shared" ref="D79:J79" si="13">SUM(D$21:D$22,D$76:D$78)</f>
        <v>88.503</v>
      </c>
      <c r="E79" s="102">
        <f t="shared" si="13"/>
        <v>89.830999999999989</v>
      </c>
      <c r="F79" s="103">
        <f t="shared" si="13"/>
        <v>92.403999999999996</v>
      </c>
      <c r="G79" s="103">
        <f t="shared" si="13"/>
        <v>97.835000000000008</v>
      </c>
      <c r="H79" s="103">
        <f t="shared" si="13"/>
        <v>100.26900000000001</v>
      </c>
      <c r="I79" s="103">
        <f t="shared" si="13"/>
        <v>103.176</v>
      </c>
      <c r="J79" s="103">
        <f t="shared" si="13"/>
        <v>106.381</v>
      </c>
      <c r="K79" s="101"/>
    </row>
    <row r="80" spans="1:11" ht="15" x14ac:dyDescent="0.25">
      <c r="A80" s="27" t="s">
        <v>188</v>
      </c>
      <c r="C80" s="101"/>
      <c r="D80" s="102">
        <f t="shared" ref="D80:J80" si="14">SUM(D$75,-D$79)</f>
        <v>5.5919999999999845</v>
      </c>
      <c r="E80" s="102">
        <f t="shared" si="14"/>
        <v>8.5160000000000196</v>
      </c>
      <c r="F80" s="103">
        <f t="shared" si="14"/>
        <v>8.9830000000000183</v>
      </c>
      <c r="G80" s="103">
        <f t="shared" si="14"/>
        <v>7.7459999999999809</v>
      </c>
      <c r="H80" s="103">
        <f t="shared" si="14"/>
        <v>9.3349999999999795</v>
      </c>
      <c r="I80" s="103">
        <f t="shared" si="14"/>
        <v>12.26400000000001</v>
      </c>
      <c r="J80" s="103">
        <f t="shared" si="14"/>
        <v>13.767999999999986</v>
      </c>
      <c r="K80" s="101"/>
    </row>
    <row r="81" spans="1:11" x14ac:dyDescent="0.2">
      <c r="A81" s="1" t="s">
        <v>189</v>
      </c>
      <c r="B81" s="1" t="str">
        <f>$B$11</f>
        <v>UIM</v>
      </c>
      <c r="C81" s="101"/>
      <c r="D81" s="101">
        <v>-6.1769999999999996</v>
      </c>
      <c r="E81" s="101">
        <v>-6.1980000000000004</v>
      </c>
      <c r="F81" s="97">
        <v>-6.89</v>
      </c>
      <c r="G81" s="97">
        <v>-8.6609999999999996</v>
      </c>
      <c r="H81" s="97">
        <v>-8.2479999999999993</v>
      </c>
      <c r="I81" s="97">
        <v>-7.0640000000000001</v>
      </c>
      <c r="J81" s="97">
        <v>-6.55</v>
      </c>
      <c r="K81" s="101"/>
    </row>
    <row r="82" spans="1:11" x14ac:dyDescent="0.2">
      <c r="A82" s="1" t="s">
        <v>190</v>
      </c>
      <c r="B82" s="1" t="str">
        <f>$B$11</f>
        <v>UIM</v>
      </c>
      <c r="C82" s="101"/>
      <c r="D82" s="101">
        <v>-4.9119999999999999</v>
      </c>
      <c r="E82" s="101">
        <v>1.41</v>
      </c>
      <c r="F82" s="97">
        <v>1.7230000000000001</v>
      </c>
      <c r="G82" s="97">
        <v>2.1970000000000001</v>
      </c>
      <c r="H82" s="97">
        <v>-0.24199999999999999</v>
      </c>
      <c r="I82" s="97">
        <v>-2.5590000000000002</v>
      </c>
      <c r="J82" s="97">
        <v>0.65300000000000002</v>
      </c>
      <c r="K82" s="101"/>
    </row>
    <row r="83" spans="1:11" x14ac:dyDescent="0.2">
      <c r="A83" s="1" t="s">
        <v>191</v>
      </c>
      <c r="B83" s="1" t="str">
        <f>$B$11</f>
        <v>UIM</v>
      </c>
      <c r="C83" s="101"/>
      <c r="D83" s="101">
        <v>-0.63100000000000001</v>
      </c>
      <c r="E83" s="101">
        <v>-0.68700000000000006</v>
      </c>
      <c r="F83" s="97">
        <v>-0.72</v>
      </c>
      <c r="G83" s="97">
        <v>-0.84</v>
      </c>
      <c r="H83" s="97">
        <v>-0.64200000000000002</v>
      </c>
      <c r="I83" s="97">
        <v>-0.57399999999999995</v>
      </c>
      <c r="J83" s="97">
        <v>-0.52100000000000002</v>
      </c>
      <c r="K83" s="101"/>
    </row>
    <row r="84" spans="1:11" x14ac:dyDescent="0.2">
      <c r="A84" s="1" t="s">
        <v>192</v>
      </c>
      <c r="B84" s="1" t="str">
        <f>$B$11</f>
        <v>UIM</v>
      </c>
      <c r="C84" s="101"/>
      <c r="D84" s="101">
        <v>-1.6859999999999999</v>
      </c>
      <c r="E84" s="101">
        <v>-1.702</v>
      </c>
      <c r="F84" s="97">
        <v>-0.91100000000000003</v>
      </c>
      <c r="G84" s="97">
        <v>-1.319</v>
      </c>
      <c r="H84" s="97">
        <v>-1.143</v>
      </c>
      <c r="I84" s="97">
        <v>-0.97099999999999997</v>
      </c>
      <c r="J84" s="97">
        <v>-0.95199999999999996</v>
      </c>
      <c r="K84" s="101"/>
    </row>
    <row r="85" spans="1:11" x14ac:dyDescent="0.2">
      <c r="A85" s="1" t="s">
        <v>193</v>
      </c>
      <c r="B85" s="1" t="str">
        <f>$B$11</f>
        <v>UIM</v>
      </c>
      <c r="C85" s="101"/>
      <c r="D85" s="101">
        <v>0.73199999999999998</v>
      </c>
      <c r="E85" s="101">
        <v>0.113</v>
      </c>
      <c r="F85" s="97">
        <v>-1.4999999999999999E-2</v>
      </c>
      <c r="G85" s="97">
        <v>5.0000000000000001E-3</v>
      </c>
      <c r="H85" s="97">
        <v>0.02</v>
      </c>
      <c r="I85" s="97">
        <v>5.5E-2</v>
      </c>
      <c r="J85" s="97">
        <v>0.245</v>
      </c>
      <c r="K85" s="101"/>
    </row>
    <row r="86" spans="1:11" ht="15" x14ac:dyDescent="0.25">
      <c r="A86" s="27" t="s">
        <v>203</v>
      </c>
      <c r="C86" s="101"/>
      <c r="D86" s="102">
        <f t="shared" ref="D86:J86" si="15">SUM(D$81:D$85)-SUM(D$125-C$125,D$126-C$126)</f>
        <v>-12.673999999999999</v>
      </c>
      <c r="E86" s="102">
        <f t="shared" si="15"/>
        <v>-7.0640000000000001</v>
      </c>
      <c r="F86" s="103">
        <f t="shared" si="15"/>
        <v>-6.8129999999999997</v>
      </c>
      <c r="G86" s="103">
        <f t="shared" si="15"/>
        <v>-7.9739999999999984</v>
      </c>
      <c r="H86" s="103">
        <f t="shared" si="15"/>
        <v>-11.457999999999998</v>
      </c>
      <c r="I86" s="103">
        <f t="shared" si="15"/>
        <v>-12.458000000000002</v>
      </c>
      <c r="J86" s="103">
        <f t="shared" si="15"/>
        <v>-8.86</v>
      </c>
      <c r="K86" s="101"/>
    </row>
    <row r="87" spans="1:11" ht="15" x14ac:dyDescent="0.25">
      <c r="A87" s="27" t="s">
        <v>194</v>
      </c>
      <c r="C87" s="101"/>
      <c r="D87" s="102">
        <f t="shared" ref="D87:J87" si="16">SUM(D$80,D$86)</f>
        <v>-7.0820000000000149</v>
      </c>
      <c r="E87" s="102">
        <f t="shared" si="16"/>
        <v>1.4520000000000195</v>
      </c>
      <c r="F87" s="103">
        <f t="shared" si="16"/>
        <v>2.1700000000000186</v>
      </c>
      <c r="G87" s="103">
        <f t="shared" si="16"/>
        <v>-0.22800000000001752</v>
      </c>
      <c r="H87" s="103">
        <f t="shared" si="16"/>
        <v>-2.1230000000000189</v>
      </c>
      <c r="I87" s="103">
        <f t="shared" si="16"/>
        <v>-0.19399999999999196</v>
      </c>
      <c r="J87" s="103">
        <f t="shared" si="16"/>
        <v>4.907999999999987</v>
      </c>
      <c r="K87" s="101"/>
    </row>
    <row r="88" spans="1:11" x14ac:dyDescent="0.2">
      <c r="A88" s="1" t="s">
        <v>195</v>
      </c>
      <c r="B88" s="1" t="str">
        <f>$B$11</f>
        <v>UIM</v>
      </c>
      <c r="C88" s="101"/>
      <c r="D88" s="101">
        <v>0.372</v>
      </c>
      <c r="E88" s="101">
        <v>0.378</v>
      </c>
      <c r="F88" s="97">
        <v>0.30199999999999999</v>
      </c>
      <c r="G88" s="97">
        <v>0.17799999999999999</v>
      </c>
      <c r="H88" s="97">
        <v>0.184</v>
      </c>
      <c r="I88" s="97">
        <v>0.189</v>
      </c>
      <c r="J88" s="97">
        <v>0.19400000000000001</v>
      </c>
      <c r="K88" s="101"/>
    </row>
    <row r="89" spans="1:11" x14ac:dyDescent="0.2">
      <c r="A89" s="1" t="s">
        <v>196</v>
      </c>
      <c r="B89" s="1" t="str">
        <f>$B$11</f>
        <v>UIM</v>
      </c>
      <c r="C89" s="101"/>
      <c r="D89" s="101">
        <v>1.548</v>
      </c>
      <c r="E89" s="101">
        <v>6.25</v>
      </c>
      <c r="F89" s="97">
        <v>1.7649999999999999</v>
      </c>
      <c r="G89" s="97">
        <v>-3.589</v>
      </c>
      <c r="H89" s="97">
        <v>0.58499999999999996</v>
      </c>
      <c r="I89" s="97">
        <v>-0.38900000000000001</v>
      </c>
      <c r="J89" s="97">
        <v>-5.1680000000000001</v>
      </c>
      <c r="K89" s="101"/>
    </row>
    <row r="90" spans="1:11" x14ac:dyDescent="0.2">
      <c r="A90" s="1" t="s">
        <v>197</v>
      </c>
      <c r="B90" s="1" t="str">
        <f>$B$11</f>
        <v>UIM</v>
      </c>
      <c r="C90" s="101"/>
      <c r="D90" s="101">
        <v>-2.3210000000000002</v>
      </c>
      <c r="E90" s="101">
        <v>2.21</v>
      </c>
      <c r="F90" s="97">
        <v>0.53300000000000003</v>
      </c>
      <c r="G90" s="97">
        <v>-4.2069999999999999</v>
      </c>
      <c r="H90" s="97">
        <v>0.34200000000000003</v>
      </c>
      <c r="I90" s="97">
        <v>7.0000000000000001E-3</v>
      </c>
      <c r="J90" s="97">
        <v>0.01</v>
      </c>
      <c r="K90" s="101"/>
    </row>
    <row r="91" spans="1:11" x14ac:dyDescent="0.2">
      <c r="A91" s="1" t="s">
        <v>198</v>
      </c>
      <c r="B91" s="1" t="str">
        <f>$B$11</f>
        <v>UIM</v>
      </c>
      <c r="C91" s="101"/>
      <c r="D91" s="101">
        <v>7.077</v>
      </c>
      <c r="E91" s="101">
        <v>-5.9610000000000003</v>
      </c>
      <c r="F91" s="97">
        <v>-0.34699999999999998</v>
      </c>
      <c r="G91" s="97">
        <v>5.86</v>
      </c>
      <c r="H91" s="97">
        <v>1.46</v>
      </c>
      <c r="I91" s="97">
        <v>1.24</v>
      </c>
      <c r="J91" s="97">
        <v>1.032</v>
      </c>
      <c r="K91" s="101"/>
    </row>
    <row r="92" spans="1:11" x14ac:dyDescent="0.2">
      <c r="A92" s="1" t="s">
        <v>199</v>
      </c>
      <c r="B92" s="1" t="str">
        <f>$B$11</f>
        <v>UIM</v>
      </c>
      <c r="C92" s="101"/>
      <c r="D92" s="101">
        <v>-0.47799999999999998</v>
      </c>
      <c r="E92" s="101">
        <v>-0.50900000000000001</v>
      </c>
      <c r="F92" s="97">
        <v>-0.64400000000000002</v>
      </c>
      <c r="G92" s="97">
        <v>-0.41499999999999998</v>
      </c>
      <c r="H92" s="97">
        <v>-0.50600000000000001</v>
      </c>
      <c r="I92" s="97">
        <v>-0.52900000000000003</v>
      </c>
      <c r="J92" s="97">
        <v>-0.54</v>
      </c>
      <c r="K92" s="101"/>
    </row>
    <row r="93" spans="1:11" ht="15" x14ac:dyDescent="0.25">
      <c r="A93" s="27" t="s">
        <v>200</v>
      </c>
      <c r="C93" s="101"/>
      <c r="D93" s="102">
        <f t="shared" ref="D93:J93" si="17">SUM(D$88:D$92)</f>
        <v>6.1980000000000004</v>
      </c>
      <c r="E93" s="102">
        <f t="shared" si="17"/>
        <v>2.3680000000000008</v>
      </c>
      <c r="F93" s="103">
        <f t="shared" si="17"/>
        <v>1.6089999999999995</v>
      </c>
      <c r="G93" s="103">
        <f t="shared" si="17"/>
        <v>-2.173</v>
      </c>
      <c r="H93" s="103">
        <f t="shared" si="17"/>
        <v>2.0649999999999995</v>
      </c>
      <c r="I93" s="103">
        <f t="shared" si="17"/>
        <v>0.5179999999999999</v>
      </c>
      <c r="J93" s="103">
        <f t="shared" si="17"/>
        <v>-4.4720000000000004</v>
      </c>
      <c r="K93" s="101"/>
    </row>
    <row r="94" spans="1:11" ht="15" x14ac:dyDescent="0.25">
      <c r="A94" s="27" t="s">
        <v>201</v>
      </c>
      <c r="C94" s="101"/>
      <c r="D94" s="102">
        <f t="shared" ref="D94:J94" si="18">SUM(D$87,D$93)</f>
        <v>-0.88400000000001455</v>
      </c>
      <c r="E94" s="102">
        <f t="shared" si="18"/>
        <v>3.8200000000000203</v>
      </c>
      <c r="F94" s="103">
        <f t="shared" si="18"/>
        <v>3.7790000000000181</v>
      </c>
      <c r="G94" s="103">
        <f t="shared" si="18"/>
        <v>-2.4010000000000176</v>
      </c>
      <c r="H94" s="103">
        <f t="shared" si="18"/>
        <v>-5.8000000000019369E-2</v>
      </c>
      <c r="I94" s="103">
        <f t="shared" si="18"/>
        <v>0.32400000000000795</v>
      </c>
      <c r="J94" s="103">
        <f t="shared" si="18"/>
        <v>0.43599999999998662</v>
      </c>
      <c r="K94" s="101"/>
    </row>
    <row r="95" spans="1:11" x14ac:dyDescent="0.2">
      <c r="A95" s="1" t="s">
        <v>202</v>
      </c>
      <c r="B95" s="1" t="str">
        <f>$B$9</f>
        <v>NAC</v>
      </c>
      <c r="C95" s="101"/>
      <c r="D95" s="101">
        <v>0.97799999999999998</v>
      </c>
      <c r="E95" s="101">
        <v>-0.185</v>
      </c>
      <c r="F95" s="97">
        <v>-0.42</v>
      </c>
      <c r="G95" s="97">
        <v>5.0000000000000001E-3</v>
      </c>
      <c r="H95" s="97">
        <v>1E-3</v>
      </c>
      <c r="I95" s="97">
        <v>3.0000000000000001E-3</v>
      </c>
      <c r="J95" s="97">
        <v>2E-3</v>
      </c>
      <c r="K95" s="101"/>
    </row>
    <row r="96" spans="1:11" ht="15" x14ac:dyDescent="0.25">
      <c r="A96" s="27" t="s">
        <v>216</v>
      </c>
      <c r="C96" s="101"/>
      <c r="D96" s="106" t="str">
        <f t="shared" ref="D96:J96" si="19">IF(ROUND(D$115-C$115-SUM(D$94:D$95),3)=0,"OK","ERROR")</f>
        <v>OK</v>
      </c>
      <c r="E96" s="106" t="str">
        <f t="shared" si="19"/>
        <v>OK</v>
      </c>
      <c r="F96" s="107" t="str">
        <f t="shared" si="19"/>
        <v>OK</v>
      </c>
      <c r="G96" s="107" t="str">
        <f t="shared" si="19"/>
        <v>OK</v>
      </c>
      <c r="H96" s="107" t="str">
        <f t="shared" si="19"/>
        <v>OK</v>
      </c>
      <c r="I96" s="107" t="str">
        <f t="shared" si="19"/>
        <v>OK</v>
      </c>
      <c r="J96" s="107" t="str">
        <f t="shared" si="19"/>
        <v>OK</v>
      </c>
      <c r="K96" s="101"/>
    </row>
    <row r="97" spans="1:11" ht="15" x14ac:dyDescent="0.25">
      <c r="A97" s="2" t="s">
        <v>215</v>
      </c>
      <c r="C97" s="101"/>
      <c r="D97" s="101"/>
      <c r="E97" s="101"/>
      <c r="F97" s="97"/>
      <c r="G97" s="97"/>
      <c r="H97" s="97"/>
      <c r="I97" s="97"/>
      <c r="J97" s="97"/>
      <c r="K97" s="101"/>
    </row>
    <row r="98" spans="1:11" ht="15" x14ac:dyDescent="0.25">
      <c r="A98" s="27" t="s">
        <v>204</v>
      </c>
      <c r="C98" s="101"/>
      <c r="D98" s="102">
        <f t="shared" ref="D98:J98" si="20">SUM(D$30,D$80)</f>
        <v>9.9209999999999852</v>
      </c>
      <c r="E98" s="102">
        <f t="shared" si="20"/>
        <v>1.0090000000000199</v>
      </c>
      <c r="F98" s="103">
        <f t="shared" si="20"/>
        <v>16.241000000000017</v>
      </c>
      <c r="G98" s="103">
        <f t="shared" si="20"/>
        <v>10.290999999999981</v>
      </c>
      <c r="H98" s="103">
        <f t="shared" si="20"/>
        <v>12.172999999999981</v>
      </c>
      <c r="I98" s="103">
        <f t="shared" si="20"/>
        <v>15.41500000000001</v>
      </c>
      <c r="J98" s="103">
        <f t="shared" si="20"/>
        <v>17.166999999999987</v>
      </c>
      <c r="K98" s="101"/>
    </row>
    <row r="99" spans="1:11" ht="15" x14ac:dyDescent="0.25">
      <c r="A99" s="27"/>
      <c r="C99" s="101"/>
      <c r="D99" s="109"/>
      <c r="E99" s="109"/>
      <c r="F99" s="110"/>
      <c r="G99" s="110"/>
      <c r="H99" s="110"/>
      <c r="I99" s="110"/>
      <c r="J99" s="110"/>
      <c r="K99" s="101"/>
    </row>
    <row r="100" spans="1:11" x14ac:dyDescent="0.2">
      <c r="A100" s="1" t="s">
        <v>693</v>
      </c>
      <c r="B100" s="1" t="str">
        <f t="shared" ref="B100:B111" si="21">$B$11</f>
        <v>UIM</v>
      </c>
      <c r="C100" s="101"/>
      <c r="D100" s="101">
        <v>-0.69599999999999995</v>
      </c>
      <c r="E100" s="101">
        <v>-0.747</v>
      </c>
      <c r="F100" s="97">
        <v>-0.77100000000000002</v>
      </c>
      <c r="G100" s="97">
        <v>-1.1399999999999999</v>
      </c>
      <c r="H100" s="97">
        <v>-0.81</v>
      </c>
      <c r="I100" s="97">
        <v>-0.746</v>
      </c>
      <c r="J100" s="97">
        <v>-0.73</v>
      </c>
      <c r="K100" s="101"/>
    </row>
    <row r="101" spans="1:11" x14ac:dyDescent="0.2">
      <c r="A101" s="1" t="s">
        <v>205</v>
      </c>
      <c r="B101" s="1" t="str">
        <f t="shared" si="21"/>
        <v>UIM</v>
      </c>
      <c r="C101" s="101"/>
      <c r="D101" s="101">
        <v>-0.30499999999999999</v>
      </c>
      <c r="E101" s="101">
        <v>-0.16900000000000001</v>
      </c>
      <c r="F101" s="97">
        <v>5.5E-2</v>
      </c>
      <c r="G101" s="97">
        <v>-0.114</v>
      </c>
      <c r="H101" s="97">
        <v>-0.115</v>
      </c>
      <c r="I101" s="97">
        <v>-0.115</v>
      </c>
      <c r="J101" s="97">
        <v>-0.11700000000000001</v>
      </c>
      <c r="K101" s="101"/>
    </row>
    <row r="102" spans="1:11" x14ac:dyDescent="0.2">
      <c r="A102" s="1" t="s">
        <v>206</v>
      </c>
      <c r="B102" s="1" t="str">
        <f t="shared" si="21"/>
        <v>UIM</v>
      </c>
      <c r="C102" s="101"/>
      <c r="D102" s="101">
        <v>0.373</v>
      </c>
      <c r="E102" s="101">
        <v>0.42</v>
      </c>
      <c r="F102" s="97">
        <v>0.45500000000000002</v>
      </c>
      <c r="G102" s="97">
        <v>0.59</v>
      </c>
      <c r="H102" s="97">
        <v>0.54700000000000004</v>
      </c>
      <c r="I102" s="97">
        <v>0.53</v>
      </c>
      <c r="J102" s="97">
        <v>0.52100000000000002</v>
      </c>
      <c r="K102" s="101"/>
    </row>
    <row r="103" spans="1:11" x14ac:dyDescent="0.2">
      <c r="A103" s="1" t="s">
        <v>207</v>
      </c>
      <c r="B103" s="1" t="str">
        <f t="shared" si="21"/>
        <v>UIM</v>
      </c>
      <c r="C103" s="101"/>
      <c r="D103" s="101">
        <v>0.746</v>
      </c>
      <c r="E103" s="101">
        <v>-0.59699999999999998</v>
      </c>
      <c r="F103" s="97">
        <v>-1.1419999999999999</v>
      </c>
      <c r="G103" s="97">
        <v>0.125</v>
      </c>
      <c r="H103" s="97">
        <v>-1.0549999999999999</v>
      </c>
      <c r="I103" s="97">
        <v>-1.78</v>
      </c>
      <c r="J103" s="97">
        <v>-1.984</v>
      </c>
      <c r="K103" s="101"/>
    </row>
    <row r="104" spans="1:11" x14ac:dyDescent="0.2">
      <c r="A104" s="1" t="s">
        <v>177</v>
      </c>
      <c r="B104" s="1" t="str">
        <f t="shared" si="21"/>
        <v>UIM</v>
      </c>
      <c r="C104" s="101"/>
      <c r="D104" s="101">
        <v>0.69899999999999995</v>
      </c>
      <c r="E104" s="101">
        <v>-8.5000000000000006E-2</v>
      </c>
      <c r="F104" s="97">
        <v>7.9000000000000001E-2</v>
      </c>
      <c r="G104" s="97">
        <v>-0.185</v>
      </c>
      <c r="H104" s="97">
        <v>-0.17799999999999999</v>
      </c>
      <c r="I104" s="97">
        <v>-0.18099999999999999</v>
      </c>
      <c r="J104" s="97">
        <v>-0.17799999999999999</v>
      </c>
      <c r="K104" s="101"/>
    </row>
    <row r="105" spans="1:11" ht="15" x14ac:dyDescent="0.25">
      <c r="A105" s="27" t="s">
        <v>1292</v>
      </c>
      <c r="C105" s="101"/>
      <c r="D105" s="102">
        <f t="shared" ref="D105:J105" si="22">SUM(-D$17,D$100:D$104)</f>
        <v>-4.0249999999999986</v>
      </c>
      <c r="E105" s="102">
        <f t="shared" si="22"/>
        <v>-6.0529999999999999</v>
      </c>
      <c r="F105" s="103">
        <f t="shared" si="22"/>
        <v>-6.487000000000001</v>
      </c>
      <c r="G105" s="103">
        <f t="shared" si="22"/>
        <v>-6.0509999999999993</v>
      </c>
      <c r="H105" s="103">
        <f t="shared" si="22"/>
        <v>-7.1020000000000003</v>
      </c>
      <c r="I105" s="103">
        <f t="shared" si="22"/>
        <v>-7.8869999999999996</v>
      </c>
      <c r="J105" s="103">
        <f t="shared" si="22"/>
        <v>-8.1720000000000006</v>
      </c>
      <c r="K105" s="101"/>
    </row>
    <row r="106" spans="1:11" x14ac:dyDescent="0.2">
      <c r="A106" s="1" t="s">
        <v>208</v>
      </c>
      <c r="B106" s="1" t="str">
        <f t="shared" si="21"/>
        <v>UIM</v>
      </c>
      <c r="C106" s="101"/>
      <c r="D106" s="101">
        <v>0.14099999999999999</v>
      </c>
      <c r="E106" s="101">
        <v>-0.53200000000000003</v>
      </c>
      <c r="F106" s="97">
        <v>1.776</v>
      </c>
      <c r="G106" s="97">
        <v>0.22600000000000001</v>
      </c>
      <c r="H106" s="97">
        <v>0.82099999999999995</v>
      </c>
      <c r="I106" s="97">
        <v>0.53900000000000003</v>
      </c>
      <c r="J106" s="97">
        <v>0.751</v>
      </c>
      <c r="K106" s="101"/>
    </row>
    <row r="107" spans="1:11" x14ac:dyDescent="0.2">
      <c r="A107" s="1" t="s">
        <v>209</v>
      </c>
      <c r="B107" s="1" t="str">
        <f t="shared" si="21"/>
        <v>UIM</v>
      </c>
      <c r="C107" s="101"/>
      <c r="D107" s="101">
        <v>0.19600000000000001</v>
      </c>
      <c r="E107" s="101">
        <v>0.16900000000000001</v>
      </c>
      <c r="F107" s="97">
        <v>0.34300000000000003</v>
      </c>
      <c r="G107" s="97">
        <v>0.35899999999999999</v>
      </c>
      <c r="H107" s="97">
        <v>0.4</v>
      </c>
      <c r="I107" s="97">
        <v>0.35</v>
      </c>
      <c r="J107" s="97">
        <v>0.42199999999999999</v>
      </c>
      <c r="K107" s="101"/>
    </row>
    <row r="108" spans="1:11" x14ac:dyDescent="0.2">
      <c r="A108" s="1" t="s">
        <v>210</v>
      </c>
      <c r="B108" s="1" t="str">
        <f t="shared" si="21"/>
        <v>UIM</v>
      </c>
      <c r="C108" s="101"/>
      <c r="D108" s="101">
        <v>-0.105</v>
      </c>
      <c r="E108" s="101">
        <v>0.115</v>
      </c>
      <c r="F108" s="97">
        <v>2.4E-2</v>
      </c>
      <c r="G108" s="97">
        <v>-0.108</v>
      </c>
      <c r="H108" s="97">
        <v>-8.9999999999999993E-3</v>
      </c>
      <c r="I108" s="97">
        <v>6.0000000000000001E-3</v>
      </c>
      <c r="J108" s="97">
        <v>2.3E-2</v>
      </c>
      <c r="K108" s="101"/>
    </row>
    <row r="109" spans="1:11" x14ac:dyDescent="0.2">
      <c r="A109" s="1" t="s">
        <v>211</v>
      </c>
      <c r="B109" s="1" t="str">
        <f t="shared" si="21"/>
        <v>UIM</v>
      </c>
      <c r="C109" s="101"/>
      <c r="D109" s="101">
        <v>-1.2E-2</v>
      </c>
      <c r="E109" s="101">
        <v>7.0000000000000007E-2</v>
      </c>
      <c r="F109" s="97">
        <v>-1.7000000000000001E-2</v>
      </c>
      <c r="G109" s="97">
        <v>-1.7000000000000001E-2</v>
      </c>
      <c r="H109" s="97">
        <v>8.0000000000000002E-3</v>
      </c>
      <c r="I109" s="97">
        <v>2E-3</v>
      </c>
      <c r="J109" s="97">
        <v>4.3999999999999997E-2</v>
      </c>
      <c r="K109" s="101"/>
    </row>
    <row r="110" spans="1:11" x14ac:dyDescent="0.2">
      <c r="A110" s="1" t="s">
        <v>212</v>
      </c>
      <c r="B110" s="1" t="str">
        <f t="shared" si="21"/>
        <v>UIM</v>
      </c>
      <c r="C110" s="101"/>
      <c r="D110" s="101">
        <v>-0.14899999999999999</v>
      </c>
      <c r="E110" s="101">
        <v>-6.6000000000000003E-2</v>
      </c>
      <c r="F110" s="97">
        <v>0.11899999999999999</v>
      </c>
      <c r="G110" s="97">
        <v>-4.8000000000000001E-2</v>
      </c>
      <c r="H110" s="97">
        <v>-7.3999999999999996E-2</v>
      </c>
      <c r="I110" s="97">
        <v>-5.0000000000000001E-3</v>
      </c>
      <c r="J110" s="97">
        <v>-4.3999999999999997E-2</v>
      </c>
      <c r="K110" s="101"/>
    </row>
    <row r="111" spans="1:11" x14ac:dyDescent="0.2">
      <c r="A111" s="1" t="s">
        <v>213</v>
      </c>
      <c r="B111" s="1" t="str">
        <f t="shared" si="21"/>
        <v>UIM</v>
      </c>
      <c r="C111" s="101"/>
      <c r="D111" s="101">
        <v>-0.19600000000000001</v>
      </c>
      <c r="E111" s="101">
        <v>-8.1000000000000003E-2</v>
      </c>
      <c r="F111" s="97">
        <v>-0.52300000000000002</v>
      </c>
      <c r="G111" s="97">
        <v>0.96799999999999997</v>
      </c>
      <c r="H111" s="97">
        <v>0.38100000000000001</v>
      </c>
      <c r="I111" s="97">
        <v>0.75800000000000001</v>
      </c>
      <c r="J111" s="97">
        <v>-5.2999999999999999E-2</v>
      </c>
      <c r="K111" s="101"/>
    </row>
    <row r="112" spans="1:11" ht="15" x14ac:dyDescent="0.25">
      <c r="A112" s="27" t="s">
        <v>214</v>
      </c>
      <c r="C112" s="101"/>
      <c r="D112" s="102">
        <f t="shared" ref="D112:J112" si="23">SUM(D$106:D$111)</f>
        <v>-0.12500000000000003</v>
      </c>
      <c r="E112" s="102">
        <f t="shared" si="23"/>
        <v>-0.32500000000000001</v>
      </c>
      <c r="F112" s="103">
        <f t="shared" si="23"/>
        <v>1.722</v>
      </c>
      <c r="G112" s="103">
        <f t="shared" si="23"/>
        <v>1.38</v>
      </c>
      <c r="H112" s="103">
        <f t="shared" si="23"/>
        <v>1.5270000000000001</v>
      </c>
      <c r="I112" s="103">
        <f t="shared" si="23"/>
        <v>1.65</v>
      </c>
      <c r="J112" s="103">
        <f t="shared" si="23"/>
        <v>1.143</v>
      </c>
      <c r="K112" s="101"/>
    </row>
    <row r="113" spans="1:11" ht="15" x14ac:dyDescent="0.25">
      <c r="A113" s="27" t="s">
        <v>217</v>
      </c>
      <c r="C113" s="101"/>
      <c r="D113" s="106" t="str">
        <f t="shared" ref="D113:J113" si="24">IF(ROUND(D$32-(D$98+D$105+D$112),3)=0,"OK","ERROR")</f>
        <v>OK</v>
      </c>
      <c r="E113" s="106" t="str">
        <f t="shared" si="24"/>
        <v>OK</v>
      </c>
      <c r="F113" s="107" t="str">
        <f t="shared" si="24"/>
        <v>OK</v>
      </c>
      <c r="G113" s="107" t="str">
        <f t="shared" si="24"/>
        <v>OK</v>
      </c>
      <c r="H113" s="107" t="str">
        <f t="shared" si="24"/>
        <v>OK</v>
      </c>
      <c r="I113" s="107" t="str">
        <f t="shared" si="24"/>
        <v>OK</v>
      </c>
      <c r="J113" s="107" t="str">
        <f t="shared" si="24"/>
        <v>OK</v>
      </c>
      <c r="K113" s="101"/>
    </row>
    <row r="114" spans="1:11" ht="15" x14ac:dyDescent="0.25">
      <c r="A114" s="2" t="s">
        <v>218</v>
      </c>
      <c r="C114" s="101"/>
      <c r="D114" s="101"/>
      <c r="E114" s="101"/>
      <c r="F114" s="97"/>
      <c r="G114" s="97"/>
      <c r="H114" s="97"/>
      <c r="I114" s="97"/>
      <c r="J114" s="97"/>
      <c r="K114" s="101"/>
    </row>
    <row r="115" spans="1:11" ht="15" x14ac:dyDescent="0.25">
      <c r="A115" s="1" t="s">
        <v>219</v>
      </c>
      <c r="B115" s="1" t="str">
        <f t="shared" ref="B115:B130" si="25">$B$11</f>
        <v>UIM</v>
      </c>
      <c r="C115" s="104">
        <v>11.888</v>
      </c>
      <c r="D115" s="101">
        <v>11.981999999999999</v>
      </c>
      <c r="E115" s="101">
        <v>15.617000000000001</v>
      </c>
      <c r="F115" s="97">
        <v>18.975999999999999</v>
      </c>
      <c r="G115" s="97">
        <v>16.579999999999998</v>
      </c>
      <c r="H115" s="97">
        <v>16.523</v>
      </c>
      <c r="I115" s="97">
        <v>16.850000000000001</v>
      </c>
      <c r="J115" s="97">
        <v>17.288</v>
      </c>
      <c r="K115" s="101"/>
    </row>
    <row r="116" spans="1:11" x14ac:dyDescent="0.2">
      <c r="A116" s="1" t="s">
        <v>220</v>
      </c>
      <c r="B116" s="1" t="str">
        <f t="shared" si="25"/>
        <v>UIM</v>
      </c>
      <c r="C116" s="101"/>
      <c r="D116" s="101">
        <v>17.602</v>
      </c>
      <c r="E116" s="101">
        <v>16.789000000000001</v>
      </c>
      <c r="F116" s="97">
        <v>18.568999999999999</v>
      </c>
      <c r="G116" s="97">
        <v>18.163</v>
      </c>
      <c r="H116" s="97">
        <v>19.021000000000001</v>
      </c>
      <c r="I116" s="97">
        <v>19.600000000000001</v>
      </c>
      <c r="J116" s="97">
        <v>20.393000000000001</v>
      </c>
      <c r="K116" s="101"/>
    </row>
    <row r="117" spans="1:11" x14ac:dyDescent="0.2">
      <c r="A117" s="1" t="s">
        <v>221</v>
      </c>
      <c r="B117" s="1" t="str">
        <f t="shared" si="25"/>
        <v>UIM</v>
      </c>
      <c r="C117" s="101"/>
      <c r="D117" s="101">
        <v>54.298000000000002</v>
      </c>
      <c r="E117" s="101">
        <v>53.398000000000003</v>
      </c>
      <c r="F117" s="97">
        <v>49.384</v>
      </c>
      <c r="G117" s="97">
        <v>44.738</v>
      </c>
      <c r="H117" s="97">
        <v>44.886000000000003</v>
      </c>
      <c r="I117" s="97">
        <v>47.463999999999999</v>
      </c>
      <c r="J117" s="97">
        <v>45.316000000000003</v>
      </c>
      <c r="K117" s="101"/>
    </row>
    <row r="118" spans="1:11" x14ac:dyDescent="0.2">
      <c r="A118" s="1" t="s">
        <v>222</v>
      </c>
      <c r="B118" s="1" t="str">
        <f t="shared" si="25"/>
        <v>UIM</v>
      </c>
      <c r="C118" s="101"/>
      <c r="D118" s="101">
        <v>25.408000000000001</v>
      </c>
      <c r="E118" s="101">
        <v>24.216999999999999</v>
      </c>
      <c r="F118" s="97">
        <v>30.786999999999999</v>
      </c>
      <c r="G118" s="97">
        <v>32.844000000000001</v>
      </c>
      <c r="H118" s="97">
        <v>34.798000000000002</v>
      </c>
      <c r="I118" s="97">
        <v>36.994999999999997</v>
      </c>
      <c r="J118" s="97">
        <v>41.037999999999997</v>
      </c>
      <c r="K118" s="101"/>
    </row>
    <row r="119" spans="1:11" x14ac:dyDescent="0.2">
      <c r="A119" s="1" t="s">
        <v>223</v>
      </c>
      <c r="B119" s="1" t="str">
        <f t="shared" si="25"/>
        <v>UIM</v>
      </c>
      <c r="C119" s="101"/>
      <c r="D119" s="101">
        <v>26.497</v>
      </c>
      <c r="E119" s="101">
        <v>28.234000000000002</v>
      </c>
      <c r="F119" s="97">
        <v>28.64</v>
      </c>
      <c r="G119" s="97">
        <v>30.042000000000002</v>
      </c>
      <c r="H119" s="97">
        <v>31.29</v>
      </c>
      <c r="I119" s="97">
        <v>32.411000000000001</v>
      </c>
      <c r="J119" s="97">
        <v>33.335999999999999</v>
      </c>
      <c r="K119" s="101"/>
    </row>
    <row r="120" spans="1:11" x14ac:dyDescent="0.2">
      <c r="A120" s="1" t="s">
        <v>224</v>
      </c>
      <c r="B120" s="1" t="str">
        <f t="shared" si="25"/>
        <v>UIM</v>
      </c>
      <c r="C120" s="101"/>
      <c r="D120" s="101">
        <v>0.995</v>
      </c>
      <c r="E120" s="101">
        <v>1.1100000000000001</v>
      </c>
      <c r="F120" s="97">
        <v>1.133</v>
      </c>
      <c r="G120" s="97">
        <v>1.026</v>
      </c>
      <c r="H120" s="97">
        <v>1.0169999999999999</v>
      </c>
      <c r="I120" s="97">
        <v>1.022</v>
      </c>
      <c r="J120" s="97">
        <v>1.0449999999999999</v>
      </c>
      <c r="K120" s="101"/>
    </row>
    <row r="121" spans="1:11" x14ac:dyDescent="0.2">
      <c r="A121" s="1" t="s">
        <v>225</v>
      </c>
      <c r="B121" s="1" t="str">
        <f t="shared" si="25"/>
        <v>UIM</v>
      </c>
      <c r="C121" s="101"/>
      <c r="D121" s="101">
        <v>2.3889999999999998</v>
      </c>
      <c r="E121" s="101">
        <v>2.9140000000000001</v>
      </c>
      <c r="F121" s="97">
        <v>2.8969999999999998</v>
      </c>
      <c r="G121" s="97">
        <v>2.4900000000000002</v>
      </c>
      <c r="H121" s="97">
        <v>2.5089999999999999</v>
      </c>
      <c r="I121" s="97">
        <v>2.5299999999999998</v>
      </c>
      <c r="J121" s="97">
        <v>2.59</v>
      </c>
      <c r="K121" s="101"/>
    </row>
    <row r="122" spans="1:11" x14ac:dyDescent="0.2">
      <c r="A122" s="1" t="s">
        <v>226</v>
      </c>
      <c r="B122" s="1" t="str">
        <f>$B$9</f>
        <v>NAC</v>
      </c>
      <c r="C122" s="101"/>
      <c r="D122" s="101">
        <v>124.55800000000001</v>
      </c>
      <c r="E122" s="101">
        <v>134.499</v>
      </c>
      <c r="F122" s="97">
        <v>144.126</v>
      </c>
      <c r="G122" s="97">
        <v>148.85300000000001</v>
      </c>
      <c r="H122" s="97">
        <v>153.054</v>
      </c>
      <c r="I122" s="97">
        <v>155.53899999999999</v>
      </c>
      <c r="J122" s="97">
        <v>156.68799999999999</v>
      </c>
      <c r="K122" s="101"/>
    </row>
    <row r="123" spans="1:11" x14ac:dyDescent="0.2">
      <c r="A123" s="1" t="s">
        <v>227</v>
      </c>
      <c r="B123" s="1" t="str">
        <f t="shared" si="25"/>
        <v>UIM</v>
      </c>
      <c r="C123" s="101"/>
      <c r="D123" s="101">
        <v>11.917999999999999</v>
      </c>
      <c r="E123" s="101">
        <v>12.705</v>
      </c>
      <c r="F123" s="97">
        <v>14.167</v>
      </c>
      <c r="G123" s="97">
        <v>14.351000000000001</v>
      </c>
      <c r="H123" s="97">
        <v>14.547000000000001</v>
      </c>
      <c r="I123" s="97">
        <v>14.74</v>
      </c>
      <c r="J123" s="97">
        <v>14.935</v>
      </c>
      <c r="K123" s="101"/>
    </row>
    <row r="124" spans="1:11" x14ac:dyDescent="0.2">
      <c r="A124" s="1" t="s">
        <v>228</v>
      </c>
      <c r="B124" s="1" t="str">
        <f>$B$9</f>
        <v>NAC</v>
      </c>
      <c r="C124" s="101"/>
      <c r="D124" s="101">
        <v>3.056</v>
      </c>
      <c r="E124" s="101">
        <v>3.1960000000000002</v>
      </c>
      <c r="F124" s="97">
        <v>3.5310000000000001</v>
      </c>
      <c r="G124" s="97">
        <v>3.8069999999999999</v>
      </c>
      <c r="H124" s="97">
        <v>3.8519999999999999</v>
      </c>
      <c r="I124" s="97">
        <v>3.8180000000000001</v>
      </c>
      <c r="J124" s="97">
        <v>3.7090000000000001</v>
      </c>
      <c r="K124" s="101"/>
    </row>
    <row r="125" spans="1:11" x14ac:dyDescent="0.2">
      <c r="A125" s="1" t="s">
        <v>229</v>
      </c>
      <c r="C125" s="101"/>
      <c r="D125" s="101">
        <v>0</v>
      </c>
      <c r="E125" s="101">
        <v>0</v>
      </c>
      <c r="F125" s="97">
        <v>0</v>
      </c>
      <c r="G125" s="97">
        <v>0.34599999999999997</v>
      </c>
      <c r="H125" s="97">
        <v>1.6990000000000001</v>
      </c>
      <c r="I125" s="97">
        <v>3.2839999999999998</v>
      </c>
      <c r="J125" s="97">
        <v>5.0190000000000001</v>
      </c>
      <c r="K125" s="101"/>
    </row>
    <row r="126" spans="1:11" x14ac:dyDescent="0.2">
      <c r="A126" s="1" t="s">
        <v>230</v>
      </c>
      <c r="C126" s="101"/>
      <c r="D126" s="101">
        <v>0</v>
      </c>
      <c r="E126" s="101">
        <v>0</v>
      </c>
      <c r="F126" s="97">
        <v>0</v>
      </c>
      <c r="G126" s="97">
        <v>-0.99</v>
      </c>
      <c r="H126" s="97">
        <v>-1.1399999999999999</v>
      </c>
      <c r="I126" s="97">
        <v>-1.38</v>
      </c>
      <c r="J126" s="97">
        <v>-1.38</v>
      </c>
      <c r="K126" s="101"/>
    </row>
    <row r="127" spans="1:11" ht="15" x14ac:dyDescent="0.25">
      <c r="A127" s="27" t="s">
        <v>231</v>
      </c>
      <c r="C127" s="101"/>
      <c r="D127" s="102">
        <f t="shared" ref="D127:J127" si="26">SUM(D$115:D$126)</f>
        <v>278.70300000000003</v>
      </c>
      <c r="E127" s="102">
        <f t="shared" si="26"/>
        <v>292.67900000000003</v>
      </c>
      <c r="F127" s="103">
        <f t="shared" si="26"/>
        <v>312.20999999999998</v>
      </c>
      <c r="G127" s="103">
        <f t="shared" si="26"/>
        <v>312.25</v>
      </c>
      <c r="H127" s="103">
        <f t="shared" si="26"/>
        <v>322.05599999999998</v>
      </c>
      <c r="I127" s="103">
        <f t="shared" si="26"/>
        <v>332.87299999999993</v>
      </c>
      <c r="J127" s="103">
        <f t="shared" si="26"/>
        <v>339.97699999999998</v>
      </c>
      <c r="K127" s="101"/>
    </row>
    <row r="128" spans="1:11" x14ac:dyDescent="0.2">
      <c r="A128" s="1" t="s">
        <v>232</v>
      </c>
      <c r="B128" s="1" t="str">
        <f t="shared" si="25"/>
        <v>UIM</v>
      </c>
      <c r="C128" s="101"/>
      <c r="D128" s="101">
        <v>5.3360000000000003</v>
      </c>
      <c r="E128" s="101">
        <v>5.7149999999999999</v>
      </c>
      <c r="F128" s="97">
        <v>6.0170000000000003</v>
      </c>
      <c r="G128" s="97">
        <v>6.1950000000000003</v>
      </c>
      <c r="H128" s="97">
        <v>6.3789999999999996</v>
      </c>
      <c r="I128" s="97">
        <v>6.5679999999999996</v>
      </c>
      <c r="J128" s="97">
        <v>6.7619999999999996</v>
      </c>
      <c r="K128" s="101"/>
    </row>
    <row r="129" spans="1:11" x14ac:dyDescent="0.2">
      <c r="A129" s="1" t="s">
        <v>233</v>
      </c>
      <c r="B129" s="1" t="str">
        <f t="shared" si="25"/>
        <v>UIM</v>
      </c>
      <c r="C129" s="101"/>
      <c r="D129" s="101">
        <v>11.952999999999999</v>
      </c>
      <c r="E129" s="101">
        <v>12.029</v>
      </c>
      <c r="F129" s="97">
        <v>14.313000000000001</v>
      </c>
      <c r="G129" s="97">
        <v>11.704000000000001</v>
      </c>
      <c r="H129" s="97">
        <v>11.968999999999999</v>
      </c>
      <c r="I129" s="97">
        <v>11.877000000000001</v>
      </c>
      <c r="J129" s="97">
        <v>11.951000000000001</v>
      </c>
      <c r="K129" s="101"/>
    </row>
    <row r="130" spans="1:11" x14ac:dyDescent="0.2">
      <c r="A130" s="1" t="s">
        <v>234</v>
      </c>
      <c r="B130" s="1" t="str">
        <f t="shared" si="25"/>
        <v>UIM</v>
      </c>
      <c r="C130" s="101"/>
      <c r="D130" s="101">
        <v>2.1120000000000001</v>
      </c>
      <c r="E130" s="101">
        <v>2.1779999999999999</v>
      </c>
      <c r="F130" s="97">
        <v>2.0579999999999998</v>
      </c>
      <c r="G130" s="97">
        <v>2.1070000000000002</v>
      </c>
      <c r="H130" s="97">
        <v>2.1800000000000002</v>
      </c>
      <c r="I130" s="97">
        <v>2.1850000000000001</v>
      </c>
      <c r="J130" s="97">
        <v>2.2290000000000001</v>
      </c>
      <c r="K130" s="101"/>
    </row>
    <row r="131" spans="1:11" x14ac:dyDescent="0.2">
      <c r="A131" s="1" t="s">
        <v>235</v>
      </c>
      <c r="B131" s="1" t="str">
        <f>$B$11</f>
        <v>UIM</v>
      </c>
      <c r="C131" s="101"/>
      <c r="D131" s="101">
        <v>112.58</v>
      </c>
      <c r="E131" s="101">
        <v>113.956</v>
      </c>
      <c r="F131" s="97">
        <v>112.962</v>
      </c>
      <c r="G131" s="97">
        <v>110.59399999999999</v>
      </c>
      <c r="H131" s="97">
        <v>113.185</v>
      </c>
      <c r="I131" s="97">
        <v>113.94</v>
      </c>
      <c r="J131" s="97">
        <v>109.46599999999999</v>
      </c>
      <c r="K131" s="101"/>
    </row>
    <row r="132" spans="1:11" x14ac:dyDescent="0.2">
      <c r="A132" s="1" t="s">
        <v>236</v>
      </c>
      <c r="B132" s="1" t="str">
        <f>$B$9</f>
        <v>NAC</v>
      </c>
      <c r="C132" s="101"/>
      <c r="D132" s="101">
        <v>36.430999999999997</v>
      </c>
      <c r="E132" s="101">
        <v>42.125999999999998</v>
      </c>
      <c r="F132" s="97">
        <v>42.881</v>
      </c>
      <c r="G132" s="97">
        <v>42.756</v>
      </c>
      <c r="H132" s="97">
        <v>43.811</v>
      </c>
      <c r="I132" s="97">
        <v>45.591000000000001</v>
      </c>
      <c r="J132" s="97">
        <v>47.573999999999998</v>
      </c>
      <c r="K132" s="101"/>
    </row>
    <row r="133" spans="1:11" x14ac:dyDescent="0.2">
      <c r="A133" s="1" t="s">
        <v>237</v>
      </c>
      <c r="B133" s="1" t="str">
        <f>$B$11</f>
        <v>UIM</v>
      </c>
      <c r="C133" s="101"/>
      <c r="D133" s="101">
        <v>10.834</v>
      </c>
      <c r="E133" s="101">
        <v>12.442</v>
      </c>
      <c r="F133" s="97">
        <v>11.005000000000001</v>
      </c>
      <c r="G133" s="97">
        <v>10.414999999999999</v>
      </c>
      <c r="H133" s="97">
        <v>9.8680000000000003</v>
      </c>
      <c r="I133" s="97">
        <v>9.3379999999999992</v>
      </c>
      <c r="J133" s="97">
        <v>8.8170000000000002</v>
      </c>
      <c r="K133" s="101"/>
    </row>
    <row r="134" spans="1:11" x14ac:dyDescent="0.2">
      <c r="A134" s="1" t="s">
        <v>238</v>
      </c>
      <c r="B134" s="1" t="str">
        <f>$B$11</f>
        <v>UIM</v>
      </c>
      <c r="C134" s="101"/>
      <c r="D134" s="101">
        <v>7.2210000000000001</v>
      </c>
      <c r="E134" s="101">
        <v>8.7119999999999997</v>
      </c>
      <c r="F134" s="97">
        <v>8.2629999999999999</v>
      </c>
      <c r="G134" s="97">
        <v>8.1289999999999996</v>
      </c>
      <c r="H134" s="97">
        <v>7.7460000000000004</v>
      </c>
      <c r="I134" s="97">
        <v>7.3049999999999997</v>
      </c>
      <c r="J134" s="97">
        <v>6.9859999999999998</v>
      </c>
      <c r="K134" s="101"/>
    </row>
    <row r="135" spans="1:11" ht="15" x14ac:dyDescent="0.25">
      <c r="A135" s="27" t="s">
        <v>239</v>
      </c>
      <c r="C135" s="101"/>
      <c r="D135" s="102">
        <f t="shared" ref="D135:J135" si="27">SUM(D$128:D$134)</f>
        <v>186.46699999999998</v>
      </c>
      <c r="E135" s="102">
        <f t="shared" si="27"/>
        <v>197.15800000000002</v>
      </c>
      <c r="F135" s="103">
        <f t="shared" si="27"/>
        <v>197.499</v>
      </c>
      <c r="G135" s="103">
        <f t="shared" si="27"/>
        <v>191.89999999999998</v>
      </c>
      <c r="H135" s="103">
        <f t="shared" si="27"/>
        <v>195.13800000000001</v>
      </c>
      <c r="I135" s="103">
        <f t="shared" si="27"/>
        <v>196.804</v>
      </c>
      <c r="J135" s="103">
        <f t="shared" si="27"/>
        <v>193.78499999999997</v>
      </c>
      <c r="K135" s="101"/>
    </row>
    <row r="136" spans="1:11" ht="15" x14ac:dyDescent="0.25">
      <c r="A136" s="27" t="s">
        <v>240</v>
      </c>
      <c r="C136" s="101"/>
      <c r="D136" s="104">
        <v>92.236000000000004</v>
      </c>
      <c r="E136" s="104">
        <v>95.521000000000001</v>
      </c>
      <c r="F136" s="105">
        <v>114.711</v>
      </c>
      <c r="G136" s="105">
        <v>120.35</v>
      </c>
      <c r="H136" s="105">
        <v>126.91800000000001</v>
      </c>
      <c r="I136" s="105">
        <v>136.06899999999999</v>
      </c>
      <c r="J136" s="105">
        <v>146.19200000000001</v>
      </c>
      <c r="K136" s="101"/>
    </row>
    <row r="137" spans="1:11" ht="15" x14ac:dyDescent="0.25">
      <c r="A137" s="27" t="s">
        <v>241</v>
      </c>
      <c r="C137" s="101"/>
      <c r="D137" s="106" t="str">
        <f t="shared" ref="D137:J137" si="28">IF(ROUND(D$136-(D$127-D$135),3)=0,"OK","ERROR")</f>
        <v>OK</v>
      </c>
      <c r="E137" s="106" t="str">
        <f t="shared" si="28"/>
        <v>OK</v>
      </c>
      <c r="F137" s="107" t="str">
        <f t="shared" si="28"/>
        <v>OK</v>
      </c>
      <c r="G137" s="107" t="str">
        <f t="shared" si="28"/>
        <v>OK</v>
      </c>
      <c r="H137" s="107" t="str">
        <f t="shared" si="28"/>
        <v>OK</v>
      </c>
      <c r="I137" s="107" t="str">
        <f t="shared" si="28"/>
        <v>OK</v>
      </c>
      <c r="J137" s="107" t="str">
        <f t="shared" si="28"/>
        <v>OK</v>
      </c>
      <c r="K137" s="101"/>
    </row>
    <row r="138" spans="1:11" ht="15" x14ac:dyDescent="0.25">
      <c r="A138" s="27" t="s">
        <v>242</v>
      </c>
      <c r="B138" s="1" t="str">
        <f>$B$11</f>
        <v>UIM</v>
      </c>
      <c r="C138" s="101"/>
      <c r="D138" s="101">
        <v>5.782</v>
      </c>
      <c r="E138" s="101">
        <v>6.1550000000000002</v>
      </c>
      <c r="F138" s="97">
        <v>5.8330000000000002</v>
      </c>
      <c r="G138" s="97">
        <v>5.8380000000000001</v>
      </c>
      <c r="H138" s="97">
        <v>5.7629999999999999</v>
      </c>
      <c r="I138" s="97">
        <v>5.6909999999999998</v>
      </c>
      <c r="J138" s="97">
        <v>5.6230000000000002</v>
      </c>
      <c r="K138" s="101"/>
    </row>
    <row r="139" spans="1:11" ht="15" x14ac:dyDescent="0.25">
      <c r="A139" s="2" t="s">
        <v>243</v>
      </c>
      <c r="C139" s="101"/>
      <c r="D139" s="97"/>
      <c r="E139" s="97"/>
      <c r="F139" s="97"/>
      <c r="G139" s="97"/>
      <c r="H139" s="97"/>
      <c r="I139" s="97"/>
      <c r="J139" s="97"/>
      <c r="K139" s="101"/>
    </row>
    <row r="140" spans="1:11" x14ac:dyDescent="0.2">
      <c r="A140" s="1" t="s">
        <v>244</v>
      </c>
      <c r="B140" s="1" t="str">
        <f>$B$11</f>
        <v>UIM</v>
      </c>
      <c r="C140" s="101"/>
      <c r="D140" s="101">
        <v>95.649000000000001</v>
      </c>
      <c r="E140" s="101">
        <v>95.037000000000006</v>
      </c>
      <c r="F140" s="97">
        <v>94.478999999999999</v>
      </c>
      <c r="G140" s="97">
        <v>91.134</v>
      </c>
      <c r="H140" s="97">
        <v>91.754000000000005</v>
      </c>
      <c r="I140" s="97">
        <v>91.415999999999997</v>
      </c>
      <c r="J140" s="97">
        <v>86.225999999999999</v>
      </c>
      <c r="K140" s="101"/>
    </row>
    <row r="141" spans="1:11" x14ac:dyDescent="0.2">
      <c r="A141" s="1" t="s">
        <v>245</v>
      </c>
      <c r="B141" s="1" t="str">
        <f>$B$11</f>
        <v>UIM</v>
      </c>
      <c r="C141" s="101"/>
      <c r="D141" s="101">
        <v>2.4929999999999999</v>
      </c>
      <c r="E141" s="101">
        <v>1.754</v>
      </c>
      <c r="F141" s="97">
        <v>1.4370000000000001</v>
      </c>
      <c r="G141" s="97">
        <v>1.4450000000000001</v>
      </c>
      <c r="H141" s="97">
        <v>1.4570000000000001</v>
      </c>
      <c r="I141" s="97">
        <v>1.466</v>
      </c>
      <c r="J141" s="97">
        <v>1.4690000000000001</v>
      </c>
      <c r="K141" s="101"/>
    </row>
    <row r="142" spans="1:11" ht="15" x14ac:dyDescent="0.25">
      <c r="A142" s="27" t="s">
        <v>246</v>
      </c>
      <c r="C142" s="101"/>
      <c r="D142" s="102">
        <f t="shared" ref="D142:I142" si="29">D$140-D$141</f>
        <v>93.156000000000006</v>
      </c>
      <c r="E142" s="102">
        <f t="shared" si="29"/>
        <v>93.283000000000001</v>
      </c>
      <c r="F142" s="103">
        <f t="shared" si="29"/>
        <v>93.042000000000002</v>
      </c>
      <c r="G142" s="103">
        <f t="shared" si="29"/>
        <v>89.689000000000007</v>
      </c>
      <c r="H142" s="103">
        <f t="shared" si="29"/>
        <v>90.297000000000011</v>
      </c>
      <c r="I142" s="103">
        <f t="shared" si="29"/>
        <v>89.95</v>
      </c>
      <c r="J142" s="103">
        <f>J$140-J$141</f>
        <v>84.757000000000005</v>
      </c>
      <c r="K142" s="101"/>
    </row>
    <row r="143" spans="1:11" x14ac:dyDescent="0.2">
      <c r="A143" s="1" t="s">
        <v>247</v>
      </c>
      <c r="B143" s="1" t="str">
        <f>$B$11</f>
        <v>UIM</v>
      </c>
      <c r="C143" s="101"/>
      <c r="D143" s="101">
        <v>76.433999999999997</v>
      </c>
      <c r="E143" s="101">
        <v>75.793000000000006</v>
      </c>
      <c r="F143" s="97">
        <v>80.343000000000004</v>
      </c>
      <c r="G143" s="97">
        <v>76.272999999999996</v>
      </c>
      <c r="H143" s="97">
        <v>77.998999999999995</v>
      </c>
      <c r="I143" s="97">
        <v>81.927999999999997</v>
      </c>
      <c r="J143" s="97">
        <v>82.801000000000002</v>
      </c>
      <c r="K143" s="101"/>
    </row>
    <row r="144" spans="1:11" ht="15" x14ac:dyDescent="0.25">
      <c r="A144" s="27" t="s">
        <v>248</v>
      </c>
      <c r="C144" s="101"/>
      <c r="D144" s="102">
        <f t="shared" ref="D144:J144" si="30">D$142-D$143</f>
        <v>16.722000000000008</v>
      </c>
      <c r="E144" s="102">
        <f t="shared" si="30"/>
        <v>17.489999999999995</v>
      </c>
      <c r="F144" s="103">
        <f t="shared" si="30"/>
        <v>12.698999999999998</v>
      </c>
      <c r="G144" s="103">
        <f t="shared" si="30"/>
        <v>13.416000000000011</v>
      </c>
      <c r="H144" s="103">
        <f t="shared" si="30"/>
        <v>12.298000000000016</v>
      </c>
      <c r="I144" s="103">
        <f t="shared" si="30"/>
        <v>8.0220000000000056</v>
      </c>
      <c r="J144" s="103">
        <f t="shared" si="30"/>
        <v>1.9560000000000031</v>
      </c>
      <c r="K144" s="101"/>
    </row>
    <row r="145" spans="1:11" x14ac:dyDescent="0.2">
      <c r="A145" s="1" t="s">
        <v>249</v>
      </c>
      <c r="B145" s="1" t="str">
        <f>$B$11</f>
        <v>UIM</v>
      </c>
      <c r="C145" s="101"/>
      <c r="D145" s="101">
        <v>14.14</v>
      </c>
      <c r="E145" s="101">
        <v>14.612</v>
      </c>
      <c r="F145" s="97">
        <v>12.04</v>
      </c>
      <c r="G145" s="97">
        <v>12.285</v>
      </c>
      <c r="H145" s="97">
        <v>12.433999999999999</v>
      </c>
      <c r="I145" s="97">
        <v>12.368</v>
      </c>
      <c r="J145" s="97">
        <v>12.292</v>
      </c>
      <c r="K145" s="101"/>
    </row>
    <row r="146" spans="1:11" x14ac:dyDescent="0.2">
      <c r="A146" s="1" t="s">
        <v>250</v>
      </c>
      <c r="B146" s="1" t="str">
        <f>$B$11</f>
        <v>UIM</v>
      </c>
      <c r="C146" s="101"/>
      <c r="D146" s="101">
        <v>29.768999999999998</v>
      </c>
      <c r="E146" s="101">
        <v>29.777999999999999</v>
      </c>
      <c r="F146" s="97">
        <v>35.820999999999998</v>
      </c>
      <c r="G146" s="97">
        <v>36.537999999999997</v>
      </c>
      <c r="H146" s="97">
        <v>38.981999999999999</v>
      </c>
      <c r="I146" s="97">
        <v>41.588000000000001</v>
      </c>
      <c r="J146" s="97">
        <v>46.558999999999997</v>
      </c>
      <c r="K146" s="101"/>
    </row>
    <row r="147" spans="1:11" ht="15" x14ac:dyDescent="0.25">
      <c r="A147" s="27" t="s">
        <v>251</v>
      </c>
      <c r="B147" s="1" t="str">
        <f>$B$11</f>
        <v>UIM</v>
      </c>
      <c r="C147" s="101"/>
      <c r="D147" s="104">
        <v>60.631</v>
      </c>
      <c r="E147" s="104">
        <v>61.88</v>
      </c>
      <c r="F147" s="105">
        <v>60.56</v>
      </c>
      <c r="G147" s="105">
        <v>62.238999999999997</v>
      </c>
      <c r="H147" s="105">
        <v>63.713999999999999</v>
      </c>
      <c r="I147" s="105">
        <v>61.978000000000002</v>
      </c>
      <c r="J147" s="105">
        <v>60.807000000000002</v>
      </c>
      <c r="K147" s="101"/>
    </row>
    <row r="148" spans="1:11" ht="15" x14ac:dyDescent="0.25">
      <c r="A148" s="27" t="s">
        <v>1294</v>
      </c>
      <c r="C148" s="101"/>
      <c r="D148" s="106" t="str">
        <f t="shared" ref="D148:J148" si="31">IF(ROUND(D$147-SUM(D$144:D$146),3)=0,"OK","ERROR")</f>
        <v>OK</v>
      </c>
      <c r="E148" s="106" t="str">
        <f t="shared" si="31"/>
        <v>OK</v>
      </c>
      <c r="F148" s="107" t="str">
        <f t="shared" si="31"/>
        <v>OK</v>
      </c>
      <c r="G148" s="107" t="str">
        <f t="shared" si="31"/>
        <v>OK</v>
      </c>
      <c r="H148" s="107" t="str">
        <f t="shared" si="31"/>
        <v>OK</v>
      </c>
      <c r="I148" s="107" t="str">
        <f t="shared" si="31"/>
        <v>OK</v>
      </c>
      <c r="J148" s="107" t="str">
        <f t="shared" si="31"/>
        <v>OK</v>
      </c>
      <c r="K148" s="101"/>
    </row>
    <row r="149" spans="1:11" ht="15" x14ac:dyDescent="0.25">
      <c r="A149" s="2" t="s">
        <v>264</v>
      </c>
      <c r="C149" s="101"/>
      <c r="D149" s="97"/>
      <c r="E149" s="97"/>
      <c r="F149" s="97"/>
      <c r="G149" s="97"/>
      <c r="H149" s="97"/>
      <c r="I149" s="97"/>
      <c r="J149" s="97"/>
      <c r="K149" s="101"/>
    </row>
    <row r="150" spans="1:11" x14ac:dyDescent="0.2">
      <c r="A150" s="1" t="s">
        <v>143</v>
      </c>
      <c r="B150" s="1" t="str">
        <f>$B$11</f>
        <v>UIM</v>
      </c>
      <c r="C150" s="101"/>
      <c r="D150" s="101">
        <v>66.635999999999996</v>
      </c>
      <c r="E150" s="101">
        <v>70.444999999999993</v>
      </c>
      <c r="F150" s="97">
        <v>75.625</v>
      </c>
      <c r="G150" s="97">
        <v>78.278000000000006</v>
      </c>
      <c r="H150" s="97">
        <v>81.301000000000002</v>
      </c>
      <c r="I150" s="97">
        <v>85.784999999999997</v>
      </c>
      <c r="J150" s="97">
        <v>89.816999999999993</v>
      </c>
      <c r="K150" s="101"/>
    </row>
    <row r="151" spans="1:11" x14ac:dyDescent="0.2">
      <c r="A151" s="1" t="s">
        <v>144</v>
      </c>
      <c r="B151" s="1" t="str">
        <f>$B$11</f>
        <v>UIM</v>
      </c>
      <c r="C151" s="101"/>
      <c r="D151" s="101">
        <v>0.99299999999999999</v>
      </c>
      <c r="E151" s="101">
        <v>1.1160000000000001</v>
      </c>
      <c r="F151" s="97">
        <v>1.43</v>
      </c>
      <c r="G151" s="97">
        <v>1.4770000000000001</v>
      </c>
      <c r="H151" s="97">
        <v>1.6040000000000001</v>
      </c>
      <c r="I151" s="97">
        <v>1.623</v>
      </c>
      <c r="J151" s="97">
        <v>1.653</v>
      </c>
      <c r="K151" s="101"/>
    </row>
    <row r="152" spans="1:11" x14ac:dyDescent="0.2">
      <c r="A152" s="1" t="s">
        <v>145</v>
      </c>
      <c r="B152" s="1" t="str">
        <f>$B$11</f>
        <v>UIM</v>
      </c>
      <c r="C152" s="101"/>
      <c r="D152" s="101">
        <v>1.393</v>
      </c>
      <c r="E152" s="101">
        <v>1.4530000000000001</v>
      </c>
      <c r="F152" s="97">
        <v>1.6020000000000001</v>
      </c>
      <c r="G152" s="97">
        <v>1.639</v>
      </c>
      <c r="H152" s="97">
        <v>1.679</v>
      </c>
      <c r="I152" s="97">
        <v>1.6910000000000001</v>
      </c>
      <c r="J152" s="97">
        <v>1.6819999999999999</v>
      </c>
      <c r="K152" s="101"/>
    </row>
    <row r="153" spans="1:11" x14ac:dyDescent="0.2">
      <c r="A153" s="1" t="s">
        <v>146</v>
      </c>
      <c r="B153" s="1" t="str">
        <f>$B$11</f>
        <v>UIM</v>
      </c>
      <c r="C153" s="101"/>
      <c r="D153" s="101">
        <v>2.452</v>
      </c>
      <c r="E153" s="101">
        <v>2.3889999999999998</v>
      </c>
      <c r="F153" s="97">
        <v>2.6259999999999999</v>
      </c>
      <c r="G153" s="97">
        <v>2.512</v>
      </c>
      <c r="H153" s="97">
        <v>2.569</v>
      </c>
      <c r="I153" s="97">
        <v>2.726</v>
      </c>
      <c r="J153" s="97">
        <v>2.9</v>
      </c>
      <c r="K153" s="101"/>
    </row>
    <row r="154" spans="1:11" x14ac:dyDescent="0.2">
      <c r="A154" s="1" t="s">
        <v>147</v>
      </c>
      <c r="B154" s="1" t="str">
        <f>$B$11</f>
        <v>UIM</v>
      </c>
      <c r="C154" s="101"/>
      <c r="D154" s="101">
        <v>0.73899999999999999</v>
      </c>
      <c r="E154" s="101">
        <v>0.71799999999999997</v>
      </c>
      <c r="F154" s="97">
        <v>0.56000000000000005</v>
      </c>
      <c r="G154" s="97">
        <v>0.64700000000000002</v>
      </c>
      <c r="H154" s="97">
        <v>0.60799999999999998</v>
      </c>
      <c r="I154" s="97">
        <v>0.60799999999999998</v>
      </c>
      <c r="J154" s="97">
        <v>0.60799999999999998</v>
      </c>
      <c r="K154" s="101"/>
    </row>
    <row r="155" spans="1:11" ht="15" x14ac:dyDescent="0.25">
      <c r="A155" s="27" t="s">
        <v>252</v>
      </c>
      <c r="B155" s="1" t="str">
        <f>$B$9</f>
        <v>NAC</v>
      </c>
      <c r="C155" s="101"/>
      <c r="D155" s="104">
        <v>72.212999999999994</v>
      </c>
      <c r="E155" s="104">
        <v>76.120999999999995</v>
      </c>
      <c r="F155" s="105">
        <v>81.843000000000004</v>
      </c>
      <c r="G155" s="105">
        <v>84.552999999999997</v>
      </c>
      <c r="H155" s="105">
        <v>87.760999999999996</v>
      </c>
      <c r="I155" s="105">
        <v>92.433000000000007</v>
      </c>
      <c r="J155" s="105">
        <v>96.66</v>
      </c>
      <c r="K155" s="101"/>
    </row>
    <row r="156" spans="1:11" ht="15" x14ac:dyDescent="0.25">
      <c r="A156" s="27" t="s">
        <v>265</v>
      </c>
      <c r="C156" s="101"/>
      <c r="D156" s="106" t="str">
        <f t="shared" ref="D156:J156" si="32">IF(ROUND(D$155-SUM(D$150:D$154),3)=0,"OK","ERROR")</f>
        <v>OK</v>
      </c>
      <c r="E156" s="106" t="str">
        <f t="shared" si="32"/>
        <v>OK</v>
      </c>
      <c r="F156" s="107" t="str">
        <f t="shared" si="32"/>
        <v>OK</v>
      </c>
      <c r="G156" s="107" t="str">
        <f t="shared" si="32"/>
        <v>OK</v>
      </c>
      <c r="H156" s="107" t="str">
        <f t="shared" si="32"/>
        <v>OK</v>
      </c>
      <c r="I156" s="107" t="str">
        <f t="shared" si="32"/>
        <v>OK</v>
      </c>
      <c r="J156" s="107" t="str">
        <f t="shared" si="32"/>
        <v>OK</v>
      </c>
      <c r="K156" s="101"/>
    </row>
    <row r="157" spans="1:11" x14ac:dyDescent="0.2">
      <c r="A157" s="1" t="s">
        <v>253</v>
      </c>
      <c r="B157" s="1" t="str">
        <f>$B$11</f>
        <v>UIM</v>
      </c>
      <c r="C157" s="101"/>
      <c r="D157" s="101">
        <v>23.722999999999999</v>
      </c>
      <c r="E157" s="101">
        <v>24.312000000000001</v>
      </c>
      <c r="F157" s="97">
        <v>25.379000000000001</v>
      </c>
      <c r="G157" s="97">
        <v>26.494</v>
      </c>
      <c r="H157" s="97">
        <v>27.646000000000001</v>
      </c>
      <c r="I157" s="97">
        <v>28.498000000000001</v>
      </c>
      <c r="J157" s="97">
        <v>29.471</v>
      </c>
      <c r="K157" s="101"/>
    </row>
    <row r="158" spans="1:11" x14ac:dyDescent="0.2">
      <c r="A158" s="1" t="s">
        <v>266</v>
      </c>
      <c r="B158" s="1" t="str">
        <f>$B$11</f>
        <v>UIM</v>
      </c>
      <c r="C158" s="101"/>
      <c r="D158" s="101">
        <v>6.5519999999999996</v>
      </c>
      <c r="E158" s="101">
        <v>6.6660000000000004</v>
      </c>
      <c r="F158" s="97">
        <v>6.9089999999999998</v>
      </c>
      <c r="G158" s="97">
        <v>7.1740000000000004</v>
      </c>
      <c r="H158" s="97">
        <v>7.1669999999999998</v>
      </c>
      <c r="I158" s="97">
        <v>7.141</v>
      </c>
      <c r="J158" s="97">
        <v>7.1509999999999998</v>
      </c>
      <c r="K158" s="101"/>
    </row>
    <row r="159" spans="1:11" x14ac:dyDescent="0.2">
      <c r="A159" s="1" t="s">
        <v>267</v>
      </c>
      <c r="B159" s="1" t="str">
        <f>$B$9</f>
        <v>NAC</v>
      </c>
      <c r="C159" s="101"/>
      <c r="D159" s="101">
        <v>38.298999999999999</v>
      </c>
      <c r="E159" s="101">
        <v>39.361000000000004</v>
      </c>
      <c r="F159" s="97">
        <v>41.009</v>
      </c>
      <c r="G159" s="97">
        <v>44.555</v>
      </c>
      <c r="H159" s="97">
        <v>43.999000000000002</v>
      </c>
      <c r="I159" s="97">
        <v>43.838999999999999</v>
      </c>
      <c r="J159" s="97">
        <v>44.423000000000002</v>
      </c>
      <c r="K159" s="101"/>
    </row>
    <row r="160" spans="1:11" x14ac:dyDescent="0.2">
      <c r="A160" s="1" t="s">
        <v>153</v>
      </c>
      <c r="B160" s="1" t="str">
        <f>$B$11</f>
        <v>UIM</v>
      </c>
      <c r="C160" s="101"/>
      <c r="D160" s="101">
        <v>3.7829999999999999</v>
      </c>
      <c r="E160" s="101">
        <v>3.59</v>
      </c>
      <c r="F160" s="97">
        <v>3.54</v>
      </c>
      <c r="G160" s="97">
        <v>3.4449999999999998</v>
      </c>
      <c r="H160" s="97">
        <v>3.3929999999999998</v>
      </c>
      <c r="I160" s="97">
        <v>3.4220000000000002</v>
      </c>
      <c r="J160" s="97">
        <v>3.4239999999999999</v>
      </c>
      <c r="K160" s="101"/>
    </row>
    <row r="161" spans="1:11" x14ac:dyDescent="0.2">
      <c r="A161" s="1" t="s">
        <v>154</v>
      </c>
      <c r="B161" s="1" t="str">
        <f>$B$11</f>
        <v>UIM</v>
      </c>
      <c r="C161" s="101"/>
      <c r="D161" s="101">
        <v>6.0000000000000001E-3</v>
      </c>
      <c r="E161" s="101">
        <v>0</v>
      </c>
      <c r="F161" s="97">
        <v>3.0000000000000001E-3</v>
      </c>
      <c r="G161" s="97">
        <v>0</v>
      </c>
      <c r="H161" s="97">
        <v>4.0000000000000001E-3</v>
      </c>
      <c r="I161" s="97">
        <v>0</v>
      </c>
      <c r="J161" s="97">
        <v>0</v>
      </c>
      <c r="K161" s="101"/>
    </row>
    <row r="162" spans="1:11" ht="15" x14ac:dyDescent="0.25">
      <c r="A162" s="27" t="s">
        <v>254</v>
      </c>
      <c r="B162" s="1" t="str">
        <f>$B$9</f>
        <v>NAC</v>
      </c>
      <c r="C162" s="101"/>
      <c r="D162" s="104">
        <v>72.363</v>
      </c>
      <c r="E162" s="104">
        <v>73.929000000000016</v>
      </c>
      <c r="F162" s="105">
        <v>76.84</v>
      </c>
      <c r="G162" s="105">
        <v>80.984999999999999</v>
      </c>
      <c r="H162" s="105">
        <v>83.673000000000002</v>
      </c>
      <c r="I162" s="105">
        <v>86.120999999999995</v>
      </c>
      <c r="J162" s="105">
        <v>89.463999999999999</v>
      </c>
      <c r="K162" s="101"/>
    </row>
    <row r="163" spans="1:11" ht="15" x14ac:dyDescent="0.25">
      <c r="A163" s="27" t="s">
        <v>1295</v>
      </c>
      <c r="C163" s="101"/>
      <c r="D163" s="106" t="str">
        <f>IF(ROUND(D$162-SUM(D$21:D$22,D$157:D$161),3)=0,"OK","ERROR")</f>
        <v>OK</v>
      </c>
      <c r="E163" s="106" t="str">
        <f t="shared" ref="E163:J163" si="33">IF(ROUND(E$162-SUM(E$21:E$22,E$157:E$161),3)=0,"OK","ERROR")</f>
        <v>OK</v>
      </c>
      <c r="F163" s="107" t="str">
        <f t="shared" si="33"/>
        <v>OK</v>
      </c>
      <c r="G163" s="107" t="str">
        <f t="shared" si="33"/>
        <v>OK</v>
      </c>
      <c r="H163" s="107" t="str">
        <f t="shared" si="33"/>
        <v>OK</v>
      </c>
      <c r="I163" s="107" t="str">
        <f t="shared" si="33"/>
        <v>OK</v>
      </c>
      <c r="J163" s="107" t="str">
        <f t="shared" si="33"/>
        <v>OK</v>
      </c>
      <c r="K163" s="101"/>
    </row>
    <row r="164" spans="1:11" x14ac:dyDescent="0.2">
      <c r="A164" s="1" t="s">
        <v>162</v>
      </c>
      <c r="B164" s="1" t="str">
        <f>$B$11</f>
        <v>UIM</v>
      </c>
      <c r="C164" s="101"/>
      <c r="D164" s="101">
        <v>3.6700000000000004</v>
      </c>
      <c r="E164" s="101">
        <v>-3.2589999999999999</v>
      </c>
      <c r="F164" s="97">
        <v>6.3070000000000004</v>
      </c>
      <c r="G164" s="97">
        <v>2.3889999999999998</v>
      </c>
      <c r="H164" s="97">
        <v>2.6680000000000001</v>
      </c>
      <c r="I164" s="97">
        <v>2.891</v>
      </c>
      <c r="J164" s="97">
        <v>3.0990000000000002</v>
      </c>
      <c r="K164" s="101"/>
    </row>
    <row r="165" spans="1:11" x14ac:dyDescent="0.2">
      <c r="A165" s="1" t="s">
        <v>268</v>
      </c>
      <c r="B165" s="1" t="str">
        <f>$B$11</f>
        <v>UIM</v>
      </c>
      <c r="C165" s="101"/>
      <c r="D165" s="101">
        <v>0.35899999999999999</v>
      </c>
      <c r="E165" s="101">
        <v>0.155</v>
      </c>
      <c r="F165" s="97">
        <v>0.3</v>
      </c>
      <c r="G165" s="97">
        <v>0.113</v>
      </c>
      <c r="H165" s="97">
        <v>0.11700000000000001</v>
      </c>
      <c r="I165" s="97">
        <v>0.114</v>
      </c>
      <c r="J165" s="97">
        <v>0.112</v>
      </c>
      <c r="K165" s="101"/>
    </row>
    <row r="166" spans="1:11" ht="15" x14ac:dyDescent="0.25">
      <c r="A166" s="27" t="s">
        <v>269</v>
      </c>
      <c r="B166" s="1" t="str">
        <f>$B$9</f>
        <v>NAC</v>
      </c>
      <c r="C166" s="101"/>
      <c r="D166" s="104">
        <v>3.879</v>
      </c>
      <c r="E166" s="104">
        <v>-0.91200000000000003</v>
      </c>
      <c r="F166" s="105">
        <v>11.61</v>
      </c>
      <c r="G166" s="105">
        <v>6.07</v>
      </c>
      <c r="H166" s="105">
        <v>6.8730000000000002</v>
      </c>
      <c r="I166" s="105">
        <v>9.3170000000000002</v>
      </c>
      <c r="J166" s="105">
        <v>10.407</v>
      </c>
      <c r="K166" s="101"/>
    </row>
    <row r="167" spans="1:11" ht="15" x14ac:dyDescent="0.25">
      <c r="A167" s="27" t="s">
        <v>270</v>
      </c>
      <c r="C167" s="101"/>
      <c r="D167" s="106" t="str">
        <f t="shared" ref="D167:J167" si="34">IF(ROUND(D$166-(D$155-D$162+D$164+D$165),3)=0,"OK","ERROR")</f>
        <v>OK</v>
      </c>
      <c r="E167" s="106" t="str">
        <f t="shared" si="34"/>
        <v>OK</v>
      </c>
      <c r="F167" s="107" t="str">
        <f t="shared" si="34"/>
        <v>OK</v>
      </c>
      <c r="G167" s="107" t="str">
        <f t="shared" si="34"/>
        <v>OK</v>
      </c>
      <c r="H167" s="107" t="str">
        <f t="shared" si="34"/>
        <v>OK</v>
      </c>
      <c r="I167" s="107" t="str">
        <f t="shared" si="34"/>
        <v>OK</v>
      </c>
      <c r="J167" s="107" t="str">
        <f t="shared" si="34"/>
        <v>OK</v>
      </c>
      <c r="K167" s="101"/>
    </row>
    <row r="168" spans="1:11" ht="15" x14ac:dyDescent="0.25">
      <c r="A168" s="1" t="s">
        <v>219</v>
      </c>
      <c r="B168" s="1" t="str">
        <f>$B$11</f>
        <v>UIM</v>
      </c>
      <c r="C168" s="104">
        <v>8.2270000000000003</v>
      </c>
      <c r="D168" s="101">
        <v>9.032</v>
      </c>
      <c r="E168" s="101">
        <v>11.859</v>
      </c>
      <c r="F168" s="97">
        <v>15.539</v>
      </c>
      <c r="G168" s="97">
        <v>13.481999999999999</v>
      </c>
      <c r="H168" s="97">
        <v>13.598000000000001</v>
      </c>
      <c r="I168" s="97">
        <v>13.723000000000001</v>
      </c>
      <c r="J168" s="97">
        <v>13.683999999999999</v>
      </c>
      <c r="K168" s="101"/>
    </row>
    <row r="169" spans="1:11" x14ac:dyDescent="0.2">
      <c r="A169" s="1" t="s">
        <v>220</v>
      </c>
      <c r="B169" s="1" t="str">
        <f>$B$11</f>
        <v>UIM</v>
      </c>
      <c r="C169" s="101"/>
      <c r="D169" s="101">
        <v>12.170999999999999</v>
      </c>
      <c r="E169" s="101">
        <v>12.242000000000001</v>
      </c>
      <c r="F169" s="97">
        <v>13.865</v>
      </c>
      <c r="G169" s="97">
        <v>13.43</v>
      </c>
      <c r="H169" s="97">
        <v>13.861000000000001</v>
      </c>
      <c r="I169" s="97">
        <v>14.288</v>
      </c>
      <c r="J169" s="97">
        <v>14.82</v>
      </c>
      <c r="K169" s="101"/>
    </row>
    <row r="170" spans="1:11" x14ac:dyDescent="0.2">
      <c r="A170" s="1" t="s">
        <v>221</v>
      </c>
      <c r="B170" s="1" t="str">
        <f t="shared" ref="B170:B176" si="35">$B$11</f>
        <v>UIM</v>
      </c>
      <c r="C170" s="101"/>
      <c r="D170" s="101">
        <v>37.090000000000003</v>
      </c>
      <c r="E170" s="101">
        <v>34.386000000000003</v>
      </c>
      <c r="F170" s="97">
        <v>31.658000000000001</v>
      </c>
      <c r="G170" s="97">
        <v>27.859000000000002</v>
      </c>
      <c r="H170" s="97">
        <v>27.631</v>
      </c>
      <c r="I170" s="97">
        <v>29.699000000000002</v>
      </c>
      <c r="J170" s="97">
        <v>27.015000000000001</v>
      </c>
      <c r="K170" s="101"/>
    </row>
    <row r="171" spans="1:11" x14ac:dyDescent="0.2">
      <c r="A171" s="1" t="s">
        <v>222</v>
      </c>
      <c r="B171" s="1" t="str">
        <f t="shared" si="35"/>
        <v>UIM</v>
      </c>
      <c r="C171" s="101"/>
      <c r="D171" s="101">
        <v>15.353999999999999</v>
      </c>
      <c r="E171" s="101">
        <v>13.54</v>
      </c>
      <c r="F171" s="97">
        <v>20.113</v>
      </c>
      <c r="G171" s="97">
        <v>21.655999999999999</v>
      </c>
      <c r="H171" s="97">
        <v>23.341000000000001</v>
      </c>
      <c r="I171" s="97">
        <v>25.146999999999998</v>
      </c>
      <c r="J171" s="97">
        <v>28.815999999999999</v>
      </c>
      <c r="K171" s="101"/>
    </row>
    <row r="172" spans="1:11" x14ac:dyDescent="0.2">
      <c r="A172" s="1" t="s">
        <v>223</v>
      </c>
      <c r="B172" s="1" t="str">
        <f t="shared" si="35"/>
        <v>UIM</v>
      </c>
      <c r="C172" s="101"/>
      <c r="D172" s="101">
        <v>15.108000000000001</v>
      </c>
      <c r="E172" s="101">
        <v>15.987</v>
      </c>
      <c r="F172" s="97">
        <v>13.032999999999999</v>
      </c>
      <c r="G172" s="97">
        <v>13.279</v>
      </c>
      <c r="H172" s="97">
        <v>13.428000000000001</v>
      </c>
      <c r="I172" s="97">
        <v>13.362</v>
      </c>
      <c r="J172" s="97">
        <v>13.286</v>
      </c>
      <c r="K172" s="101"/>
    </row>
    <row r="173" spans="1:11" ht="15" x14ac:dyDescent="0.25">
      <c r="A173" s="1" t="s">
        <v>226</v>
      </c>
      <c r="B173" s="1" t="str">
        <f t="shared" si="35"/>
        <v>UIM</v>
      </c>
      <c r="C173" s="104">
        <v>30.963000000000001</v>
      </c>
      <c r="D173" s="101">
        <v>32.289000000000001</v>
      </c>
      <c r="E173" s="101">
        <v>35.697000000000003</v>
      </c>
      <c r="F173" s="97">
        <v>39.146999999999998</v>
      </c>
      <c r="G173" s="97">
        <v>41.128</v>
      </c>
      <c r="H173" s="97">
        <v>42.209000000000003</v>
      </c>
      <c r="I173" s="97">
        <v>42.720999999999997</v>
      </c>
      <c r="J173" s="97">
        <v>42.981000000000002</v>
      </c>
      <c r="K173" s="101"/>
    </row>
    <row r="174" spans="1:11" x14ac:dyDescent="0.2">
      <c r="A174" s="1" t="s">
        <v>227</v>
      </c>
      <c r="B174" s="1" t="str">
        <f t="shared" si="35"/>
        <v>UIM</v>
      </c>
      <c r="C174" s="101"/>
      <c r="D174" s="101">
        <v>34.883000000000003</v>
      </c>
      <c r="E174" s="101">
        <v>38.375999999999998</v>
      </c>
      <c r="F174" s="97">
        <v>42.883000000000003</v>
      </c>
      <c r="G174" s="97">
        <v>45.436999999999998</v>
      </c>
      <c r="H174" s="97">
        <v>47.689</v>
      </c>
      <c r="I174" s="97">
        <v>49.744</v>
      </c>
      <c r="J174" s="97">
        <v>51.341999999999999</v>
      </c>
      <c r="K174" s="101"/>
    </row>
    <row r="175" spans="1:11" x14ac:dyDescent="0.2">
      <c r="A175" s="1" t="s">
        <v>228</v>
      </c>
      <c r="B175" s="1" t="str">
        <f t="shared" si="35"/>
        <v>UIM</v>
      </c>
      <c r="C175" s="101"/>
      <c r="D175" s="101">
        <v>1.2390000000000001</v>
      </c>
      <c r="E175" s="101">
        <v>1.351</v>
      </c>
      <c r="F175" s="97">
        <v>1.52</v>
      </c>
      <c r="G175" s="97">
        <v>1.6930000000000001</v>
      </c>
      <c r="H175" s="97">
        <v>1.7549999999999999</v>
      </c>
      <c r="I175" s="97">
        <v>1.752</v>
      </c>
      <c r="J175" s="97">
        <v>1.667</v>
      </c>
      <c r="K175" s="101"/>
    </row>
    <row r="176" spans="1:11" x14ac:dyDescent="0.2">
      <c r="A176" s="1" t="s">
        <v>271</v>
      </c>
      <c r="B176" s="1" t="str">
        <f t="shared" si="35"/>
        <v>UIM</v>
      </c>
      <c r="C176" s="101"/>
      <c r="D176" s="101">
        <v>1.5469999999999999</v>
      </c>
      <c r="E176" s="101">
        <v>1.732</v>
      </c>
      <c r="F176" s="97">
        <v>1.7789999999999999</v>
      </c>
      <c r="G176" s="97">
        <v>1.6739999999999999</v>
      </c>
      <c r="H176" s="97">
        <v>1.706</v>
      </c>
      <c r="I176" s="97">
        <v>1.7010000000000001</v>
      </c>
      <c r="J176" s="97">
        <v>1.7310000000000001</v>
      </c>
      <c r="K176" s="101"/>
    </row>
    <row r="177" spans="1:11" ht="15" x14ac:dyDescent="0.25">
      <c r="A177" s="27" t="s">
        <v>272</v>
      </c>
      <c r="B177" s="1" t="str">
        <f>$B$9</f>
        <v>NAC</v>
      </c>
      <c r="C177" s="101"/>
      <c r="D177" s="104">
        <v>158.71300000000002</v>
      </c>
      <c r="E177" s="104">
        <v>165.17</v>
      </c>
      <c r="F177" s="105">
        <v>179.53700000000001</v>
      </c>
      <c r="G177" s="105">
        <v>178.994</v>
      </c>
      <c r="H177" s="105">
        <v>185.77699999999999</v>
      </c>
      <c r="I177" s="105">
        <v>194.041</v>
      </c>
      <c r="J177" s="105">
        <v>198.98099999999999</v>
      </c>
      <c r="K177" s="101"/>
    </row>
    <row r="178" spans="1:11" ht="15" x14ac:dyDescent="0.25">
      <c r="A178" s="27" t="s">
        <v>1296</v>
      </c>
      <c r="C178" s="101"/>
      <c r="D178" s="106" t="str">
        <f t="shared" ref="D178:J178" si="36">IF(ROUND(D$177-SUM(D$125:D$126,D$168:D$176),3)=0,"OK","ERROR")</f>
        <v>OK</v>
      </c>
      <c r="E178" s="106" t="str">
        <f t="shared" si="36"/>
        <v>OK</v>
      </c>
      <c r="F178" s="107" t="str">
        <f t="shared" si="36"/>
        <v>OK</v>
      </c>
      <c r="G178" s="107" t="str">
        <f t="shared" si="36"/>
        <v>OK</v>
      </c>
      <c r="H178" s="107" t="str">
        <f t="shared" si="36"/>
        <v>OK</v>
      </c>
      <c r="I178" s="107" t="str">
        <f t="shared" si="36"/>
        <v>OK</v>
      </c>
      <c r="J178" s="107" t="str">
        <f t="shared" si="36"/>
        <v>OK</v>
      </c>
      <c r="K178" s="101"/>
    </row>
    <row r="179" spans="1:11" x14ac:dyDescent="0.2">
      <c r="A179" s="1" t="s">
        <v>235</v>
      </c>
      <c r="B179" s="1" t="str">
        <f>$B$9</f>
        <v>NAC</v>
      </c>
      <c r="C179" s="101"/>
      <c r="D179" s="101">
        <v>95.549000000000007</v>
      </c>
      <c r="E179" s="101">
        <v>95.036000000000001</v>
      </c>
      <c r="F179" s="97">
        <v>94.477999999999994</v>
      </c>
      <c r="G179" s="97">
        <v>91.134</v>
      </c>
      <c r="H179" s="97">
        <v>91.754000000000005</v>
      </c>
      <c r="I179" s="97">
        <v>91.415999999999997</v>
      </c>
      <c r="J179" s="97">
        <v>86.225999999999999</v>
      </c>
      <c r="K179" s="101"/>
    </row>
    <row r="180" spans="1:11" x14ac:dyDescent="0.2">
      <c r="A180" s="1" t="s">
        <v>233</v>
      </c>
      <c r="B180" s="1" t="str">
        <f t="shared" ref="B180:B187" si="37">$B$11</f>
        <v>UIM</v>
      </c>
      <c r="C180" s="101"/>
      <c r="D180" s="101">
        <v>8.1310000000000002</v>
      </c>
      <c r="E180" s="101">
        <v>8.1579999999999995</v>
      </c>
      <c r="F180" s="97">
        <v>10.526</v>
      </c>
      <c r="G180" s="97">
        <v>7.94</v>
      </c>
      <c r="H180" s="97">
        <v>8.1839999999999993</v>
      </c>
      <c r="I180" s="97">
        <v>8.2989999999999995</v>
      </c>
      <c r="J180" s="97">
        <v>8.4469999999999992</v>
      </c>
      <c r="K180" s="101"/>
    </row>
    <row r="181" spans="1:11" x14ac:dyDescent="0.2">
      <c r="A181" s="1" t="s">
        <v>234</v>
      </c>
      <c r="B181" s="1" t="str">
        <f t="shared" si="37"/>
        <v>UIM</v>
      </c>
      <c r="C181" s="101"/>
      <c r="D181" s="101">
        <v>0.57299999999999995</v>
      </c>
      <c r="E181" s="101">
        <v>0.54600000000000004</v>
      </c>
      <c r="F181" s="97">
        <v>0.499</v>
      </c>
      <c r="G181" s="97">
        <v>0.47199999999999998</v>
      </c>
      <c r="H181" s="97">
        <v>0.44500000000000001</v>
      </c>
      <c r="I181" s="97">
        <v>0.41799999999999998</v>
      </c>
      <c r="J181" s="97">
        <v>0.39200000000000002</v>
      </c>
      <c r="K181" s="101"/>
    </row>
    <row r="182" spans="1:11" x14ac:dyDescent="0.2">
      <c r="A182" s="1" t="s">
        <v>236</v>
      </c>
      <c r="B182" s="1" t="str">
        <f t="shared" si="37"/>
        <v>UIM</v>
      </c>
      <c r="C182" s="101"/>
      <c r="D182" s="101">
        <v>2.3E-2</v>
      </c>
      <c r="E182" s="101">
        <v>0.02</v>
      </c>
      <c r="F182" s="97">
        <v>2.1000000000000001E-2</v>
      </c>
      <c r="G182" s="97">
        <v>2.3E-2</v>
      </c>
      <c r="H182" s="97">
        <v>2.1999999999999999E-2</v>
      </c>
      <c r="I182" s="97">
        <v>2.1999999999999999E-2</v>
      </c>
      <c r="J182" s="97">
        <v>2.3E-2</v>
      </c>
      <c r="K182" s="101"/>
    </row>
    <row r="183" spans="1:11" x14ac:dyDescent="0.2">
      <c r="A183" s="1" t="s">
        <v>237</v>
      </c>
      <c r="B183" s="1" t="str">
        <f t="shared" si="37"/>
        <v>UIM</v>
      </c>
      <c r="C183" s="101"/>
      <c r="D183" s="101">
        <v>10.843999999999999</v>
      </c>
      <c r="E183" s="101">
        <v>12.443</v>
      </c>
      <c r="F183" s="97">
        <v>11.006</v>
      </c>
      <c r="G183" s="97">
        <v>10.416</v>
      </c>
      <c r="H183" s="97">
        <v>9.8689999999999998</v>
      </c>
      <c r="I183" s="97">
        <v>9.3390000000000004</v>
      </c>
      <c r="J183" s="97">
        <v>8.8179999999999996</v>
      </c>
      <c r="K183" s="101"/>
    </row>
    <row r="184" spans="1:11" x14ac:dyDescent="0.2">
      <c r="A184" s="1" t="s">
        <v>238</v>
      </c>
      <c r="B184" s="1" t="str">
        <f t="shared" si="37"/>
        <v>UIM</v>
      </c>
      <c r="C184" s="101"/>
      <c r="D184" s="101">
        <v>4.8550000000000004</v>
      </c>
      <c r="E184" s="101">
        <v>6.633</v>
      </c>
      <c r="F184" s="97">
        <v>6.0259999999999998</v>
      </c>
      <c r="G184" s="97">
        <v>5.7530000000000001</v>
      </c>
      <c r="H184" s="97">
        <v>5.1580000000000004</v>
      </c>
      <c r="I184" s="97">
        <v>4.657</v>
      </c>
      <c r="J184" s="97">
        <v>4.54</v>
      </c>
      <c r="K184" s="101"/>
    </row>
    <row r="185" spans="1:11" ht="15" x14ac:dyDescent="0.25">
      <c r="A185" s="27" t="s">
        <v>273</v>
      </c>
      <c r="B185" s="1" t="str">
        <f>$B$9</f>
        <v>NAC</v>
      </c>
      <c r="C185" s="101"/>
      <c r="D185" s="104">
        <v>125.31100000000001</v>
      </c>
      <c r="E185" s="104">
        <v>128.55099999999999</v>
      </c>
      <c r="F185" s="105">
        <v>128.57300000000001</v>
      </c>
      <c r="G185" s="105">
        <v>121.93300000000001</v>
      </c>
      <c r="H185" s="105">
        <v>121.81100000000001</v>
      </c>
      <c r="I185" s="105">
        <v>120.71899999999999</v>
      </c>
      <c r="J185" s="105">
        <v>115.208</v>
      </c>
      <c r="K185" s="101"/>
    </row>
    <row r="186" spans="1:11" ht="15" x14ac:dyDescent="0.25">
      <c r="A186" s="27" t="s">
        <v>274</v>
      </c>
      <c r="C186" s="101"/>
      <c r="D186" s="106" t="str">
        <f t="shared" ref="D186:J186" si="38">IF(ROUND(D$185-SUM(D$128,D$179:D$184),3)=0,"OK","ERROR")</f>
        <v>OK</v>
      </c>
      <c r="E186" s="106" t="str">
        <f t="shared" si="38"/>
        <v>OK</v>
      </c>
      <c r="F186" s="107" t="str">
        <f t="shared" si="38"/>
        <v>OK</v>
      </c>
      <c r="G186" s="107" t="str">
        <f t="shared" si="38"/>
        <v>OK</v>
      </c>
      <c r="H186" s="107" t="str">
        <f t="shared" si="38"/>
        <v>OK</v>
      </c>
      <c r="I186" s="107" t="str">
        <f t="shared" si="38"/>
        <v>OK</v>
      </c>
      <c r="J186" s="107" t="str">
        <f t="shared" si="38"/>
        <v>OK</v>
      </c>
      <c r="K186" s="101"/>
    </row>
    <row r="187" spans="1:11" ht="15" x14ac:dyDescent="0.25">
      <c r="A187" s="27" t="s">
        <v>275</v>
      </c>
      <c r="B187" s="1" t="str">
        <f t="shared" si="37"/>
        <v>UIM</v>
      </c>
      <c r="C187" s="101"/>
      <c r="D187" s="102">
        <f t="shared" ref="D187:J187" si="39">D$177-D$185</f>
        <v>33.402000000000015</v>
      </c>
      <c r="E187" s="102">
        <f t="shared" si="39"/>
        <v>36.619</v>
      </c>
      <c r="F187" s="103">
        <f t="shared" si="39"/>
        <v>50.963999999999999</v>
      </c>
      <c r="G187" s="103">
        <f t="shared" si="39"/>
        <v>57.060999999999993</v>
      </c>
      <c r="H187" s="103">
        <f t="shared" si="39"/>
        <v>63.96599999999998</v>
      </c>
      <c r="I187" s="103">
        <f t="shared" si="39"/>
        <v>73.322000000000003</v>
      </c>
      <c r="J187" s="103">
        <f t="shared" si="39"/>
        <v>83.772999999999996</v>
      </c>
      <c r="K187" s="101"/>
    </row>
    <row r="188" spans="1:11" ht="15" x14ac:dyDescent="0.25">
      <c r="A188" s="27" t="s">
        <v>701</v>
      </c>
      <c r="B188" s="1" t="str">
        <f>$B$9</f>
        <v>NAC</v>
      </c>
      <c r="C188" s="101"/>
      <c r="D188" s="102">
        <f t="shared" ref="D188:J188" si="40">D$143-SUM(D$168,D$170:D$172)</f>
        <v>-0.15000000000000568</v>
      </c>
      <c r="E188" s="102">
        <f t="shared" si="40"/>
        <v>2.1000000000000796E-2</v>
      </c>
      <c r="F188" s="103">
        <f t="shared" si="40"/>
        <v>0</v>
      </c>
      <c r="G188" s="103">
        <f t="shared" si="40"/>
        <v>-3.0000000000001137E-3</v>
      </c>
      <c r="H188" s="103">
        <f t="shared" si="40"/>
        <v>1.0000000000047748E-3</v>
      </c>
      <c r="I188" s="103">
        <f t="shared" si="40"/>
        <v>-3.0000000000001137E-3</v>
      </c>
      <c r="J188" s="103">
        <f t="shared" si="40"/>
        <v>0</v>
      </c>
      <c r="K188" s="101"/>
    </row>
    <row r="189" spans="1:11" ht="15" x14ac:dyDescent="0.25">
      <c r="A189" s="2" t="s">
        <v>316</v>
      </c>
      <c r="C189" s="101"/>
      <c r="D189" s="101"/>
      <c r="E189" s="101"/>
      <c r="F189" s="97"/>
      <c r="G189" s="97"/>
      <c r="H189" s="97"/>
      <c r="I189" s="97"/>
      <c r="J189" s="97"/>
      <c r="K189" s="101"/>
    </row>
    <row r="190" spans="1:11" x14ac:dyDescent="0.2">
      <c r="A190" s="1" t="s">
        <v>318</v>
      </c>
      <c r="B190" s="1" t="str">
        <f>$B$11</f>
        <v>UIM</v>
      </c>
      <c r="C190" s="101"/>
      <c r="D190" s="101">
        <v>4.085</v>
      </c>
      <c r="E190" s="101">
        <v>4.7050000000000001</v>
      </c>
      <c r="F190" s="97">
        <v>5.2320000000000002</v>
      </c>
      <c r="G190" s="97">
        <v>4.5919999999999996</v>
      </c>
      <c r="H190" s="97">
        <v>5.0449999999999999</v>
      </c>
      <c r="I190" s="97">
        <v>5.617</v>
      </c>
      <c r="J190" s="97">
        <v>5.9450000000000003</v>
      </c>
      <c r="K190" s="101"/>
    </row>
    <row r="191" spans="1:11" x14ac:dyDescent="0.2">
      <c r="A191" s="1" t="s">
        <v>315</v>
      </c>
      <c r="B191" s="1" t="str">
        <f>$B$11</f>
        <v>UIM</v>
      </c>
      <c r="C191" s="101"/>
      <c r="D191" s="101">
        <v>1.0999999999999999E-2</v>
      </c>
      <c r="E191" s="101">
        <v>8.9999999999999993E-3</v>
      </c>
      <c r="F191" s="97">
        <v>5.0000000000000001E-3</v>
      </c>
      <c r="G191" s="97">
        <v>5.0000000000000001E-3</v>
      </c>
      <c r="H191" s="97">
        <v>5.0000000000000001E-3</v>
      </c>
      <c r="I191" s="97">
        <v>5.0000000000000001E-3</v>
      </c>
      <c r="J191" s="97">
        <v>5.0000000000000001E-3</v>
      </c>
      <c r="K191" s="101"/>
    </row>
    <row r="192" spans="1:11" x14ac:dyDescent="0.2">
      <c r="A192" s="1" t="s">
        <v>325</v>
      </c>
      <c r="B192" s="1" t="str">
        <f>$B$11</f>
        <v>UIM</v>
      </c>
      <c r="C192" s="101"/>
      <c r="D192" s="101">
        <v>8.0000000000000002E-3</v>
      </c>
      <c r="E192" s="101">
        <v>1.0999999999999999E-2</v>
      </c>
      <c r="F192" s="97">
        <v>0</v>
      </c>
      <c r="G192" s="97">
        <v>1E-3</v>
      </c>
      <c r="H192" s="97">
        <v>-3.0000000000000001E-3</v>
      </c>
      <c r="I192" s="97">
        <v>1E-3</v>
      </c>
      <c r="J192" s="97">
        <v>1E-3</v>
      </c>
      <c r="K192" s="101"/>
    </row>
    <row r="193" spans="1:11" ht="15" x14ac:dyDescent="0.25">
      <c r="A193" s="27" t="s">
        <v>326</v>
      </c>
      <c r="C193" s="101"/>
      <c r="D193" s="106" t="str">
        <f t="shared" ref="D193:J193" si="41">IF(ROUND(D$20-SUM(D$161,D$190:D$192),3)=0,"OK","ERROR")</f>
        <v>OK</v>
      </c>
      <c r="E193" s="106" t="str">
        <f t="shared" si="41"/>
        <v>OK</v>
      </c>
      <c r="F193" s="107" t="str">
        <f t="shared" si="41"/>
        <v>OK</v>
      </c>
      <c r="G193" s="107" t="str">
        <f t="shared" si="41"/>
        <v>OK</v>
      </c>
      <c r="H193" s="107" t="str">
        <f t="shared" si="41"/>
        <v>OK</v>
      </c>
      <c r="I193" s="107" t="str">
        <f t="shared" si="41"/>
        <v>OK</v>
      </c>
      <c r="J193" s="107" t="str">
        <f t="shared" si="41"/>
        <v>OK</v>
      </c>
      <c r="K193" s="101"/>
    </row>
    <row r="194" spans="1:11" x14ac:dyDescent="0.2">
      <c r="A194" s="1" t="s">
        <v>317</v>
      </c>
      <c r="B194" s="1" t="str">
        <f t="shared" ref="B194:B206" si="42">$B$11</f>
        <v>UIM</v>
      </c>
      <c r="C194" s="101"/>
      <c r="D194" s="101">
        <v>5.2460000000000004</v>
      </c>
      <c r="E194" s="101">
        <v>5.36</v>
      </c>
      <c r="F194" s="97">
        <v>5.8209999999999997</v>
      </c>
      <c r="G194" s="97">
        <v>6.0810000000000004</v>
      </c>
      <c r="H194" s="97">
        <v>6.2530000000000001</v>
      </c>
      <c r="I194" s="97">
        <v>6.69</v>
      </c>
      <c r="J194" s="97">
        <v>7.0339999999999998</v>
      </c>
      <c r="K194" s="101"/>
    </row>
    <row r="195" spans="1:11" x14ac:dyDescent="0.2">
      <c r="A195" s="1" t="s">
        <v>321</v>
      </c>
      <c r="B195" s="1" t="str">
        <f t="shared" si="42"/>
        <v>UIM</v>
      </c>
      <c r="C195" s="101"/>
      <c r="D195" s="101">
        <v>12.922000000000001</v>
      </c>
      <c r="E195" s="101">
        <v>13.347</v>
      </c>
      <c r="F195" s="97">
        <v>14.004</v>
      </c>
      <c r="G195" s="97">
        <v>14.398</v>
      </c>
      <c r="H195" s="97">
        <v>14.458</v>
      </c>
      <c r="I195" s="97">
        <v>14.465</v>
      </c>
      <c r="J195" s="97">
        <v>14.413</v>
      </c>
      <c r="K195" s="101"/>
    </row>
    <row r="196" spans="1:11" x14ac:dyDescent="0.2">
      <c r="A196" s="1" t="s">
        <v>322</v>
      </c>
      <c r="B196" s="1" t="str">
        <f t="shared" si="42"/>
        <v>UIM</v>
      </c>
      <c r="C196" s="101"/>
      <c r="D196" s="101">
        <v>9.8529999999999998</v>
      </c>
      <c r="E196" s="101">
        <v>10.16</v>
      </c>
      <c r="F196" s="97">
        <v>10.211</v>
      </c>
      <c r="G196" s="97">
        <v>10.601000000000001</v>
      </c>
      <c r="H196" s="97">
        <v>10.64</v>
      </c>
      <c r="I196" s="97">
        <v>10.625999999999999</v>
      </c>
      <c r="J196" s="97">
        <v>10.77</v>
      </c>
      <c r="K196" s="101"/>
    </row>
    <row r="197" spans="1:11" x14ac:dyDescent="0.2">
      <c r="A197" s="1" t="s">
        <v>319</v>
      </c>
      <c r="B197" s="1" t="str">
        <f t="shared" si="42"/>
        <v>UIM</v>
      </c>
      <c r="C197" s="101"/>
      <c r="D197" s="101">
        <v>0</v>
      </c>
      <c r="E197" s="101">
        <v>0</v>
      </c>
      <c r="F197" s="97">
        <v>0</v>
      </c>
      <c r="G197" s="97">
        <v>0</v>
      </c>
      <c r="H197" s="97">
        <v>0</v>
      </c>
      <c r="I197" s="97">
        <v>0</v>
      </c>
      <c r="J197" s="97">
        <v>0</v>
      </c>
      <c r="K197" s="101"/>
    </row>
    <row r="198" spans="1:11" x14ac:dyDescent="0.2">
      <c r="A198" s="1" t="s">
        <v>323</v>
      </c>
      <c r="B198" s="1" t="str">
        <f t="shared" si="42"/>
        <v>UIM</v>
      </c>
      <c r="C198" s="101"/>
      <c r="D198" s="101">
        <v>2.5640000000000001</v>
      </c>
      <c r="E198" s="101">
        <v>2.6579999999999999</v>
      </c>
      <c r="F198" s="97">
        <v>2.6339999999999999</v>
      </c>
      <c r="G198" s="97">
        <v>2.8359999999999999</v>
      </c>
      <c r="H198" s="97">
        <v>2.6459999999999999</v>
      </c>
      <c r="I198" s="97">
        <v>2.5430000000000001</v>
      </c>
      <c r="J198" s="97">
        <v>3.0489999999999999</v>
      </c>
      <c r="K198" s="101"/>
    </row>
    <row r="199" spans="1:11" x14ac:dyDescent="0.2">
      <c r="A199" s="1" t="s">
        <v>320</v>
      </c>
      <c r="B199" s="1" t="str">
        <f t="shared" si="42"/>
        <v>UIM</v>
      </c>
      <c r="C199" s="101"/>
      <c r="D199" s="101">
        <v>6.9189999999999996</v>
      </c>
      <c r="E199" s="101">
        <v>7.0590000000000002</v>
      </c>
      <c r="F199" s="97">
        <v>6.9130000000000003</v>
      </c>
      <c r="G199" s="97">
        <v>7.2080000000000002</v>
      </c>
      <c r="H199" s="97">
        <v>7.5880000000000001</v>
      </c>
      <c r="I199" s="97">
        <v>7.9039999999999999</v>
      </c>
      <c r="J199" s="97">
        <v>8.2989999999999995</v>
      </c>
      <c r="K199" s="101"/>
    </row>
    <row r="200" spans="1:11" x14ac:dyDescent="0.2">
      <c r="A200" s="1" t="s">
        <v>1297</v>
      </c>
      <c r="B200" s="1" t="str">
        <f t="shared" si="42"/>
        <v>UIM</v>
      </c>
      <c r="C200" s="101"/>
      <c r="D200" s="101">
        <v>4.8250000000000002</v>
      </c>
      <c r="E200" s="101">
        <v>5.6840000000000002</v>
      </c>
      <c r="F200" s="97">
        <v>6.43</v>
      </c>
      <c r="G200" s="97">
        <v>5.8860000000000001</v>
      </c>
      <c r="H200" s="97">
        <v>6.0730000000000004</v>
      </c>
      <c r="I200" s="97">
        <v>6.0940000000000003</v>
      </c>
      <c r="J200" s="97">
        <v>6.1760000000000002</v>
      </c>
      <c r="K200" s="101"/>
    </row>
    <row r="201" spans="1:11" x14ac:dyDescent="0.2">
      <c r="A201" s="1" t="s">
        <v>1298</v>
      </c>
      <c r="B201" s="1" t="str">
        <f t="shared" si="42"/>
        <v>UIM</v>
      </c>
      <c r="C201" s="101"/>
      <c r="D201" s="101">
        <v>7.01</v>
      </c>
      <c r="E201" s="101">
        <v>5.9950000000000001</v>
      </c>
      <c r="F201" s="97">
        <v>6.7050000000000001</v>
      </c>
      <c r="G201" s="97">
        <v>7.14</v>
      </c>
      <c r="H201" s="97">
        <v>7.4189999999999996</v>
      </c>
      <c r="I201" s="97">
        <v>7.6529999999999996</v>
      </c>
      <c r="J201" s="97">
        <v>7.7670000000000003</v>
      </c>
      <c r="K201" s="101"/>
    </row>
    <row r="202" spans="1:11" x14ac:dyDescent="0.2">
      <c r="A202" s="1" t="s">
        <v>324</v>
      </c>
      <c r="B202" s="1" t="str">
        <f t="shared" si="42"/>
        <v>UIM</v>
      </c>
      <c r="C202" s="101"/>
      <c r="D202" s="101">
        <v>-2.698</v>
      </c>
      <c r="E202" s="101">
        <v>-2.7010000000000001</v>
      </c>
      <c r="F202" s="97">
        <v>-3.073</v>
      </c>
      <c r="G202" s="97">
        <v>-3.1230000000000002</v>
      </c>
      <c r="H202" s="97">
        <v>-3.1619999999999999</v>
      </c>
      <c r="I202" s="97">
        <v>-3.0739999999999998</v>
      </c>
      <c r="J202" s="97">
        <v>-3.0920000000000001</v>
      </c>
      <c r="K202" s="101"/>
    </row>
    <row r="203" spans="1:11" x14ac:dyDescent="0.2">
      <c r="A203" s="1" t="s">
        <v>579</v>
      </c>
      <c r="B203" s="1" t="str">
        <f t="shared" si="42"/>
        <v>UIM</v>
      </c>
      <c r="C203" s="101"/>
      <c r="D203" s="101">
        <v>25.789000000000001</v>
      </c>
      <c r="E203" s="101">
        <v>27.709</v>
      </c>
      <c r="F203" s="97">
        <v>28.035</v>
      </c>
      <c r="G203" s="97">
        <v>27.861999999999998</v>
      </c>
      <c r="H203" s="97">
        <v>28.6</v>
      </c>
      <c r="I203" s="97">
        <v>29.541</v>
      </c>
      <c r="J203" s="97">
        <v>30.501000000000001</v>
      </c>
      <c r="K203" s="101"/>
    </row>
    <row r="204" spans="1:11" x14ac:dyDescent="0.2">
      <c r="A204" s="1" t="s">
        <v>580</v>
      </c>
      <c r="B204" s="1" t="str">
        <f t="shared" si="42"/>
        <v>UIM</v>
      </c>
      <c r="C204" s="101"/>
      <c r="D204" s="101">
        <v>3.8119999999999998</v>
      </c>
      <c r="E204" s="101">
        <v>3.7709999999999999</v>
      </c>
      <c r="F204" s="97">
        <v>3.42</v>
      </c>
      <c r="G204" s="97">
        <v>3.3010000000000002</v>
      </c>
      <c r="H204" s="97">
        <v>3.3919999999999999</v>
      </c>
      <c r="I204" s="97">
        <v>3.4820000000000002</v>
      </c>
      <c r="J204" s="97">
        <v>3.5790000000000002</v>
      </c>
      <c r="K204" s="101"/>
    </row>
    <row r="205" spans="1:11" x14ac:dyDescent="0.2">
      <c r="A205" s="1" t="s">
        <v>581</v>
      </c>
      <c r="B205" s="1" t="str">
        <f t="shared" si="42"/>
        <v>UIM</v>
      </c>
      <c r="C205" s="101"/>
      <c r="D205" s="101">
        <v>10.454000000000001</v>
      </c>
      <c r="E205" s="101">
        <v>11</v>
      </c>
      <c r="F205" s="97">
        <v>11.67</v>
      </c>
      <c r="G205" s="97">
        <v>12.194000000000001</v>
      </c>
      <c r="H205" s="97">
        <v>12.474</v>
      </c>
      <c r="I205" s="97">
        <v>12.882999999999999</v>
      </c>
      <c r="J205" s="97">
        <v>13.273999999999999</v>
      </c>
      <c r="K205" s="101"/>
    </row>
    <row r="206" spans="1:11" x14ac:dyDescent="0.2">
      <c r="A206" s="1" t="s">
        <v>582</v>
      </c>
      <c r="B206" s="1" t="str">
        <f t="shared" si="42"/>
        <v>UIM</v>
      </c>
      <c r="C206" s="101"/>
      <c r="D206" s="101">
        <v>5.8000000000000003E-2</v>
      </c>
      <c r="E206" s="101">
        <v>8.5999999999999993E-2</v>
      </c>
      <c r="F206" s="97">
        <v>8.7999999999999995E-2</v>
      </c>
      <c r="G206" s="97">
        <v>8.6999999999999994E-2</v>
      </c>
      <c r="H206" s="97">
        <v>8.6999999999999994E-2</v>
      </c>
      <c r="I206" s="97">
        <v>8.6999999999999994E-2</v>
      </c>
      <c r="J206" s="97">
        <v>8.6999999999999994E-2</v>
      </c>
      <c r="K206" s="101"/>
    </row>
    <row r="207" spans="1:11" ht="15" x14ac:dyDescent="0.25">
      <c r="A207" s="2" t="s">
        <v>255</v>
      </c>
      <c r="C207" s="101"/>
      <c r="D207" s="101"/>
      <c r="E207" s="101"/>
      <c r="F207" s="97"/>
      <c r="G207" s="97"/>
      <c r="H207" s="97"/>
      <c r="I207" s="97"/>
      <c r="J207" s="97"/>
      <c r="K207" s="101"/>
    </row>
    <row r="208" spans="1:11" ht="15" x14ac:dyDescent="0.25">
      <c r="A208" s="27" t="s">
        <v>256</v>
      </c>
      <c r="C208" s="101"/>
      <c r="D208" s="101"/>
      <c r="E208" s="101"/>
      <c r="F208" s="97"/>
      <c r="G208" s="97"/>
      <c r="H208" s="97"/>
      <c r="I208" s="97"/>
      <c r="J208" s="97"/>
      <c r="K208" s="101"/>
    </row>
    <row r="209" spans="1:11" x14ac:dyDescent="0.2">
      <c r="A209" s="1" t="s">
        <v>257</v>
      </c>
      <c r="B209" s="1" t="str">
        <f>$B$11</f>
        <v>UIM</v>
      </c>
      <c r="C209" s="101"/>
      <c r="D209" s="101">
        <v>25.309000000000001</v>
      </c>
      <c r="E209" s="101">
        <v>27.018999999999998</v>
      </c>
      <c r="F209" s="97">
        <v>28.649000000000001</v>
      </c>
      <c r="G209" s="97">
        <v>29.623999999999999</v>
      </c>
      <c r="H209" s="97">
        <v>30.108000000000001</v>
      </c>
      <c r="I209" s="97">
        <v>31.733000000000001</v>
      </c>
      <c r="J209" s="97">
        <v>33.259</v>
      </c>
      <c r="K209" s="101"/>
    </row>
    <row r="210" spans="1:11" x14ac:dyDescent="0.2">
      <c r="A210" s="1" t="s">
        <v>258</v>
      </c>
      <c r="B210" s="1" t="str">
        <f>$B$11</f>
        <v>UIM</v>
      </c>
      <c r="C210" s="101"/>
      <c r="D210" s="101">
        <v>10.295999999999999</v>
      </c>
      <c r="E210" s="101">
        <v>11.054</v>
      </c>
      <c r="F210" s="97">
        <v>12.686999999999999</v>
      </c>
      <c r="G210" s="97">
        <v>13.045</v>
      </c>
      <c r="H210" s="97">
        <v>13.925000000000001</v>
      </c>
      <c r="I210" s="97">
        <v>14.78</v>
      </c>
      <c r="J210" s="97">
        <v>15.513999999999999</v>
      </c>
      <c r="K210" s="101"/>
    </row>
    <row r="211" spans="1:11" x14ac:dyDescent="0.2">
      <c r="A211" s="1" t="s">
        <v>259</v>
      </c>
      <c r="B211" s="1" t="str">
        <f>$B$11</f>
        <v>UIM</v>
      </c>
      <c r="C211" s="101"/>
      <c r="D211" s="101">
        <v>17.169</v>
      </c>
      <c r="E211" s="101">
        <v>18.207999999999998</v>
      </c>
      <c r="F211" s="97">
        <v>19.663</v>
      </c>
      <c r="G211" s="97">
        <v>20.405000000000001</v>
      </c>
      <c r="H211" s="97">
        <v>21.530999999999999</v>
      </c>
      <c r="I211" s="97">
        <v>22.481999999999999</v>
      </c>
      <c r="J211" s="97">
        <v>23.379000000000001</v>
      </c>
      <c r="K211" s="101"/>
    </row>
    <row r="212" spans="1:11" x14ac:dyDescent="0.2">
      <c r="A212" s="1" t="s">
        <v>260</v>
      </c>
      <c r="B212" s="1" t="str">
        <f>$B$11</f>
        <v>UIM</v>
      </c>
      <c r="C212" s="101"/>
      <c r="D212" s="101">
        <v>3.2029999999999998</v>
      </c>
      <c r="E212" s="101">
        <v>3.4710000000000001</v>
      </c>
      <c r="F212" s="97">
        <v>3.5990000000000002</v>
      </c>
      <c r="G212" s="97">
        <v>3.6389999999999998</v>
      </c>
      <c r="H212" s="97">
        <v>3.7029999999999998</v>
      </c>
      <c r="I212" s="97">
        <v>3.7690000000000001</v>
      </c>
      <c r="J212" s="97">
        <v>3.8340000000000001</v>
      </c>
      <c r="K212" s="101"/>
    </row>
    <row r="213" spans="1:11" x14ac:dyDescent="0.2">
      <c r="A213" s="1" t="s">
        <v>261</v>
      </c>
      <c r="B213" s="1" t="str">
        <f>$B$11</f>
        <v>UIM</v>
      </c>
      <c r="C213" s="101"/>
      <c r="D213" s="101">
        <v>10.078000000000001</v>
      </c>
      <c r="E213" s="101">
        <v>9.9160000000000004</v>
      </c>
      <c r="F213" s="97">
        <v>10.414</v>
      </c>
      <c r="G213" s="97">
        <v>10.873000000000001</v>
      </c>
      <c r="H213" s="97">
        <v>11.39</v>
      </c>
      <c r="I213" s="97">
        <v>12.299000000000001</v>
      </c>
      <c r="J213" s="97">
        <v>13.077000000000002</v>
      </c>
      <c r="K213" s="101"/>
    </row>
    <row r="214" spans="1:11" ht="15" x14ac:dyDescent="0.25">
      <c r="A214" s="27" t="s">
        <v>262</v>
      </c>
      <c r="C214" s="101"/>
      <c r="D214" s="106" t="str">
        <f t="shared" ref="D214:J214" si="43">IF(ROUND(D$9-SUM(D$209:D$213),3)=0,"OK","ERROR")</f>
        <v>OK</v>
      </c>
      <c r="E214" s="106" t="str">
        <f t="shared" si="43"/>
        <v>OK</v>
      </c>
      <c r="F214" s="107" t="str">
        <f t="shared" si="43"/>
        <v>OK</v>
      </c>
      <c r="G214" s="107" t="str">
        <f t="shared" si="43"/>
        <v>OK</v>
      </c>
      <c r="H214" s="107" t="str">
        <f t="shared" si="43"/>
        <v>OK</v>
      </c>
      <c r="I214" s="107" t="str">
        <f t="shared" si="43"/>
        <v>OK</v>
      </c>
      <c r="J214" s="107" t="str">
        <f t="shared" si="43"/>
        <v>OK</v>
      </c>
      <c r="K214" s="101"/>
    </row>
    <row r="215" spans="1:11" ht="15" x14ac:dyDescent="0.25">
      <c r="A215" s="27" t="s">
        <v>276</v>
      </c>
      <c r="C215" s="101"/>
      <c r="D215" s="111"/>
      <c r="E215" s="111"/>
      <c r="F215" s="112"/>
      <c r="G215" s="112"/>
      <c r="H215" s="112"/>
      <c r="I215" s="112"/>
      <c r="J215" s="112"/>
      <c r="K215" s="101"/>
    </row>
    <row r="216" spans="1:11" x14ac:dyDescent="0.2">
      <c r="A216" s="1" t="s">
        <v>263</v>
      </c>
      <c r="B216" s="1" t="str">
        <f>$B$11</f>
        <v>UIM</v>
      </c>
      <c r="C216" s="101"/>
      <c r="D216" s="101">
        <v>3.2759999999999998</v>
      </c>
      <c r="E216" s="101">
        <v>2.819</v>
      </c>
      <c r="F216" s="97">
        <v>2.8239999999999998</v>
      </c>
      <c r="G216" s="97">
        <v>2.7090000000000001</v>
      </c>
      <c r="H216" s="97">
        <v>2.8740000000000001</v>
      </c>
      <c r="I216" s="97">
        <v>3.2509999999999999</v>
      </c>
      <c r="J216" s="97">
        <v>3.4260000000000002</v>
      </c>
      <c r="K216" s="101"/>
    </row>
    <row r="217" spans="1:11" x14ac:dyDescent="0.2">
      <c r="A217" s="1" t="s">
        <v>278</v>
      </c>
      <c r="B217" s="1" t="str">
        <f>$B$11</f>
        <v>UIM</v>
      </c>
      <c r="C217" s="101"/>
      <c r="D217" s="101">
        <v>1.677</v>
      </c>
      <c r="E217" s="101">
        <v>1.8240000000000001</v>
      </c>
      <c r="F217" s="97">
        <v>2.1629999999999998</v>
      </c>
      <c r="G217" s="97">
        <v>2.37</v>
      </c>
      <c r="H217" s="97">
        <v>2.548</v>
      </c>
      <c r="I217" s="97">
        <v>2.5750000000000002</v>
      </c>
      <c r="J217" s="97">
        <v>2.6139999999999999</v>
      </c>
      <c r="K217" s="101"/>
    </row>
    <row r="218" spans="1:11" ht="15" x14ac:dyDescent="0.25">
      <c r="A218" s="27" t="s">
        <v>277</v>
      </c>
      <c r="C218" s="101"/>
      <c r="D218" s="106" t="str">
        <f t="shared" ref="D218:J218" si="44">IF(ROUND(D$10-SUM(D$216,D$217),3)=0,"OK","ERROR")</f>
        <v>OK</v>
      </c>
      <c r="E218" s="106" t="str">
        <f t="shared" si="44"/>
        <v>OK</v>
      </c>
      <c r="F218" s="107" t="str">
        <f t="shared" si="44"/>
        <v>OK</v>
      </c>
      <c r="G218" s="107" t="str">
        <f t="shared" si="44"/>
        <v>OK</v>
      </c>
      <c r="H218" s="107" t="str">
        <f t="shared" si="44"/>
        <v>OK</v>
      </c>
      <c r="I218" s="107" t="str">
        <f t="shared" si="44"/>
        <v>OK</v>
      </c>
      <c r="J218" s="107" t="str">
        <f t="shared" si="44"/>
        <v>OK</v>
      </c>
      <c r="K218" s="101"/>
    </row>
    <row r="219" spans="1:11" ht="15" x14ac:dyDescent="0.25">
      <c r="A219" s="27" t="s">
        <v>146</v>
      </c>
      <c r="C219" s="101"/>
      <c r="D219" s="101"/>
      <c r="E219" s="101"/>
      <c r="F219" s="97"/>
      <c r="G219" s="97"/>
      <c r="H219" s="97"/>
      <c r="I219" s="97"/>
      <c r="J219" s="97"/>
      <c r="K219" s="101"/>
    </row>
    <row r="220" spans="1:11" x14ac:dyDescent="0.2">
      <c r="A220" s="1" t="s">
        <v>279</v>
      </c>
      <c r="B220" s="1" t="str">
        <f>$B$11</f>
        <v>UIM</v>
      </c>
      <c r="C220" s="101"/>
      <c r="D220" s="101">
        <v>1.429</v>
      </c>
      <c r="E220" s="101">
        <v>1.484</v>
      </c>
      <c r="F220" s="97">
        <v>1.4390000000000001</v>
      </c>
      <c r="G220" s="97">
        <v>1.405</v>
      </c>
      <c r="H220" s="97">
        <v>1.4339999999999999</v>
      </c>
      <c r="I220" s="97">
        <v>1.468</v>
      </c>
      <c r="J220" s="97">
        <v>1.4730000000000001</v>
      </c>
      <c r="K220" s="101"/>
    </row>
    <row r="221" spans="1:11" x14ac:dyDescent="0.2">
      <c r="A221" s="1" t="s">
        <v>280</v>
      </c>
      <c r="B221" s="1" t="str">
        <f>$B$11</f>
        <v>UIM</v>
      </c>
      <c r="C221" s="101"/>
      <c r="D221" s="101">
        <v>1.0429999999999999</v>
      </c>
      <c r="E221" s="101">
        <v>0.997</v>
      </c>
      <c r="F221" s="97">
        <v>0.91200000000000003</v>
      </c>
      <c r="G221" s="97">
        <v>1.02</v>
      </c>
      <c r="H221" s="97">
        <v>1.0760000000000001</v>
      </c>
      <c r="I221" s="97">
        <v>1.143</v>
      </c>
      <c r="J221" s="97">
        <v>1.1970000000000001</v>
      </c>
      <c r="K221" s="101"/>
    </row>
    <row r="222" spans="1:11" x14ac:dyDescent="0.2">
      <c r="A222" s="1" t="s">
        <v>281</v>
      </c>
      <c r="B222" s="1" t="str">
        <f>$B$11</f>
        <v>UIM</v>
      </c>
      <c r="C222" s="101"/>
      <c r="D222" s="101">
        <v>-1.4</v>
      </c>
      <c r="E222" s="101">
        <v>-1.2669999999999999</v>
      </c>
      <c r="F222" s="97">
        <v>-1.351</v>
      </c>
      <c r="G222" s="97">
        <v>-1.165</v>
      </c>
      <c r="H222" s="97">
        <v>-1.1579999999999999</v>
      </c>
      <c r="I222" s="97">
        <v>-1.1950000000000001</v>
      </c>
      <c r="J222" s="97">
        <v>-1.2090000000000001</v>
      </c>
      <c r="K222" s="101"/>
    </row>
    <row r="223" spans="1:11" ht="15" x14ac:dyDescent="0.25">
      <c r="A223" s="27" t="s">
        <v>282</v>
      </c>
      <c r="C223" s="101"/>
      <c r="D223" s="106" t="str">
        <f t="shared" ref="D223:J223" si="45">IF(ROUND(D$12-SUM(D$153,D$220:D$222),3)=0,"OK","ERROR")</f>
        <v>OK</v>
      </c>
      <c r="E223" s="106" t="str">
        <f t="shared" si="45"/>
        <v>OK</v>
      </c>
      <c r="F223" s="107" t="str">
        <f t="shared" si="45"/>
        <v>OK</v>
      </c>
      <c r="G223" s="107" t="str">
        <f t="shared" si="45"/>
        <v>OK</v>
      </c>
      <c r="H223" s="107" t="str">
        <f t="shared" si="45"/>
        <v>OK</v>
      </c>
      <c r="I223" s="107" t="str">
        <f t="shared" si="45"/>
        <v>OK</v>
      </c>
      <c r="J223" s="107" t="str">
        <f t="shared" si="45"/>
        <v>OK</v>
      </c>
      <c r="K223" s="101"/>
    </row>
    <row r="224" spans="1:11" ht="15" x14ac:dyDescent="0.25">
      <c r="A224" s="27" t="s">
        <v>149</v>
      </c>
      <c r="C224" s="101"/>
      <c r="D224" s="101"/>
      <c r="E224" s="101"/>
      <c r="F224" s="97"/>
      <c r="G224" s="97"/>
      <c r="H224" s="97"/>
      <c r="I224" s="97"/>
      <c r="J224" s="97"/>
      <c r="K224" s="101"/>
    </row>
    <row r="225" spans="1:11" x14ac:dyDescent="0.2">
      <c r="A225" s="1" t="s">
        <v>297</v>
      </c>
      <c r="B225" s="1" t="str">
        <f t="shared" ref="B225:B231" si="46">$B$11</f>
        <v>UIM</v>
      </c>
      <c r="C225" s="101"/>
      <c r="D225" s="101">
        <v>11.590999999999999</v>
      </c>
      <c r="E225" s="101">
        <v>12.266999999999999</v>
      </c>
      <c r="F225" s="97">
        <v>13.042999999999999</v>
      </c>
      <c r="G225" s="97">
        <v>13.682</v>
      </c>
      <c r="H225" s="97">
        <v>14.412000000000001</v>
      </c>
      <c r="I225" s="97">
        <v>15.281000000000001</v>
      </c>
      <c r="J225" s="97">
        <v>16.085000000000001</v>
      </c>
      <c r="K225" s="101"/>
    </row>
    <row r="226" spans="1:11" x14ac:dyDescent="0.2">
      <c r="A226" s="1" t="s">
        <v>298</v>
      </c>
      <c r="B226" s="1" t="str">
        <f t="shared" si="46"/>
        <v>UIM</v>
      </c>
      <c r="C226" s="101"/>
      <c r="D226" s="101">
        <v>1.6839999999999999</v>
      </c>
      <c r="E226" s="101">
        <v>1.671</v>
      </c>
      <c r="F226" s="97">
        <v>1.6970000000000001</v>
      </c>
      <c r="G226" s="97">
        <v>1.671</v>
      </c>
      <c r="H226" s="97">
        <v>1.629</v>
      </c>
      <c r="I226" s="97">
        <v>1.5589999999999999</v>
      </c>
      <c r="J226" s="97">
        <v>1.5489999999999999</v>
      </c>
      <c r="K226" s="101"/>
    </row>
    <row r="227" spans="1:11" x14ac:dyDescent="0.2">
      <c r="A227" s="1" t="s">
        <v>299</v>
      </c>
      <c r="B227" s="1" t="str">
        <f t="shared" si="46"/>
        <v>UIM</v>
      </c>
      <c r="C227" s="101"/>
      <c r="D227" s="101">
        <v>1.5149999999999999</v>
      </c>
      <c r="E227" s="101">
        <v>1.5229999999999999</v>
      </c>
      <c r="F227" s="97">
        <v>1.5329999999999999</v>
      </c>
      <c r="G227" s="97">
        <v>1.536</v>
      </c>
      <c r="H227" s="97">
        <v>1.5429999999999999</v>
      </c>
      <c r="I227" s="97">
        <v>1.5609999999999999</v>
      </c>
      <c r="J227" s="97">
        <v>1.5740000000000001</v>
      </c>
      <c r="K227" s="101"/>
    </row>
    <row r="228" spans="1:11" x14ac:dyDescent="0.2">
      <c r="A228" s="1" t="s">
        <v>300</v>
      </c>
      <c r="B228" s="1" t="str">
        <f t="shared" si="46"/>
        <v>UIM</v>
      </c>
      <c r="C228" s="101"/>
      <c r="D228" s="101">
        <v>1.1859999999999999</v>
      </c>
      <c r="E228" s="101">
        <v>1.153</v>
      </c>
      <c r="F228" s="97">
        <v>1.159</v>
      </c>
      <c r="G228" s="97">
        <v>1.0860000000000001</v>
      </c>
      <c r="H228" s="97">
        <v>1.0429999999999999</v>
      </c>
      <c r="I228" s="97">
        <v>1.048</v>
      </c>
      <c r="J228" s="97">
        <v>1.0649999999999999</v>
      </c>
      <c r="K228" s="101"/>
    </row>
    <row r="229" spans="1:11" x14ac:dyDescent="0.2">
      <c r="A229" s="1" t="s">
        <v>491</v>
      </c>
      <c r="B229" s="1" t="str">
        <f t="shared" si="46"/>
        <v>UIM</v>
      </c>
      <c r="C229" s="101"/>
      <c r="D229" s="101">
        <v>2.403</v>
      </c>
      <c r="E229" s="101">
        <v>2.3519999999999999</v>
      </c>
      <c r="F229" s="97">
        <v>2.319</v>
      </c>
      <c r="G229" s="97">
        <v>2.407</v>
      </c>
      <c r="H229" s="97">
        <v>2.669</v>
      </c>
      <c r="I229" s="97">
        <v>2.5990000000000002</v>
      </c>
      <c r="J229" s="97">
        <v>2.577</v>
      </c>
      <c r="K229" s="101"/>
    </row>
    <row r="230" spans="1:11" x14ac:dyDescent="0.2">
      <c r="A230" s="1" t="s">
        <v>493</v>
      </c>
      <c r="B230" s="1" t="str">
        <f t="shared" si="46"/>
        <v>UIM</v>
      </c>
      <c r="C230" s="101"/>
      <c r="D230" s="101">
        <v>3.464</v>
      </c>
      <c r="E230" s="101">
        <v>3.6280000000000001</v>
      </c>
      <c r="F230" s="97">
        <v>3.8069999999999999</v>
      </c>
      <c r="G230" s="97">
        <v>4.1349999999999998</v>
      </c>
      <c r="H230" s="97">
        <v>4.3780000000000001</v>
      </c>
      <c r="I230" s="97">
        <v>4.4359999999999999</v>
      </c>
      <c r="J230" s="97">
        <v>4.5549999999999997</v>
      </c>
      <c r="K230" s="101"/>
    </row>
    <row r="231" spans="1:11" x14ac:dyDescent="0.2">
      <c r="A231" s="1" t="s">
        <v>301</v>
      </c>
      <c r="B231" s="1" t="str">
        <f t="shared" si="46"/>
        <v>UIM</v>
      </c>
      <c r="C231" s="101"/>
      <c r="D231" s="101">
        <v>0.51100000000000001</v>
      </c>
      <c r="E231" s="101">
        <v>0.48599999999999999</v>
      </c>
      <c r="F231" s="97">
        <v>0.47699999999999998</v>
      </c>
      <c r="G231" s="97">
        <v>0.505</v>
      </c>
      <c r="H231" s="97">
        <v>0.51700000000000002</v>
      </c>
      <c r="I231" s="97">
        <v>0.51900000000000002</v>
      </c>
      <c r="J231" s="97">
        <v>0.52600000000000002</v>
      </c>
      <c r="K231" s="101"/>
    </row>
    <row r="232" spans="1:11" x14ac:dyDescent="0.2">
      <c r="A232" s="1" t="s">
        <v>303</v>
      </c>
      <c r="B232" s="1" t="str">
        <f>$B$11</f>
        <v>UIM</v>
      </c>
      <c r="C232" s="101"/>
      <c r="D232" s="101">
        <v>0.85599999999999998</v>
      </c>
      <c r="E232" s="101">
        <v>0.69799999999999995</v>
      </c>
      <c r="F232" s="97">
        <v>0.80500000000000005</v>
      </c>
      <c r="G232" s="97">
        <v>0.82799999999999996</v>
      </c>
      <c r="H232" s="97">
        <v>0.86899999999999999</v>
      </c>
      <c r="I232" s="97">
        <v>0.90900000000000003</v>
      </c>
      <c r="J232" s="97">
        <v>0.95399999999999996</v>
      </c>
      <c r="K232" s="101"/>
    </row>
    <row r="233" spans="1:11" x14ac:dyDescent="0.2">
      <c r="A233" s="1" t="s">
        <v>304</v>
      </c>
      <c r="B233" s="1" t="str">
        <f>$B$11</f>
        <v>UIM</v>
      </c>
      <c r="C233" s="101"/>
      <c r="D233" s="101">
        <v>0.51300000000000001</v>
      </c>
      <c r="E233" s="101">
        <v>0.53400000000000003</v>
      </c>
      <c r="F233" s="97">
        <v>0.53900000000000003</v>
      </c>
      <c r="G233" s="97">
        <v>0.64400000000000002</v>
      </c>
      <c r="H233" s="97">
        <v>0.58599999999999997</v>
      </c>
      <c r="I233" s="97">
        <v>0.58599999999999997</v>
      </c>
      <c r="J233" s="97">
        <v>0.58599999999999997</v>
      </c>
      <c r="K233" s="101"/>
    </row>
    <row r="234" spans="1:11" ht="15" x14ac:dyDescent="0.25">
      <c r="A234" s="27" t="s">
        <v>302</v>
      </c>
      <c r="C234" s="101"/>
      <c r="D234" s="106" t="str">
        <f>IF(ROUND(D$15-SUM(D$225:D$233),3)=0,"OK","ERROR")</f>
        <v>OK</v>
      </c>
      <c r="E234" s="106" t="str">
        <f t="shared" ref="E234:J234" si="47">IF(ROUND(E$15-SUM(E$225:E$233),3)=0,"OK","ERROR")</f>
        <v>OK</v>
      </c>
      <c r="F234" s="107" t="str">
        <f t="shared" si="47"/>
        <v>OK</v>
      </c>
      <c r="G234" s="107" t="str">
        <f t="shared" si="47"/>
        <v>OK</v>
      </c>
      <c r="H234" s="107" t="str">
        <f t="shared" si="47"/>
        <v>OK</v>
      </c>
      <c r="I234" s="107" t="str">
        <f t="shared" si="47"/>
        <v>OK</v>
      </c>
      <c r="J234" s="107" t="str">
        <f t="shared" si="47"/>
        <v>OK</v>
      </c>
      <c r="K234" s="101"/>
    </row>
    <row r="235" spans="1:11" ht="15" x14ac:dyDescent="0.25">
      <c r="A235" s="27" t="s">
        <v>150</v>
      </c>
      <c r="C235" s="101"/>
      <c r="D235" s="101"/>
      <c r="E235" s="101"/>
      <c r="F235" s="97"/>
      <c r="G235" s="97"/>
      <c r="H235" s="97"/>
      <c r="I235" s="97"/>
      <c r="J235" s="97"/>
      <c r="K235" s="101"/>
    </row>
    <row r="236" spans="1:11" x14ac:dyDescent="0.2">
      <c r="A236" s="1" t="s">
        <v>279</v>
      </c>
      <c r="B236" s="1" t="str">
        <f>$B$11</f>
        <v>UIM</v>
      </c>
      <c r="C236" s="101"/>
      <c r="D236" s="101">
        <v>11.66</v>
      </c>
      <c r="E236" s="101">
        <v>12.205</v>
      </c>
      <c r="F236" s="97">
        <v>12.669</v>
      </c>
      <c r="G236" s="97">
        <v>12.968</v>
      </c>
      <c r="H236" s="97">
        <v>13.051</v>
      </c>
      <c r="I236" s="97">
        <v>13.083</v>
      </c>
      <c r="J236" s="97">
        <v>13.244</v>
      </c>
      <c r="K236" s="101"/>
    </row>
    <row r="237" spans="1:11" x14ac:dyDescent="0.2">
      <c r="A237" s="1" t="s">
        <v>280</v>
      </c>
      <c r="B237" s="1" t="str">
        <f>$B$11</f>
        <v>UIM</v>
      </c>
      <c r="C237" s="101"/>
      <c r="D237" s="101">
        <v>2.9350000000000001</v>
      </c>
      <c r="E237" s="101">
        <v>2.9209999999999998</v>
      </c>
      <c r="F237" s="97">
        <v>2.863</v>
      </c>
      <c r="G237" s="97">
        <v>2.88</v>
      </c>
      <c r="H237" s="97">
        <v>2.9990000000000001</v>
      </c>
      <c r="I237" s="97">
        <v>3.1459999999999999</v>
      </c>
      <c r="J237" s="97">
        <v>3.28</v>
      </c>
      <c r="K237" s="101"/>
    </row>
    <row r="238" spans="1:11" x14ac:dyDescent="0.2">
      <c r="A238" s="1" t="s">
        <v>281</v>
      </c>
      <c r="B238" s="1" t="str">
        <f>$B$11</f>
        <v>UIM</v>
      </c>
      <c r="C238" s="101"/>
      <c r="D238" s="101">
        <v>-2.3E-2</v>
      </c>
      <c r="E238" s="101">
        <v>-2.9000000000000001E-2</v>
      </c>
      <c r="F238" s="97">
        <v>-3.5999999999999997E-2</v>
      </c>
      <c r="G238" s="97">
        <v>-3.6999999999999998E-2</v>
      </c>
      <c r="H238" s="97">
        <v>-3.6999999999999998E-2</v>
      </c>
      <c r="I238" s="97">
        <v>-3.6999999999999998E-2</v>
      </c>
      <c r="J238" s="97">
        <v>-3.7999999999999999E-2</v>
      </c>
      <c r="K238" s="101"/>
    </row>
    <row r="239" spans="1:11" ht="15" x14ac:dyDescent="0.25">
      <c r="A239" s="27" t="s">
        <v>305</v>
      </c>
      <c r="C239" s="101"/>
      <c r="D239" s="106" t="str">
        <f t="shared" ref="D239:J239" si="48">IF(ROUND(D$16-SUM(D$158,D$236:D$238),3)=0,"OK","ERROR")</f>
        <v>OK</v>
      </c>
      <c r="E239" s="106" t="str">
        <f t="shared" si="48"/>
        <v>OK</v>
      </c>
      <c r="F239" s="107" t="str">
        <f t="shared" si="48"/>
        <v>OK</v>
      </c>
      <c r="G239" s="107" t="str">
        <f t="shared" si="48"/>
        <v>OK</v>
      </c>
      <c r="H239" s="107" t="str">
        <f t="shared" si="48"/>
        <v>OK</v>
      </c>
      <c r="I239" s="107" t="str">
        <f t="shared" si="48"/>
        <v>OK</v>
      </c>
      <c r="J239" s="107" t="str">
        <f t="shared" si="48"/>
        <v>OK</v>
      </c>
      <c r="K239" s="101"/>
    </row>
    <row r="240" spans="1:11" ht="15" x14ac:dyDescent="0.25">
      <c r="A240" s="27" t="s">
        <v>306</v>
      </c>
      <c r="C240" s="101"/>
      <c r="D240" s="101"/>
      <c r="E240" s="101"/>
      <c r="F240" s="97"/>
      <c r="G240" s="97"/>
      <c r="H240" s="97"/>
      <c r="I240" s="97"/>
      <c r="J240" s="97"/>
      <c r="K240" s="101"/>
    </row>
    <row r="241" spans="1:11" x14ac:dyDescent="0.2">
      <c r="A241" s="1" t="s">
        <v>307</v>
      </c>
      <c r="B241" s="1" t="str">
        <f>$B$11</f>
        <v>UIM</v>
      </c>
      <c r="C241" s="101"/>
      <c r="D241" s="101">
        <v>1.4410000000000001</v>
      </c>
      <c r="E241" s="101">
        <v>1.5289999999999999</v>
      </c>
      <c r="F241" s="97">
        <v>1.629</v>
      </c>
      <c r="G241" s="97">
        <v>1.768</v>
      </c>
      <c r="H241" s="97">
        <v>1.821</v>
      </c>
      <c r="I241" s="97">
        <v>1.8939999999999999</v>
      </c>
      <c r="J241" s="97">
        <v>1.9490000000000001</v>
      </c>
      <c r="K241" s="101"/>
    </row>
    <row r="242" spans="1:11" x14ac:dyDescent="0.2">
      <c r="A242" s="1" t="s">
        <v>279</v>
      </c>
      <c r="B242" s="1" t="str">
        <f>$B$11</f>
        <v>UIM</v>
      </c>
      <c r="C242" s="101"/>
      <c r="D242" s="101">
        <v>1.7509999999999999</v>
      </c>
      <c r="E242" s="101">
        <v>1.6859999999999999</v>
      </c>
      <c r="F242" s="97">
        <v>1.702</v>
      </c>
      <c r="G242" s="97">
        <v>1.7789999999999999</v>
      </c>
      <c r="H242" s="97">
        <v>1.8360000000000001</v>
      </c>
      <c r="I242" s="97">
        <v>1.85</v>
      </c>
      <c r="J242" s="97">
        <v>1.871</v>
      </c>
      <c r="K242" s="101"/>
    </row>
    <row r="243" spans="1:11" x14ac:dyDescent="0.2">
      <c r="A243" s="1" t="s">
        <v>280</v>
      </c>
      <c r="B243" s="1" t="str">
        <f>$B$11</f>
        <v>UIM</v>
      </c>
      <c r="C243" s="101"/>
      <c r="D243" s="101">
        <v>1.65</v>
      </c>
      <c r="E243" s="101">
        <v>1.66</v>
      </c>
      <c r="F243" s="97">
        <v>1.8320000000000001</v>
      </c>
      <c r="G243" s="97">
        <v>1.78</v>
      </c>
      <c r="H243" s="97">
        <v>1.8340000000000001</v>
      </c>
      <c r="I243" s="97">
        <v>1.851</v>
      </c>
      <c r="J243" s="97">
        <v>1.8640000000000001</v>
      </c>
      <c r="K243" s="101"/>
    </row>
    <row r="244" spans="1:11" x14ac:dyDescent="0.2">
      <c r="A244" s="1" t="s">
        <v>281</v>
      </c>
      <c r="B244" s="1" t="str">
        <f>$B$11</f>
        <v>UIM</v>
      </c>
      <c r="C244" s="101"/>
      <c r="D244" s="101">
        <v>0</v>
      </c>
      <c r="E244" s="101">
        <v>0</v>
      </c>
      <c r="F244" s="97">
        <v>0</v>
      </c>
      <c r="G244" s="97">
        <v>0</v>
      </c>
      <c r="H244" s="97">
        <v>0</v>
      </c>
      <c r="I244" s="97">
        <v>0</v>
      </c>
      <c r="J244" s="97">
        <v>0</v>
      </c>
      <c r="K244" s="101"/>
    </row>
    <row r="245" spans="1:11" ht="15" x14ac:dyDescent="0.25">
      <c r="A245" s="27" t="s">
        <v>308</v>
      </c>
      <c r="C245" s="101"/>
      <c r="D245" s="106" t="str">
        <f t="shared" ref="D245:J245" si="49">IF(ROUND(D$17-SUM(D$241:D$244),3)=0,"OK","ERROR")</f>
        <v>OK</v>
      </c>
      <c r="E245" s="106" t="str">
        <f t="shared" si="49"/>
        <v>OK</v>
      </c>
      <c r="F245" s="107" t="str">
        <f t="shared" si="49"/>
        <v>OK</v>
      </c>
      <c r="G245" s="107" t="str">
        <f t="shared" si="49"/>
        <v>OK</v>
      </c>
      <c r="H245" s="107" t="str">
        <f t="shared" si="49"/>
        <v>OK</v>
      </c>
      <c r="I245" s="107" t="str">
        <f t="shared" si="49"/>
        <v>OK</v>
      </c>
      <c r="J245" s="107" t="str">
        <f t="shared" si="49"/>
        <v>OK</v>
      </c>
      <c r="K245" s="101"/>
    </row>
    <row r="246" spans="1:11" ht="15" x14ac:dyDescent="0.25">
      <c r="A246" s="27" t="s">
        <v>1293</v>
      </c>
      <c r="C246" s="101"/>
      <c r="D246" s="101"/>
      <c r="E246" s="101"/>
      <c r="F246" s="97"/>
      <c r="G246" s="97"/>
      <c r="H246" s="97"/>
      <c r="I246" s="97"/>
      <c r="J246" s="97"/>
      <c r="K246" s="101"/>
    </row>
    <row r="247" spans="1:11" x14ac:dyDescent="0.2">
      <c r="A247" s="1" t="s">
        <v>307</v>
      </c>
      <c r="B247" s="1" t="str">
        <f>$B$11</f>
        <v>UIM</v>
      </c>
      <c r="C247" s="101"/>
      <c r="D247" s="101">
        <v>36.857999999999997</v>
      </c>
      <c r="E247" s="101">
        <v>37.832000000000001</v>
      </c>
      <c r="F247" s="97">
        <v>39.380000000000003</v>
      </c>
      <c r="G247" s="97">
        <v>42.786999999999999</v>
      </c>
      <c r="H247" s="97">
        <v>42.177999999999997</v>
      </c>
      <c r="I247" s="97">
        <v>41.945</v>
      </c>
      <c r="J247" s="97">
        <v>42.473999999999997</v>
      </c>
      <c r="K247" s="101"/>
    </row>
    <row r="248" spans="1:11" x14ac:dyDescent="0.2">
      <c r="A248" s="1" t="s">
        <v>279</v>
      </c>
      <c r="B248" s="1" t="str">
        <f>$B$11</f>
        <v>UIM</v>
      </c>
      <c r="C248" s="101"/>
      <c r="D248" s="101">
        <v>17.914000000000001</v>
      </c>
      <c r="E248" s="101">
        <v>18.613</v>
      </c>
      <c r="F248" s="97">
        <v>19.497</v>
      </c>
      <c r="G248" s="97">
        <v>20.463000000000001</v>
      </c>
      <c r="H248" s="97">
        <v>20.138000000000002</v>
      </c>
      <c r="I248" s="97">
        <v>19.867999999999999</v>
      </c>
      <c r="J248" s="97">
        <v>20.382000000000001</v>
      </c>
      <c r="K248" s="101"/>
    </row>
    <row r="249" spans="1:11" x14ac:dyDescent="0.2">
      <c r="A249" s="1" t="s">
        <v>280</v>
      </c>
      <c r="B249" s="1" t="str">
        <f>$B$11</f>
        <v>UIM</v>
      </c>
      <c r="C249" s="101"/>
      <c r="D249" s="101">
        <v>9.3330000000000002</v>
      </c>
      <c r="E249" s="101">
        <v>8.4640000000000004</v>
      </c>
      <c r="F249" s="97">
        <v>8.9179999999999993</v>
      </c>
      <c r="G249" s="97">
        <v>9.6829999999999998</v>
      </c>
      <c r="H249" s="97">
        <v>10.169</v>
      </c>
      <c r="I249" s="97">
        <v>10.555</v>
      </c>
      <c r="J249" s="97">
        <v>10.917</v>
      </c>
      <c r="K249" s="101"/>
    </row>
    <row r="250" spans="1:11" x14ac:dyDescent="0.2">
      <c r="A250" s="1" t="s">
        <v>281</v>
      </c>
      <c r="B250" s="1" t="str">
        <f>$B$11</f>
        <v>UIM</v>
      </c>
      <c r="C250" s="101"/>
      <c r="D250" s="101">
        <v>-28.195</v>
      </c>
      <c r="E250" s="101">
        <v>-29.04</v>
      </c>
      <c r="F250" s="97">
        <v>-30.004999999999999</v>
      </c>
      <c r="G250" s="97">
        <v>-31.39</v>
      </c>
      <c r="H250" s="97">
        <v>-31.318999999999999</v>
      </c>
      <c r="I250" s="97">
        <v>-31.265000000000001</v>
      </c>
      <c r="J250" s="97">
        <v>-31.943999999999999</v>
      </c>
      <c r="K250" s="101"/>
    </row>
    <row r="251" spans="1:11" ht="15" x14ac:dyDescent="0.25">
      <c r="A251" s="27" t="s">
        <v>309</v>
      </c>
      <c r="C251" s="101"/>
      <c r="D251" s="106" t="str">
        <f t="shared" ref="D251:J251" si="50">IF(ROUND(D$18-SUM(D$247:D$250),3)=0,"OK","ERROR")</f>
        <v>OK</v>
      </c>
      <c r="E251" s="106" t="str">
        <f t="shared" si="50"/>
        <v>OK</v>
      </c>
      <c r="F251" s="107" t="str">
        <f t="shared" si="50"/>
        <v>OK</v>
      </c>
      <c r="G251" s="107" t="str">
        <f t="shared" si="50"/>
        <v>OK</v>
      </c>
      <c r="H251" s="107" t="str">
        <f t="shared" si="50"/>
        <v>OK</v>
      </c>
      <c r="I251" s="107" t="str">
        <f t="shared" si="50"/>
        <v>OK</v>
      </c>
      <c r="J251" s="107" t="str">
        <f t="shared" si="50"/>
        <v>OK</v>
      </c>
      <c r="K251" s="101"/>
    </row>
    <row r="252" spans="1:11" ht="15" x14ac:dyDescent="0.25">
      <c r="A252" s="27" t="s">
        <v>310</v>
      </c>
      <c r="C252" s="101"/>
      <c r="D252" s="101"/>
      <c r="E252" s="101"/>
      <c r="F252" s="97"/>
      <c r="G252" s="97"/>
      <c r="H252" s="97"/>
      <c r="I252" s="97"/>
      <c r="J252" s="97"/>
      <c r="K252" s="101"/>
    </row>
    <row r="253" spans="1:11" x14ac:dyDescent="0.2">
      <c r="A253" s="1" t="s">
        <v>279</v>
      </c>
      <c r="B253" s="1" t="str">
        <f>$B$11</f>
        <v>UIM</v>
      </c>
      <c r="C253" s="101"/>
      <c r="D253" s="101">
        <v>0.221</v>
      </c>
      <c r="E253" s="101">
        <v>0.215</v>
      </c>
      <c r="F253" s="97">
        <v>0.109</v>
      </c>
      <c r="G253" s="97">
        <v>5.2999999999999999E-2</v>
      </c>
      <c r="H253" s="97">
        <v>0.06</v>
      </c>
      <c r="I253" s="97">
        <v>6.8000000000000005E-2</v>
      </c>
      <c r="J253" s="97">
        <v>7.3999999999999996E-2</v>
      </c>
      <c r="K253" s="101"/>
    </row>
    <row r="254" spans="1:11" x14ac:dyDescent="0.2">
      <c r="A254" s="1" t="s">
        <v>280</v>
      </c>
      <c r="B254" s="1" t="str">
        <f>$B$11</f>
        <v>UIM</v>
      </c>
      <c r="C254" s="101"/>
      <c r="D254" s="101">
        <v>1.28</v>
      </c>
      <c r="E254" s="101">
        <v>1.1539999999999999</v>
      </c>
      <c r="F254" s="97">
        <v>1.0680000000000001</v>
      </c>
      <c r="G254" s="97">
        <v>1.1539999999999999</v>
      </c>
      <c r="H254" s="97">
        <v>1.127</v>
      </c>
      <c r="I254" s="97">
        <v>1.1579999999999999</v>
      </c>
      <c r="J254" s="97">
        <v>1.137</v>
      </c>
      <c r="K254" s="101"/>
    </row>
    <row r="255" spans="1:11" x14ac:dyDescent="0.2">
      <c r="A255" s="1" t="s">
        <v>281</v>
      </c>
      <c r="B255" s="1" t="str">
        <f>$B$11</f>
        <v>UIM</v>
      </c>
      <c r="C255" s="101"/>
      <c r="D255" s="101">
        <v>-0.72099999999999997</v>
      </c>
      <c r="E255" s="101">
        <v>-0.623</v>
      </c>
      <c r="F255" s="97">
        <v>-0.52900000000000003</v>
      </c>
      <c r="G255" s="97">
        <v>-0.437</v>
      </c>
      <c r="H255" s="97">
        <v>-0.45200000000000001</v>
      </c>
      <c r="I255" s="97">
        <v>-0.47</v>
      </c>
      <c r="J255" s="97">
        <v>-0.47699999999999998</v>
      </c>
      <c r="K255" s="101"/>
    </row>
    <row r="256" spans="1:11" ht="15" x14ac:dyDescent="0.25">
      <c r="A256" s="27" t="s">
        <v>311</v>
      </c>
      <c r="C256" s="101"/>
      <c r="D256" s="106" t="str">
        <f t="shared" ref="D256:J256" si="51">IF(ROUND(D$19-SUM(D$160,D$253:D$255),3)=0,"OK","ERROR")</f>
        <v>OK</v>
      </c>
      <c r="E256" s="106" t="str">
        <f t="shared" si="51"/>
        <v>OK</v>
      </c>
      <c r="F256" s="107" t="str">
        <f t="shared" si="51"/>
        <v>OK</v>
      </c>
      <c r="G256" s="107" t="str">
        <f t="shared" si="51"/>
        <v>OK</v>
      </c>
      <c r="H256" s="107" t="str">
        <f t="shared" si="51"/>
        <v>OK</v>
      </c>
      <c r="I256" s="107" t="str">
        <f t="shared" si="51"/>
        <v>OK</v>
      </c>
      <c r="J256" s="107" t="str">
        <f t="shared" si="51"/>
        <v>OK</v>
      </c>
      <c r="K256" s="101"/>
    </row>
    <row r="257" spans="1:11" ht="15" x14ac:dyDescent="0.25">
      <c r="A257" s="27" t="s">
        <v>154</v>
      </c>
      <c r="C257" s="101"/>
      <c r="D257" s="111"/>
      <c r="E257" s="111"/>
      <c r="F257" s="112"/>
      <c r="G257" s="112"/>
      <c r="H257" s="112"/>
      <c r="I257" s="112"/>
      <c r="J257" s="112"/>
      <c r="K257" s="101"/>
    </row>
    <row r="258" spans="1:11" x14ac:dyDescent="0.2">
      <c r="A258" s="1" t="s">
        <v>312</v>
      </c>
      <c r="B258" s="1" t="str">
        <f>$B$11</f>
        <v>UIM</v>
      </c>
      <c r="C258" s="101"/>
      <c r="D258" s="101">
        <v>4.1040000000000001</v>
      </c>
      <c r="E258" s="101">
        <v>4.1660000000000004</v>
      </c>
      <c r="F258" s="97">
        <v>4.5970000000000004</v>
      </c>
      <c r="G258" s="97">
        <v>4.7990000000000004</v>
      </c>
      <c r="H258" s="97">
        <v>4.968</v>
      </c>
      <c r="I258" s="97">
        <v>5.415</v>
      </c>
      <c r="J258" s="97">
        <v>5.7430000000000003</v>
      </c>
      <c r="K258" s="101"/>
    </row>
    <row r="259" spans="1:11" x14ac:dyDescent="0.2">
      <c r="A259" s="1" t="s">
        <v>313</v>
      </c>
      <c r="B259" s="1" t="str">
        <f>$B$11</f>
        <v>UIM</v>
      </c>
      <c r="C259" s="101"/>
      <c r="D259" s="101">
        <v>-0.35699999999999998</v>
      </c>
      <c r="E259" s="101">
        <v>0.33700000000000002</v>
      </c>
      <c r="F259" s="97">
        <v>0.33800000000000002</v>
      </c>
      <c r="G259" s="97">
        <v>-0.14299999999999999</v>
      </c>
      <c r="H259" s="97">
        <v>0.10299999999999999</v>
      </c>
      <c r="I259" s="97">
        <v>0.19900000000000001</v>
      </c>
      <c r="J259" s="97">
        <v>0.2</v>
      </c>
      <c r="K259" s="101"/>
    </row>
    <row r="260" spans="1:11" x14ac:dyDescent="0.2">
      <c r="A260" s="1" t="s">
        <v>327</v>
      </c>
      <c r="B260" s="1" t="str">
        <f>$B$11</f>
        <v>UIM</v>
      </c>
      <c r="C260" s="101"/>
      <c r="D260" s="101">
        <v>0.36299999999999999</v>
      </c>
      <c r="E260" s="101">
        <v>0.222</v>
      </c>
      <c r="F260" s="97">
        <v>0.30499999999999999</v>
      </c>
      <c r="G260" s="97">
        <v>-5.8000000000000003E-2</v>
      </c>
      <c r="H260" s="97">
        <v>-0.02</v>
      </c>
      <c r="I260" s="97">
        <v>8.9999999999999993E-3</v>
      </c>
      <c r="J260" s="97">
        <v>8.0000000000000002E-3</v>
      </c>
      <c r="K260" s="101"/>
    </row>
    <row r="261" spans="1:11" ht="15.75" customHeight="1" x14ac:dyDescent="0.25">
      <c r="A261" s="27" t="s">
        <v>314</v>
      </c>
      <c r="C261" s="101"/>
      <c r="D261" s="106" t="str">
        <f t="shared" ref="D261:J261" si="52">IF(ROUND(D$20-SUM(D$258:D$260),3)=0,"OK","ERROR")</f>
        <v>OK</v>
      </c>
      <c r="E261" s="106" t="str">
        <f t="shared" si="52"/>
        <v>OK</v>
      </c>
      <c r="F261" s="107" t="str">
        <f t="shared" si="52"/>
        <v>OK</v>
      </c>
      <c r="G261" s="107" t="str">
        <f t="shared" si="52"/>
        <v>OK</v>
      </c>
      <c r="H261" s="107" t="str">
        <f t="shared" si="52"/>
        <v>OK</v>
      </c>
      <c r="I261" s="107" t="str">
        <f t="shared" si="52"/>
        <v>OK</v>
      </c>
      <c r="J261" s="107" t="str">
        <f t="shared" si="52"/>
        <v>OK</v>
      </c>
      <c r="K261" s="101"/>
    </row>
    <row r="262" spans="1:11" ht="15" x14ac:dyDescent="0.25">
      <c r="A262" s="27" t="s">
        <v>155</v>
      </c>
      <c r="C262" s="101"/>
      <c r="D262" s="101"/>
      <c r="E262" s="101"/>
      <c r="F262" s="97"/>
      <c r="G262" s="97"/>
      <c r="H262" s="97"/>
      <c r="I262" s="97"/>
      <c r="J262" s="97"/>
      <c r="K262" s="101"/>
    </row>
    <row r="263" spans="1:11" x14ac:dyDescent="0.2">
      <c r="A263" s="1" t="s">
        <v>333</v>
      </c>
      <c r="B263" s="1" t="str">
        <f>$B$11</f>
        <v>UIM</v>
      </c>
      <c r="C263" s="101"/>
      <c r="D263" s="101">
        <v>0</v>
      </c>
      <c r="E263" s="101">
        <v>0</v>
      </c>
      <c r="F263" s="97">
        <v>0</v>
      </c>
      <c r="G263" s="97">
        <v>0.49199999999999999</v>
      </c>
      <c r="H263" s="97">
        <v>0.33300000000000002</v>
      </c>
      <c r="I263" s="97">
        <v>0.32</v>
      </c>
      <c r="J263" s="97">
        <v>0.35899999999999999</v>
      </c>
      <c r="K263" s="101"/>
    </row>
    <row r="264" spans="1:11" x14ac:dyDescent="0.2">
      <c r="A264" s="1" t="s">
        <v>334</v>
      </c>
      <c r="B264" s="1" t="str">
        <f>$B$11</f>
        <v>UIM</v>
      </c>
      <c r="C264" s="101"/>
      <c r="D264" s="101">
        <v>0</v>
      </c>
      <c r="E264" s="101">
        <v>0</v>
      </c>
      <c r="F264" s="97">
        <v>0</v>
      </c>
      <c r="G264" s="97">
        <v>0</v>
      </c>
      <c r="H264" s="97">
        <v>0</v>
      </c>
      <c r="I264" s="97">
        <v>0</v>
      </c>
      <c r="J264" s="97">
        <v>0</v>
      </c>
      <c r="K264" s="101"/>
    </row>
    <row r="265" spans="1:11" x14ac:dyDescent="0.2">
      <c r="A265" s="1" t="s">
        <v>335</v>
      </c>
      <c r="B265" s="1" t="str">
        <f>$B$11</f>
        <v>UIM</v>
      </c>
      <c r="C265" s="101"/>
      <c r="D265" s="101">
        <v>0</v>
      </c>
      <c r="E265" s="101">
        <v>0</v>
      </c>
      <c r="F265" s="97">
        <v>0</v>
      </c>
      <c r="G265" s="97">
        <v>0</v>
      </c>
      <c r="H265" s="97">
        <v>1.7010000000000001</v>
      </c>
      <c r="I265" s="97">
        <v>1.6919999999999999</v>
      </c>
      <c r="J265" s="97">
        <v>1.633</v>
      </c>
      <c r="K265" s="101"/>
    </row>
    <row r="266" spans="1:11" x14ac:dyDescent="0.2">
      <c r="A266" s="1" t="s">
        <v>336</v>
      </c>
      <c r="B266" s="1" t="str">
        <f>$B$11</f>
        <v>UIM</v>
      </c>
      <c r="C266" s="101"/>
      <c r="D266" s="101">
        <v>0</v>
      </c>
      <c r="E266" s="101">
        <v>0</v>
      </c>
      <c r="F266" s="97">
        <v>0</v>
      </c>
      <c r="G266" s="97">
        <v>0</v>
      </c>
      <c r="H266" s="97">
        <v>0</v>
      </c>
      <c r="I266" s="97">
        <v>1.734</v>
      </c>
      <c r="J266" s="97">
        <v>1.734</v>
      </c>
      <c r="K266" s="101"/>
    </row>
    <row r="267" spans="1:11" x14ac:dyDescent="0.2">
      <c r="A267" s="1" t="s">
        <v>337</v>
      </c>
      <c r="B267" s="1" t="str">
        <f>$B$11</f>
        <v>UIM</v>
      </c>
      <c r="C267" s="101"/>
      <c r="D267" s="101">
        <v>0</v>
      </c>
      <c r="E267" s="101">
        <v>0</v>
      </c>
      <c r="F267" s="97">
        <v>0</v>
      </c>
      <c r="G267" s="97">
        <v>0</v>
      </c>
      <c r="H267" s="97">
        <v>0</v>
      </c>
      <c r="I267" s="97">
        <v>0</v>
      </c>
      <c r="J267" s="97">
        <v>1.7689999999999999</v>
      </c>
      <c r="K267" s="101"/>
    </row>
    <row r="268" spans="1:11" ht="15" x14ac:dyDescent="0.25">
      <c r="A268" s="27" t="s">
        <v>345</v>
      </c>
      <c r="C268" s="101"/>
      <c r="D268" s="106" t="str">
        <f t="shared" ref="D268:J268" si="53">IF(ROUND(D$21-SUM(D$263:D$267),3)=0,"OK","ERROR")</f>
        <v>OK</v>
      </c>
      <c r="E268" s="106" t="str">
        <f t="shared" si="53"/>
        <v>OK</v>
      </c>
      <c r="F268" s="107" t="str">
        <f t="shared" si="53"/>
        <v>OK</v>
      </c>
      <c r="G268" s="107" t="str">
        <f t="shared" si="53"/>
        <v>OK</v>
      </c>
      <c r="H268" s="107" t="str">
        <f t="shared" si="53"/>
        <v>OK</v>
      </c>
      <c r="I268" s="107" t="str">
        <f t="shared" si="53"/>
        <v>OK</v>
      </c>
      <c r="J268" s="107" t="str">
        <f t="shared" si="53"/>
        <v>OK</v>
      </c>
      <c r="K268" s="101"/>
    </row>
    <row r="269" spans="1:11" ht="15" x14ac:dyDescent="0.25">
      <c r="A269" s="27" t="s">
        <v>338</v>
      </c>
      <c r="C269" s="101"/>
      <c r="D269" s="101"/>
      <c r="E269" s="101"/>
      <c r="F269" s="97"/>
      <c r="G269" s="97"/>
      <c r="H269" s="97"/>
      <c r="I269" s="97"/>
      <c r="J269" s="97"/>
      <c r="K269" s="101"/>
    </row>
    <row r="270" spans="1:11" x14ac:dyDescent="0.2">
      <c r="A270" s="1" t="s">
        <v>333</v>
      </c>
      <c r="B270" s="1" t="str">
        <f t="shared" ref="B270:B277" si="54">$B$11</f>
        <v>UIM</v>
      </c>
      <c r="C270" s="101"/>
      <c r="D270" s="101">
        <v>0</v>
      </c>
      <c r="E270" s="101">
        <v>0</v>
      </c>
      <c r="F270" s="97">
        <v>0</v>
      </c>
      <c r="G270" s="97">
        <v>0.27600000000000002</v>
      </c>
      <c r="H270" s="97">
        <v>0.76500000000000001</v>
      </c>
      <c r="I270" s="97">
        <v>0.46500000000000002</v>
      </c>
      <c r="J270" s="97">
        <v>0.245</v>
      </c>
      <c r="K270" s="101"/>
    </row>
    <row r="271" spans="1:11" x14ac:dyDescent="0.2">
      <c r="A271" s="1" t="s">
        <v>339</v>
      </c>
      <c r="B271" s="1" t="str">
        <f t="shared" si="54"/>
        <v>UIM</v>
      </c>
      <c r="C271" s="101"/>
      <c r="D271" s="101">
        <v>0</v>
      </c>
      <c r="E271" s="101">
        <v>0</v>
      </c>
      <c r="F271" s="97">
        <v>0</v>
      </c>
      <c r="G271" s="97">
        <v>0</v>
      </c>
      <c r="H271" s="97">
        <v>0</v>
      </c>
      <c r="I271" s="97">
        <v>0</v>
      </c>
      <c r="J271" s="97">
        <v>0</v>
      </c>
      <c r="K271" s="101"/>
    </row>
    <row r="272" spans="1:11" x14ac:dyDescent="0.2">
      <c r="A272" s="1" t="s">
        <v>340</v>
      </c>
      <c r="B272" s="1" t="str">
        <f t="shared" si="54"/>
        <v>UIM</v>
      </c>
      <c r="C272" s="101"/>
      <c r="D272" s="101">
        <v>0</v>
      </c>
      <c r="E272" s="101">
        <v>0</v>
      </c>
      <c r="F272" s="97">
        <v>0</v>
      </c>
      <c r="G272" s="97">
        <v>7.0000000000000007E-2</v>
      </c>
      <c r="H272" s="97">
        <v>0.48799999999999999</v>
      </c>
      <c r="I272" s="97">
        <v>0.19500000000000001</v>
      </c>
      <c r="J272" s="97">
        <v>0.32</v>
      </c>
      <c r="K272" s="101"/>
    </row>
    <row r="273" spans="1:11" x14ac:dyDescent="0.2">
      <c r="A273" s="1" t="s">
        <v>341</v>
      </c>
      <c r="B273" s="1" t="str">
        <f t="shared" si="54"/>
        <v>UIM</v>
      </c>
      <c r="C273" s="101"/>
      <c r="D273" s="101">
        <v>0</v>
      </c>
      <c r="E273" s="101">
        <v>0</v>
      </c>
      <c r="F273" s="97">
        <v>0</v>
      </c>
      <c r="G273" s="97">
        <v>0</v>
      </c>
      <c r="H273" s="97">
        <v>0.1</v>
      </c>
      <c r="I273" s="97">
        <v>0.82499999999999996</v>
      </c>
      <c r="J273" s="97">
        <v>0.245</v>
      </c>
      <c r="K273" s="101"/>
    </row>
    <row r="274" spans="1:11" x14ac:dyDescent="0.2">
      <c r="A274" s="1" t="s">
        <v>342</v>
      </c>
      <c r="B274" s="1" t="str">
        <f t="shared" si="54"/>
        <v>UIM</v>
      </c>
      <c r="C274" s="101"/>
      <c r="D274" s="101">
        <v>0</v>
      </c>
      <c r="E274" s="101">
        <v>0</v>
      </c>
      <c r="F274" s="97">
        <v>0</v>
      </c>
      <c r="G274" s="97">
        <v>0</v>
      </c>
      <c r="H274" s="97">
        <v>0</v>
      </c>
      <c r="I274" s="97">
        <v>0.1</v>
      </c>
      <c r="J274" s="97">
        <v>0.82499999999999996</v>
      </c>
      <c r="K274" s="101"/>
    </row>
    <row r="275" spans="1:11" x14ac:dyDescent="0.2">
      <c r="A275" s="1" t="s">
        <v>343</v>
      </c>
      <c r="B275" s="1" t="str">
        <f t="shared" si="54"/>
        <v>UIM</v>
      </c>
      <c r="C275" s="101"/>
      <c r="D275" s="101">
        <v>0</v>
      </c>
      <c r="E275" s="101">
        <v>0</v>
      </c>
      <c r="F275" s="97">
        <v>0</v>
      </c>
      <c r="G275" s="97">
        <v>0</v>
      </c>
      <c r="H275" s="97">
        <v>0</v>
      </c>
      <c r="I275" s="97">
        <v>0</v>
      </c>
      <c r="J275" s="97">
        <v>0.1</v>
      </c>
      <c r="K275" s="101"/>
    </row>
    <row r="276" spans="1:11" ht="15" x14ac:dyDescent="0.25">
      <c r="A276" s="27" t="s">
        <v>346</v>
      </c>
      <c r="C276" s="101"/>
      <c r="D276" s="106" t="str">
        <f>IF(ROUND(D$125-SUM($C$270:D$275),3)=0,"OK","ERROR")</f>
        <v>OK</v>
      </c>
      <c r="E276" s="106" t="str">
        <f>IF(ROUND(E$125-SUM($C$270:E$275),3)=0,"OK","ERROR")</f>
        <v>OK</v>
      </c>
      <c r="F276" s="107" t="str">
        <f>IF(ROUND(F$125-SUM($C$270:F$275),3)=0,"OK","ERROR")</f>
        <v>OK</v>
      </c>
      <c r="G276" s="107" t="str">
        <f>IF(ROUND(G$125-SUM($C$270:G$275),3)=0,"OK","ERROR")</f>
        <v>OK</v>
      </c>
      <c r="H276" s="107" t="str">
        <f>IF(ROUND(H$125-SUM($C$270:H$275),3)=0,"OK","ERROR")</f>
        <v>OK</v>
      </c>
      <c r="I276" s="107" t="str">
        <f>IF(ROUND(I$125-SUM($C$270:I$275),3)=0,"OK","ERROR")</f>
        <v>OK</v>
      </c>
      <c r="J276" s="107" t="str">
        <f>IF(ROUND(J$125-SUM($C$270:J$275),3)=0,"OK","ERROR")</f>
        <v>OK</v>
      </c>
      <c r="K276" s="101"/>
    </row>
    <row r="277" spans="1:11" x14ac:dyDescent="0.2">
      <c r="A277" s="1" t="s">
        <v>344</v>
      </c>
      <c r="B277" s="1" t="str">
        <f t="shared" si="54"/>
        <v>UIM</v>
      </c>
      <c r="C277" s="101"/>
      <c r="D277" s="101">
        <v>0</v>
      </c>
      <c r="E277" s="101">
        <v>0</v>
      </c>
      <c r="F277" s="97">
        <v>1.7509999999999999</v>
      </c>
      <c r="G277" s="97">
        <v>0</v>
      </c>
      <c r="H277" s="97">
        <v>1.2729999999999999</v>
      </c>
      <c r="I277" s="97">
        <v>1.7729999999999999</v>
      </c>
      <c r="J277" s="97">
        <v>2.073</v>
      </c>
      <c r="K277" s="101"/>
    </row>
    <row r="278" spans="1:11" ht="15" x14ac:dyDescent="0.25">
      <c r="A278" s="27" t="s">
        <v>363</v>
      </c>
      <c r="C278" s="101"/>
      <c r="D278" s="101"/>
      <c r="E278" s="101"/>
      <c r="F278" s="97"/>
      <c r="G278" s="97"/>
      <c r="H278" s="97"/>
      <c r="I278" s="97"/>
      <c r="J278" s="97"/>
      <c r="K278" s="101"/>
    </row>
    <row r="279" spans="1:11" x14ac:dyDescent="0.2">
      <c r="A279" s="1" t="s">
        <v>307</v>
      </c>
      <c r="B279" s="1" t="str">
        <f>$B$9</f>
        <v>NAC</v>
      </c>
      <c r="C279" s="101"/>
      <c r="D279" s="101">
        <v>4.3890000000000002</v>
      </c>
      <c r="E279" s="101">
        <v>0.29899999999999999</v>
      </c>
      <c r="F279" s="97">
        <v>5.2690000000000001</v>
      </c>
      <c r="G279" s="97">
        <v>2.4809999999999999</v>
      </c>
      <c r="H279" s="97">
        <v>2.669</v>
      </c>
      <c r="I279" s="97">
        <v>2.8919999999999999</v>
      </c>
      <c r="J279" s="97">
        <v>3.1</v>
      </c>
      <c r="K279" s="101"/>
    </row>
    <row r="280" spans="1:11" x14ac:dyDescent="0.2">
      <c r="A280" s="1" t="s">
        <v>279</v>
      </c>
      <c r="B280" s="1" t="str">
        <f>$B$11</f>
        <v>UIM</v>
      </c>
      <c r="C280" s="101"/>
      <c r="D280" s="101">
        <v>2.7519999999999998</v>
      </c>
      <c r="E280" s="101">
        <v>1.7929999999999999</v>
      </c>
      <c r="F280" s="97">
        <v>0.83399999999999996</v>
      </c>
      <c r="G280" s="97">
        <v>0.219</v>
      </c>
      <c r="H280" s="97">
        <v>0.28399999999999997</v>
      </c>
      <c r="I280" s="97">
        <v>0.35</v>
      </c>
      <c r="J280" s="97">
        <v>0.39600000000000002</v>
      </c>
      <c r="K280" s="101"/>
    </row>
    <row r="281" spans="1:11" x14ac:dyDescent="0.2">
      <c r="A281" s="1" t="s">
        <v>364</v>
      </c>
      <c r="B281" s="1" t="str">
        <f>$B$11</f>
        <v>UIM</v>
      </c>
      <c r="C281" s="101"/>
      <c r="D281" s="101">
        <v>-6.3E-2</v>
      </c>
      <c r="E281" s="101">
        <v>-5.0999999999999997E-2</v>
      </c>
      <c r="F281" s="97">
        <v>0.11799999999999999</v>
      </c>
      <c r="G281" s="97">
        <v>0.17399999999999999</v>
      </c>
      <c r="H281" s="97">
        <v>9.8000000000000004E-2</v>
      </c>
      <c r="I281" s="97">
        <v>7.5999999999999998E-2</v>
      </c>
      <c r="J281" s="97">
        <v>8.2000000000000003E-2</v>
      </c>
      <c r="K281" s="101"/>
    </row>
    <row r="282" spans="1:11" x14ac:dyDescent="0.2">
      <c r="A282" s="1" t="s">
        <v>281</v>
      </c>
      <c r="B282" s="1" t="str">
        <f>$B$9</f>
        <v>NAC</v>
      </c>
      <c r="C282" s="101"/>
      <c r="D282" s="101">
        <v>-0.88200000000000001</v>
      </c>
      <c r="E282" s="101">
        <v>-0.92400000000000004</v>
      </c>
      <c r="F282" s="97">
        <v>-0.33900000000000002</v>
      </c>
      <c r="G282" s="97">
        <v>-0.104</v>
      </c>
      <c r="H282" s="97">
        <v>-0.11600000000000001</v>
      </c>
      <c r="I282" s="97">
        <v>-0.13100000000000001</v>
      </c>
      <c r="J282" s="97">
        <v>-0.13800000000000001</v>
      </c>
      <c r="K282" s="101"/>
    </row>
    <row r="283" spans="1:11" ht="15" x14ac:dyDescent="0.25">
      <c r="A283" s="27" t="s">
        <v>408</v>
      </c>
      <c r="C283" s="101"/>
      <c r="D283" s="106" t="str">
        <f t="shared" ref="D283:J283" si="55">IF(ROUND(D$26-SUM(D$279:D$282),3)=0,"OK","ERROR")</f>
        <v>OK</v>
      </c>
      <c r="E283" s="106" t="str">
        <f t="shared" si="55"/>
        <v>OK</v>
      </c>
      <c r="F283" s="107" t="str">
        <f t="shared" si="55"/>
        <v>OK</v>
      </c>
      <c r="G283" s="107" t="str">
        <f t="shared" si="55"/>
        <v>OK</v>
      </c>
      <c r="H283" s="107" t="str">
        <f t="shared" si="55"/>
        <v>OK</v>
      </c>
      <c r="I283" s="107" t="str">
        <f t="shared" si="55"/>
        <v>OK</v>
      </c>
      <c r="J283" s="107" t="str">
        <f t="shared" si="55"/>
        <v>OK</v>
      </c>
      <c r="K283" s="101"/>
    </row>
    <row r="284" spans="1:11" ht="15" x14ac:dyDescent="0.25">
      <c r="A284" s="27" t="s">
        <v>365</v>
      </c>
      <c r="C284" s="101"/>
      <c r="D284" s="111"/>
      <c r="E284" s="111"/>
      <c r="F284" s="112"/>
      <c r="G284" s="112"/>
      <c r="H284" s="112"/>
      <c r="I284" s="112"/>
      <c r="J284" s="112"/>
      <c r="K284" s="101"/>
    </row>
    <row r="285" spans="1:11" x14ac:dyDescent="0.2">
      <c r="A285" s="1" t="s">
        <v>307</v>
      </c>
      <c r="B285" s="1" t="str">
        <f>$B$9</f>
        <v>NAC</v>
      </c>
      <c r="C285" s="101"/>
      <c r="D285" s="101">
        <v>-0.71899999999999997</v>
      </c>
      <c r="E285" s="101">
        <v>-3.5579999999999998</v>
      </c>
      <c r="F285" s="97">
        <v>1.038</v>
      </c>
      <c r="G285" s="97">
        <v>-9.1999999999999998E-2</v>
      </c>
      <c r="H285" s="97">
        <v>-1E-3</v>
      </c>
      <c r="I285" s="97">
        <v>-1E-3</v>
      </c>
      <c r="J285" s="97">
        <v>-1E-3</v>
      </c>
      <c r="K285" s="101"/>
    </row>
    <row r="286" spans="1:11" x14ac:dyDescent="0.2">
      <c r="A286" s="1" t="s">
        <v>279</v>
      </c>
      <c r="B286" s="1" t="str">
        <f>$B$11</f>
        <v>UIM</v>
      </c>
      <c r="C286" s="101"/>
      <c r="D286" s="101">
        <v>-1.335</v>
      </c>
      <c r="E286" s="101">
        <v>-5.093</v>
      </c>
      <c r="F286" s="97">
        <v>0.36099999999999999</v>
      </c>
      <c r="G286" s="97">
        <v>-8.5000000000000006E-2</v>
      </c>
      <c r="H286" s="97">
        <v>-7.6999999999999999E-2</v>
      </c>
      <c r="I286" s="97">
        <v>-2.7E-2</v>
      </c>
      <c r="J286" s="97">
        <v>-2.9000000000000001E-2</v>
      </c>
      <c r="K286" s="101"/>
    </row>
    <row r="287" spans="1:11" x14ac:dyDescent="0.2">
      <c r="A287" s="1" t="s">
        <v>364</v>
      </c>
      <c r="B287" s="1" t="str">
        <f>$B$11</f>
        <v>UIM</v>
      </c>
      <c r="C287" s="101"/>
      <c r="D287" s="101">
        <v>0.40500000000000003</v>
      </c>
      <c r="E287" s="101">
        <v>5.7000000000000002E-2</v>
      </c>
      <c r="F287" s="97">
        <v>-5.0000000000000001E-3</v>
      </c>
      <c r="G287" s="97">
        <v>0</v>
      </c>
      <c r="H287" s="97">
        <v>0</v>
      </c>
      <c r="I287" s="97">
        <v>0</v>
      </c>
      <c r="J287" s="97">
        <v>0</v>
      </c>
      <c r="K287" s="101"/>
    </row>
    <row r="288" spans="1:11" x14ac:dyDescent="0.2">
      <c r="A288" s="1" t="s">
        <v>281</v>
      </c>
      <c r="B288" s="1" t="str">
        <f>$B$9</f>
        <v>NAC</v>
      </c>
      <c r="C288" s="101"/>
      <c r="D288" s="101">
        <v>0</v>
      </c>
      <c r="E288" s="101">
        <v>-4.2000000000000003E-2</v>
      </c>
      <c r="F288" s="97">
        <v>-6.0000000000000001E-3</v>
      </c>
      <c r="G288" s="97">
        <v>0</v>
      </c>
      <c r="H288" s="97">
        <v>0</v>
      </c>
      <c r="I288" s="97">
        <v>1E-3</v>
      </c>
      <c r="J288" s="97">
        <v>-2E-3</v>
      </c>
      <c r="K288" s="101"/>
    </row>
    <row r="289" spans="1:11" ht="15" x14ac:dyDescent="0.25">
      <c r="A289" s="27" t="s">
        <v>409</v>
      </c>
      <c r="C289" s="101"/>
      <c r="D289" s="106" t="str">
        <f t="shared" ref="D289:J289" si="56">IF(ROUND(D$27-SUM(D$285:D$288),3)=0,"OK","ERROR")</f>
        <v>OK</v>
      </c>
      <c r="E289" s="106" t="str">
        <f t="shared" si="56"/>
        <v>OK</v>
      </c>
      <c r="F289" s="107" t="str">
        <f t="shared" si="56"/>
        <v>OK</v>
      </c>
      <c r="G289" s="107" t="str">
        <f t="shared" si="56"/>
        <v>OK</v>
      </c>
      <c r="H289" s="107" t="str">
        <f t="shared" si="56"/>
        <v>OK</v>
      </c>
      <c r="I289" s="107" t="str">
        <f t="shared" si="56"/>
        <v>OK</v>
      </c>
      <c r="J289" s="107" t="str">
        <f t="shared" si="56"/>
        <v>OK</v>
      </c>
      <c r="K289" s="101"/>
    </row>
    <row r="290" spans="1:11" ht="15" x14ac:dyDescent="0.25">
      <c r="A290" s="27" t="s">
        <v>670</v>
      </c>
      <c r="C290" s="101"/>
      <c r="D290" s="111"/>
      <c r="E290" s="111"/>
      <c r="F290" s="112"/>
      <c r="G290" s="112"/>
      <c r="H290" s="112"/>
      <c r="I290" s="112"/>
      <c r="J290" s="112"/>
      <c r="K290" s="101"/>
    </row>
    <row r="291" spans="1:11" x14ac:dyDescent="0.2">
      <c r="A291" s="1" t="s">
        <v>307</v>
      </c>
      <c r="B291" s="1" t="str">
        <f>$B$9</f>
        <v>NAC</v>
      </c>
      <c r="C291" s="101"/>
      <c r="D291" s="101">
        <v>3.879</v>
      </c>
      <c r="E291" s="101">
        <v>-0.91200000000000003</v>
      </c>
      <c r="F291" s="97">
        <v>11.61</v>
      </c>
      <c r="G291" s="97">
        <v>6.07</v>
      </c>
      <c r="H291" s="97">
        <v>6.8730000000000002</v>
      </c>
      <c r="I291" s="97">
        <v>9.3170000000000002</v>
      </c>
      <c r="J291" s="97">
        <v>10.407</v>
      </c>
      <c r="K291" s="101"/>
    </row>
    <row r="292" spans="1:11" x14ac:dyDescent="0.2">
      <c r="A292" s="1" t="s">
        <v>279</v>
      </c>
      <c r="B292" s="1" t="str">
        <f>$B$9</f>
        <v>NAC</v>
      </c>
      <c r="C292" s="101"/>
      <c r="D292" s="101">
        <v>2.786</v>
      </c>
      <c r="E292" s="101">
        <v>-3.48</v>
      </c>
      <c r="F292" s="97">
        <v>0.20599999999999999</v>
      </c>
      <c r="G292" s="97">
        <v>-0.253</v>
      </c>
      <c r="H292" s="97">
        <v>-8.2000000000000003E-2</v>
      </c>
      <c r="I292" s="97">
        <v>-4.4999999999999998E-2</v>
      </c>
      <c r="J292" s="97">
        <v>-8.1000000000000003E-2</v>
      </c>
      <c r="K292" s="101"/>
    </row>
    <row r="293" spans="1:11" x14ac:dyDescent="0.2">
      <c r="A293" s="1" t="s">
        <v>364</v>
      </c>
      <c r="B293" s="1" t="str">
        <f>$B$9</f>
        <v>NAC</v>
      </c>
      <c r="C293" s="101"/>
      <c r="D293" s="101">
        <v>0.68899999999999995</v>
      </c>
      <c r="E293" s="101">
        <v>0.72</v>
      </c>
      <c r="F293" s="97">
        <v>0.70599999999999996</v>
      </c>
      <c r="G293" s="97">
        <v>0.66900000000000004</v>
      </c>
      <c r="H293" s="97">
        <v>0.72599999999999998</v>
      </c>
      <c r="I293" s="97">
        <v>0.82499999999999996</v>
      </c>
      <c r="J293" s="97">
        <v>0.84699999999999998</v>
      </c>
      <c r="K293" s="101"/>
    </row>
    <row r="294" spans="1:11" x14ac:dyDescent="0.2">
      <c r="A294" s="1" t="s">
        <v>281</v>
      </c>
      <c r="B294" s="1" t="str">
        <f>$B$9</f>
        <v>NAC</v>
      </c>
      <c r="C294" s="101"/>
      <c r="D294" s="101">
        <v>-1.583</v>
      </c>
      <c r="E294" s="101">
        <v>-1.6970000000000001</v>
      </c>
      <c r="F294" s="97">
        <v>-1.046</v>
      </c>
      <c r="G294" s="97">
        <v>-0.86599999999999999</v>
      </c>
      <c r="H294" s="97">
        <v>-0.91900000000000004</v>
      </c>
      <c r="I294" s="97">
        <v>-0.91900000000000004</v>
      </c>
      <c r="J294" s="97">
        <v>-1.0349999999999999</v>
      </c>
      <c r="K294" s="101"/>
    </row>
    <row r="295" spans="1:11" ht="15" x14ac:dyDescent="0.25">
      <c r="A295" s="27" t="s">
        <v>1299</v>
      </c>
      <c r="C295" s="101"/>
      <c r="D295" s="106" t="str">
        <f t="shared" ref="D295:J295" si="57">IF(ROUND(D$32-SUM(D$291:D$294),3)=0,"OK","ERROR")</f>
        <v>OK</v>
      </c>
      <c r="E295" s="106" t="str">
        <f t="shared" si="57"/>
        <v>OK</v>
      </c>
      <c r="F295" s="107" t="str">
        <f t="shared" si="57"/>
        <v>OK</v>
      </c>
      <c r="G295" s="107" t="str">
        <f t="shared" si="57"/>
        <v>OK</v>
      </c>
      <c r="H295" s="107" t="str">
        <f t="shared" si="57"/>
        <v>OK</v>
      </c>
      <c r="I295" s="107" t="str">
        <f t="shared" si="57"/>
        <v>OK</v>
      </c>
      <c r="J295" s="107" t="str">
        <f t="shared" si="57"/>
        <v>OK</v>
      </c>
      <c r="K295" s="101"/>
    </row>
    <row r="296" spans="1:11" ht="15" x14ac:dyDescent="0.25">
      <c r="A296" s="27" t="s">
        <v>411</v>
      </c>
      <c r="C296" s="101"/>
      <c r="D296" s="101"/>
      <c r="E296" s="101"/>
      <c r="F296" s="97"/>
      <c r="G296" s="97"/>
      <c r="H296" s="97"/>
      <c r="I296" s="97"/>
      <c r="J296" s="97"/>
      <c r="K296" s="101"/>
    </row>
    <row r="297" spans="1:11" x14ac:dyDescent="0.2">
      <c r="A297" s="1" t="s">
        <v>366</v>
      </c>
      <c r="B297" s="1" t="str">
        <f>$B$11</f>
        <v>UIM</v>
      </c>
      <c r="C297" s="101"/>
      <c r="D297" s="101">
        <v>8.9570000000000007</v>
      </c>
      <c r="E297" s="101">
        <v>9.1609999999999996</v>
      </c>
      <c r="F297" s="97">
        <v>10.286</v>
      </c>
      <c r="G297" s="97">
        <v>10.772</v>
      </c>
      <c r="H297" s="97">
        <v>11.095000000000001</v>
      </c>
      <c r="I297" s="97">
        <v>11.414</v>
      </c>
      <c r="J297" s="97">
        <v>11.827</v>
      </c>
      <c r="K297" s="101"/>
    </row>
    <row r="298" spans="1:11" x14ac:dyDescent="0.2">
      <c r="A298" s="1" t="s">
        <v>367</v>
      </c>
      <c r="B298" s="1" t="str">
        <f>$B$9</f>
        <v>NAC</v>
      </c>
      <c r="C298" s="101"/>
      <c r="D298" s="101">
        <v>8.6449999999999996</v>
      </c>
      <c r="E298" s="101">
        <v>7.6280000000000001</v>
      </c>
      <c r="F298" s="97">
        <v>8.2829999999999995</v>
      </c>
      <c r="G298" s="97">
        <v>7.391</v>
      </c>
      <c r="H298" s="97">
        <v>7.9260000000000002</v>
      </c>
      <c r="I298" s="97">
        <v>8.1859999999999999</v>
      </c>
      <c r="J298" s="97">
        <v>8.5660000000000007</v>
      </c>
      <c r="K298" s="101"/>
    </row>
    <row r="299" spans="1:11" ht="15" x14ac:dyDescent="0.25">
      <c r="A299" s="27" t="s">
        <v>410</v>
      </c>
      <c r="C299" s="101"/>
      <c r="D299" s="106" t="str">
        <f t="shared" ref="D299:J299" si="58">IF(ROUND(D$116-SUM(D$297:D$298),3)=0,"OK","ERROR")</f>
        <v>OK</v>
      </c>
      <c r="E299" s="106" t="str">
        <f t="shared" si="58"/>
        <v>OK</v>
      </c>
      <c r="F299" s="107" t="str">
        <f t="shared" si="58"/>
        <v>OK</v>
      </c>
      <c r="G299" s="107" t="str">
        <f t="shared" si="58"/>
        <v>OK</v>
      </c>
      <c r="H299" s="107" t="str">
        <f t="shared" si="58"/>
        <v>OK</v>
      </c>
      <c r="I299" s="107" t="str">
        <f t="shared" si="58"/>
        <v>OK</v>
      </c>
      <c r="J299" s="107" t="str">
        <f t="shared" si="58"/>
        <v>OK</v>
      </c>
      <c r="K299" s="101"/>
    </row>
    <row r="300" spans="1:11" ht="15" x14ac:dyDescent="0.25">
      <c r="A300" s="27" t="s">
        <v>412</v>
      </c>
      <c r="C300" s="101"/>
      <c r="D300" s="111"/>
      <c r="E300" s="111"/>
      <c r="F300" s="112"/>
      <c r="G300" s="112"/>
      <c r="H300" s="112"/>
      <c r="I300" s="112"/>
      <c r="J300" s="112"/>
      <c r="K300" s="101"/>
    </row>
    <row r="301" spans="1:11" ht="15" x14ac:dyDescent="0.25">
      <c r="A301" s="1" t="s">
        <v>369</v>
      </c>
      <c r="B301" s="1" t="str">
        <f>$B$9</f>
        <v>NAC</v>
      </c>
      <c r="C301" s="104">
        <v>8.7159999999999993</v>
      </c>
      <c r="D301" s="101">
        <v>8.8640000000000008</v>
      </c>
      <c r="E301" s="101">
        <v>8.9819999999999993</v>
      </c>
      <c r="F301" s="97">
        <v>9.1969999999999992</v>
      </c>
      <c r="G301" s="97">
        <v>9.2289999999999992</v>
      </c>
      <c r="H301" s="97">
        <v>9.1780000000000008</v>
      </c>
      <c r="I301" s="97">
        <v>9.0459999999999994</v>
      </c>
      <c r="J301" s="97">
        <v>8.8279999999999994</v>
      </c>
      <c r="K301" s="101"/>
    </row>
    <row r="302" spans="1:11" x14ac:dyDescent="0.2">
      <c r="A302" s="1" t="s">
        <v>368</v>
      </c>
      <c r="B302" s="1" t="str">
        <f t="shared" ref="B302:B309" si="59">$B$11</f>
        <v>UIM</v>
      </c>
      <c r="C302" s="101"/>
      <c r="D302" s="101">
        <v>15.598000000000001</v>
      </c>
      <c r="E302" s="101">
        <v>16.689</v>
      </c>
      <c r="F302" s="97">
        <v>17.716000000000001</v>
      </c>
      <c r="G302" s="97">
        <v>18.891999999999999</v>
      </c>
      <c r="H302" s="97">
        <v>19.992000000000001</v>
      </c>
      <c r="I302" s="97">
        <v>21.091999999999999</v>
      </c>
      <c r="J302" s="97">
        <v>22.192</v>
      </c>
      <c r="K302" s="101"/>
    </row>
    <row r="303" spans="1:11" ht="15" x14ac:dyDescent="0.25">
      <c r="A303" s="27" t="s">
        <v>369</v>
      </c>
      <c r="C303" s="101"/>
      <c r="D303" s="101"/>
      <c r="E303" s="101"/>
      <c r="F303" s="97"/>
      <c r="G303" s="97"/>
      <c r="H303" s="97"/>
      <c r="I303" s="97"/>
      <c r="J303" s="97"/>
      <c r="K303" s="101"/>
    </row>
    <row r="304" spans="1:11" x14ac:dyDescent="0.2">
      <c r="A304" s="1" t="s">
        <v>958</v>
      </c>
      <c r="B304" s="1" t="str">
        <f t="shared" si="59"/>
        <v>UIM</v>
      </c>
      <c r="C304" s="101"/>
      <c r="D304" s="101">
        <v>1.518</v>
      </c>
      <c r="E304" s="101">
        <v>1.512</v>
      </c>
      <c r="F304" s="97">
        <v>1.4930000000000001</v>
      </c>
      <c r="G304" s="97">
        <v>1.5329999999999999</v>
      </c>
      <c r="H304" s="97">
        <v>1.544</v>
      </c>
      <c r="I304" s="97">
        <v>1.5569999999999999</v>
      </c>
      <c r="J304" s="97">
        <v>1.579</v>
      </c>
      <c r="K304" s="101"/>
    </row>
    <row r="305" spans="1:11" x14ac:dyDescent="0.2">
      <c r="A305" s="1" t="s">
        <v>960</v>
      </c>
      <c r="C305" s="101"/>
      <c r="D305" s="101">
        <v>1.0999999999999999E-2</v>
      </c>
      <c r="E305" s="101">
        <v>0.01</v>
      </c>
      <c r="F305" s="97">
        <v>-7.0000000000000001E-3</v>
      </c>
      <c r="G305" s="97">
        <v>0.01</v>
      </c>
      <c r="H305" s="97">
        <v>0.01</v>
      </c>
      <c r="I305" s="97">
        <v>0.01</v>
      </c>
      <c r="J305" s="97">
        <v>1.0999999999999999E-2</v>
      </c>
      <c r="K305" s="101"/>
    </row>
    <row r="306" spans="1:11" x14ac:dyDescent="0.2">
      <c r="A306" s="1" t="s">
        <v>370</v>
      </c>
      <c r="B306" s="1" t="str">
        <f t="shared" si="59"/>
        <v>UIM</v>
      </c>
      <c r="C306" s="101"/>
      <c r="D306" s="101">
        <v>-0.60199999999999998</v>
      </c>
      <c r="E306" s="101">
        <v>-0.65900000000000003</v>
      </c>
      <c r="F306" s="97">
        <v>-0.66200000000000003</v>
      </c>
      <c r="G306" s="97">
        <v>-0.67</v>
      </c>
      <c r="H306" s="97">
        <v>-0.66900000000000004</v>
      </c>
      <c r="I306" s="97">
        <v>-0.67400000000000004</v>
      </c>
      <c r="J306" s="97">
        <v>-0.68300000000000005</v>
      </c>
      <c r="K306" s="101"/>
    </row>
    <row r="307" spans="1:11" x14ac:dyDescent="0.2">
      <c r="A307" s="1" t="s">
        <v>371</v>
      </c>
      <c r="B307" s="1" t="str">
        <f t="shared" si="59"/>
        <v>UIM</v>
      </c>
      <c r="C307" s="101"/>
      <c r="D307" s="101">
        <v>-1.1140000000000001</v>
      </c>
      <c r="E307" s="101">
        <v>-1.208</v>
      </c>
      <c r="F307" s="97">
        <v>-1.2729999999999999</v>
      </c>
      <c r="G307" s="97">
        <v>-1.3360000000000001</v>
      </c>
      <c r="H307" s="97">
        <v>-1.427</v>
      </c>
      <c r="I307" s="97">
        <v>-1.5089999999999999</v>
      </c>
      <c r="J307" s="97">
        <v>-1.5960000000000001</v>
      </c>
      <c r="K307" s="101"/>
    </row>
    <row r="308" spans="1:11" x14ac:dyDescent="0.2">
      <c r="A308" s="1" t="s">
        <v>89</v>
      </c>
      <c r="B308" s="1" t="str">
        <f t="shared" si="59"/>
        <v>UIM</v>
      </c>
      <c r="C308" s="101"/>
      <c r="D308" s="101">
        <v>0.60399999999999998</v>
      </c>
      <c r="E308" s="101">
        <v>0.60299999999999998</v>
      </c>
      <c r="F308" s="97">
        <v>0.60199999999999998</v>
      </c>
      <c r="G308" s="97">
        <v>0.59499999999999997</v>
      </c>
      <c r="H308" s="97">
        <v>0.59099999999999997</v>
      </c>
      <c r="I308" s="97">
        <v>0.58399999999999996</v>
      </c>
      <c r="J308" s="97">
        <v>0.57099999999999995</v>
      </c>
      <c r="K308" s="101"/>
    </row>
    <row r="309" spans="1:11" x14ac:dyDescent="0.2">
      <c r="A309" s="1" t="s">
        <v>372</v>
      </c>
      <c r="B309" s="1" t="str">
        <f t="shared" si="59"/>
        <v>UIM</v>
      </c>
      <c r="C309" s="101"/>
      <c r="D309" s="101">
        <v>-0.26900000000000002</v>
      </c>
      <c r="E309" s="101">
        <v>-0.14000000000000001</v>
      </c>
      <c r="F309" s="97">
        <v>6.2E-2</v>
      </c>
      <c r="G309" s="97">
        <v>-0.1</v>
      </c>
      <c r="H309" s="97">
        <v>-0.1</v>
      </c>
      <c r="I309" s="97">
        <v>-0.1</v>
      </c>
      <c r="J309" s="97">
        <v>-0.1</v>
      </c>
      <c r="K309" s="101"/>
    </row>
    <row r="310" spans="1:11" ht="15" x14ac:dyDescent="0.25">
      <c r="A310" s="27" t="s">
        <v>413</v>
      </c>
      <c r="C310" s="101"/>
      <c r="D310" s="106" t="str">
        <f t="shared" ref="D310:J310" si="60">IF(ROUND(D$301-SUM(C$301,D$304:D$309),3)=0,"OK","ERROR")</f>
        <v>OK</v>
      </c>
      <c r="E310" s="106" t="str">
        <f t="shared" si="60"/>
        <v>OK</v>
      </c>
      <c r="F310" s="107" t="str">
        <f t="shared" si="60"/>
        <v>OK</v>
      </c>
      <c r="G310" s="107" t="str">
        <f t="shared" si="60"/>
        <v>OK</v>
      </c>
      <c r="H310" s="107" t="str">
        <f t="shared" si="60"/>
        <v>OK</v>
      </c>
      <c r="I310" s="107" t="str">
        <f t="shared" si="60"/>
        <v>OK</v>
      </c>
      <c r="J310" s="107" t="str">
        <f t="shared" si="60"/>
        <v>OK</v>
      </c>
      <c r="K310" s="101"/>
    </row>
    <row r="311" spans="1:11" ht="15" x14ac:dyDescent="0.25">
      <c r="A311" s="27" t="s">
        <v>415</v>
      </c>
      <c r="C311" s="101"/>
      <c r="D311" s="101"/>
      <c r="E311" s="101"/>
      <c r="F311" s="97"/>
      <c r="G311" s="97"/>
      <c r="H311" s="97"/>
      <c r="I311" s="97"/>
      <c r="J311" s="97"/>
      <c r="K311" s="101"/>
    </row>
    <row r="312" spans="1:11" x14ac:dyDescent="0.2">
      <c r="A312" s="1" t="s">
        <v>279</v>
      </c>
      <c r="B312" s="1" t="str">
        <f>$B$11</f>
        <v>UIM</v>
      </c>
      <c r="C312" s="101"/>
      <c r="D312" s="101">
        <v>61.417000000000002</v>
      </c>
      <c r="E312" s="101">
        <v>66.769000000000005</v>
      </c>
      <c r="F312" s="97">
        <v>72.186999999999998</v>
      </c>
      <c r="G312" s="97">
        <v>74.91</v>
      </c>
      <c r="H312" s="97">
        <v>77.754999999999995</v>
      </c>
      <c r="I312" s="97">
        <v>79.861999999999995</v>
      </c>
      <c r="J312" s="97">
        <v>81.034999999999997</v>
      </c>
      <c r="K312" s="101"/>
    </row>
    <row r="313" spans="1:11" x14ac:dyDescent="0.2">
      <c r="A313" s="1" t="s">
        <v>364</v>
      </c>
      <c r="B313" s="1" t="str">
        <f>$B$11</f>
        <v>UIM</v>
      </c>
      <c r="C313" s="101"/>
      <c r="D313" s="101">
        <v>30.852</v>
      </c>
      <c r="E313" s="101">
        <v>32.033000000000001</v>
      </c>
      <c r="F313" s="97">
        <v>32.847999999999999</v>
      </c>
      <c r="G313" s="97">
        <v>32.871000000000002</v>
      </c>
      <c r="H313" s="97">
        <v>33.146000000000001</v>
      </c>
      <c r="I313" s="97">
        <v>33.012</v>
      </c>
      <c r="J313" s="97">
        <v>32.728000000000002</v>
      </c>
      <c r="K313" s="101"/>
    </row>
    <row r="314" spans="1:11" x14ac:dyDescent="0.2">
      <c r="A314" s="1" t="s">
        <v>281</v>
      </c>
      <c r="B314" s="1" t="str">
        <f>$B$11</f>
        <v>UIM</v>
      </c>
      <c r="C314" s="101"/>
      <c r="D314" s="101">
        <v>0</v>
      </c>
      <c r="E314" s="101">
        <v>0</v>
      </c>
      <c r="F314" s="97">
        <v>-5.6000000000000001E-2</v>
      </c>
      <c r="G314" s="97">
        <v>-5.6000000000000001E-2</v>
      </c>
      <c r="H314" s="97">
        <v>-5.6000000000000001E-2</v>
      </c>
      <c r="I314" s="97">
        <v>-5.6000000000000001E-2</v>
      </c>
      <c r="J314" s="97">
        <v>-5.6000000000000001E-2</v>
      </c>
      <c r="K314" s="101"/>
    </row>
    <row r="315" spans="1:11" ht="15" x14ac:dyDescent="0.25">
      <c r="A315" s="27" t="s">
        <v>414</v>
      </c>
      <c r="C315" s="101"/>
      <c r="D315" s="106" t="str">
        <f t="shared" ref="D315:J315" si="61">IF(ROUND(D$122-SUM(D$173,D$312:D$314),3)=0,"OK","ERROR")</f>
        <v>OK</v>
      </c>
      <c r="E315" s="106" t="str">
        <f t="shared" si="61"/>
        <v>OK</v>
      </c>
      <c r="F315" s="107" t="str">
        <f t="shared" si="61"/>
        <v>OK</v>
      </c>
      <c r="G315" s="107" t="str">
        <f t="shared" si="61"/>
        <v>OK</v>
      </c>
      <c r="H315" s="107" t="str">
        <f t="shared" si="61"/>
        <v>OK</v>
      </c>
      <c r="I315" s="107" t="str">
        <f t="shared" si="61"/>
        <v>OK</v>
      </c>
      <c r="J315" s="107" t="str">
        <f t="shared" si="61"/>
        <v>OK</v>
      </c>
      <c r="K315" s="101"/>
    </row>
    <row r="316" spans="1:11" ht="15" x14ac:dyDescent="0.25">
      <c r="A316" s="27" t="s">
        <v>373</v>
      </c>
      <c r="C316" s="101"/>
      <c r="D316" s="101"/>
      <c r="E316" s="101"/>
      <c r="F316" s="97"/>
      <c r="G316" s="97"/>
      <c r="H316" s="97"/>
      <c r="I316" s="97"/>
      <c r="J316" s="97"/>
      <c r="K316" s="101"/>
    </row>
    <row r="317" spans="1:11" x14ac:dyDescent="0.2">
      <c r="A317" s="1" t="s">
        <v>374</v>
      </c>
      <c r="B317" s="1" t="str">
        <f t="shared" ref="B317:B326" si="62">$B$11</f>
        <v>UIM</v>
      </c>
      <c r="C317" s="101"/>
      <c r="D317" s="101">
        <v>7.2290000000000001</v>
      </c>
      <c r="E317" s="101">
        <v>7.6079999999999997</v>
      </c>
      <c r="F317" s="97">
        <v>8.42</v>
      </c>
      <c r="G317" s="97">
        <v>10.058</v>
      </c>
      <c r="H317" s="97">
        <v>9.5090000000000003</v>
      </c>
      <c r="I317" s="97">
        <v>8.1440000000000001</v>
      </c>
      <c r="J317" s="97">
        <v>7.51</v>
      </c>
      <c r="K317" s="101"/>
    </row>
    <row r="318" spans="1:11" x14ac:dyDescent="0.2">
      <c r="A318" s="1" t="s">
        <v>375</v>
      </c>
      <c r="B318" s="1" t="str">
        <f t="shared" si="62"/>
        <v>UIM</v>
      </c>
      <c r="C318" s="101"/>
      <c r="D318" s="101">
        <v>-1.2110000000000001</v>
      </c>
      <c r="E318" s="101">
        <v>-1.7470000000000001</v>
      </c>
      <c r="F318" s="97">
        <v>-1.1990000000000001</v>
      </c>
      <c r="G318" s="97">
        <v>-1.3839999999999999</v>
      </c>
      <c r="H318" s="97">
        <v>-0.59299999999999997</v>
      </c>
      <c r="I318" s="97">
        <v>-0.83</v>
      </c>
      <c r="J318" s="97">
        <v>-1.4990000000000001</v>
      </c>
      <c r="K318" s="101"/>
    </row>
    <row r="319" spans="1:11" x14ac:dyDescent="0.2">
      <c r="A319" s="1" t="s">
        <v>376</v>
      </c>
      <c r="B319" s="1" t="str">
        <f t="shared" si="62"/>
        <v>UIM</v>
      </c>
      <c r="C319" s="101"/>
      <c r="D319" s="101">
        <v>3.0640000000000001</v>
      </c>
      <c r="E319" s="101">
        <v>6.3710000000000004</v>
      </c>
      <c r="F319" s="97">
        <v>6.0170000000000003</v>
      </c>
      <c r="G319" s="97">
        <v>0</v>
      </c>
      <c r="H319" s="97">
        <v>0</v>
      </c>
      <c r="I319" s="97">
        <v>0</v>
      </c>
      <c r="J319" s="97">
        <v>0</v>
      </c>
      <c r="K319" s="101"/>
    </row>
    <row r="320" spans="1:11" x14ac:dyDescent="0.2">
      <c r="A320" s="1" t="s">
        <v>377</v>
      </c>
      <c r="B320" s="1" t="str">
        <f t="shared" si="62"/>
        <v>UIM</v>
      </c>
      <c r="C320" s="101"/>
      <c r="D320" s="101">
        <v>0.15</v>
      </c>
      <c r="E320" s="101">
        <v>-1.107</v>
      </c>
      <c r="F320" s="97">
        <v>-0.72399999999999998</v>
      </c>
      <c r="G320" s="97">
        <v>-0.121</v>
      </c>
      <c r="H320" s="97">
        <v>-0.152</v>
      </c>
      <c r="I320" s="97">
        <v>-0.16900000000000001</v>
      </c>
      <c r="J320" s="97">
        <v>-0.104</v>
      </c>
      <c r="K320" s="101"/>
    </row>
    <row r="321" spans="1:11" ht="15" x14ac:dyDescent="0.25">
      <c r="A321" s="27" t="s">
        <v>378</v>
      </c>
      <c r="B321" s="1" t="str">
        <f>$B$9</f>
        <v>NAC</v>
      </c>
      <c r="C321" s="104">
        <f>130.342-0.893</f>
        <v>129.44900000000001</v>
      </c>
      <c r="D321" s="102">
        <f t="shared" ref="D321:J321" si="63">SUM(C$321,D$317:D$320)</f>
        <v>138.68100000000001</v>
      </c>
      <c r="E321" s="102">
        <f t="shared" si="63"/>
        <v>149.80600000000001</v>
      </c>
      <c r="F321" s="103">
        <f t="shared" si="63"/>
        <v>162.32</v>
      </c>
      <c r="G321" s="103">
        <f t="shared" si="63"/>
        <v>170.87299999999999</v>
      </c>
      <c r="H321" s="103">
        <f t="shared" si="63"/>
        <v>179.63700000000003</v>
      </c>
      <c r="I321" s="103">
        <f t="shared" si="63"/>
        <v>186.78200000000001</v>
      </c>
      <c r="J321" s="103">
        <f t="shared" si="63"/>
        <v>192.68899999999999</v>
      </c>
      <c r="K321" s="101"/>
    </row>
    <row r="322" spans="1:11" x14ac:dyDescent="0.2">
      <c r="A322" s="1" t="s">
        <v>379</v>
      </c>
      <c r="B322" s="1" t="str">
        <f t="shared" si="62"/>
        <v>UIM</v>
      </c>
      <c r="C322" s="101"/>
      <c r="D322" s="101">
        <v>-0.65500000000000003</v>
      </c>
      <c r="E322" s="101">
        <v>-0.39900000000000002</v>
      </c>
      <c r="F322" s="97">
        <v>-0.66400000000000003</v>
      </c>
      <c r="G322" s="97">
        <v>-0.70499999999999996</v>
      </c>
      <c r="H322" s="97">
        <v>-9.0999999999999998E-2</v>
      </c>
      <c r="I322" s="97">
        <v>-9.8000000000000004E-2</v>
      </c>
      <c r="J322" s="97">
        <v>-9.9000000000000005E-2</v>
      </c>
      <c r="K322" s="101"/>
    </row>
    <row r="323" spans="1:11" x14ac:dyDescent="0.2">
      <c r="A323" s="1" t="s">
        <v>380</v>
      </c>
      <c r="B323" s="1" t="str">
        <f t="shared" si="62"/>
        <v>UIM</v>
      </c>
      <c r="C323" s="101"/>
      <c r="D323" s="101">
        <v>-2.1589999999999998</v>
      </c>
      <c r="E323" s="101">
        <v>-2.4750000000000001</v>
      </c>
      <c r="F323" s="97">
        <v>-0.91100000000000003</v>
      </c>
      <c r="G323" s="97">
        <v>-4.5999999999999999E-2</v>
      </c>
      <c r="H323" s="97">
        <v>-3.7999999999999999E-2</v>
      </c>
      <c r="I323" s="97">
        <v>-2.7E-2</v>
      </c>
      <c r="J323" s="97">
        <v>-0.02</v>
      </c>
      <c r="K323" s="101"/>
    </row>
    <row r="324" spans="1:11" x14ac:dyDescent="0.2">
      <c r="A324" s="1" t="s">
        <v>381</v>
      </c>
      <c r="B324" s="1" t="str">
        <f t="shared" si="62"/>
        <v>UIM</v>
      </c>
      <c r="C324" s="101"/>
      <c r="D324" s="101">
        <v>7.8E-2</v>
      </c>
      <c r="E324" s="101">
        <v>0.28799999999999998</v>
      </c>
      <c r="F324" s="97">
        <v>0</v>
      </c>
      <c r="G324" s="97">
        <v>0</v>
      </c>
      <c r="H324" s="97">
        <v>0</v>
      </c>
      <c r="I324" s="97">
        <v>0</v>
      </c>
      <c r="J324" s="97">
        <v>0</v>
      </c>
      <c r="K324" s="101"/>
    </row>
    <row r="325" spans="1:11" x14ac:dyDescent="0.2">
      <c r="A325" s="1" t="s">
        <v>382</v>
      </c>
      <c r="B325" s="1" t="str">
        <f t="shared" si="62"/>
        <v>UIM</v>
      </c>
      <c r="C325" s="101"/>
      <c r="D325" s="101">
        <v>3.8730000000000002</v>
      </c>
      <c r="E325" s="101">
        <v>3.9119999999999999</v>
      </c>
      <c r="F325" s="97">
        <v>4.4969999999999999</v>
      </c>
      <c r="G325" s="97">
        <v>4.5540000000000003</v>
      </c>
      <c r="H325" s="97">
        <v>4.6959999999999997</v>
      </c>
      <c r="I325" s="97">
        <v>4.7880000000000003</v>
      </c>
      <c r="J325" s="97">
        <v>4.88</v>
      </c>
      <c r="K325" s="101"/>
    </row>
    <row r="326" spans="1:11" x14ac:dyDescent="0.2">
      <c r="A326" s="1" t="s">
        <v>377</v>
      </c>
      <c r="B326" s="1" t="str">
        <f t="shared" si="62"/>
        <v>UIM</v>
      </c>
      <c r="C326" s="101"/>
      <c r="D326" s="101">
        <v>-0.157</v>
      </c>
      <c r="E326" s="101">
        <v>-0.14199999999999999</v>
      </c>
      <c r="F326" s="97">
        <v>-3.5000000000000003E-2</v>
      </c>
      <c r="G326" s="97">
        <v>2.3E-2</v>
      </c>
      <c r="H326" s="97">
        <v>-4.0000000000000001E-3</v>
      </c>
      <c r="I326" s="97">
        <v>-3.0000000000000001E-3</v>
      </c>
      <c r="J326" s="97">
        <v>-3.0000000000000001E-3</v>
      </c>
      <c r="K326" s="101"/>
    </row>
    <row r="327" spans="1:11" ht="15" x14ac:dyDescent="0.25">
      <c r="A327" s="27" t="s">
        <v>383</v>
      </c>
      <c r="B327" s="1" t="str">
        <f>$B$9</f>
        <v>NAC</v>
      </c>
      <c r="C327" s="104">
        <f>14.036-0.893</f>
        <v>13.142999999999999</v>
      </c>
      <c r="D327" s="102">
        <f t="shared" ref="D327:J327" si="64">SUM(C$327,D$322:D$326)</f>
        <v>14.123000000000001</v>
      </c>
      <c r="E327" s="102">
        <f t="shared" si="64"/>
        <v>15.307000000000002</v>
      </c>
      <c r="F327" s="103">
        <f t="shared" si="64"/>
        <v>18.194000000000003</v>
      </c>
      <c r="G327" s="103">
        <f t="shared" si="64"/>
        <v>22.020000000000007</v>
      </c>
      <c r="H327" s="103">
        <f t="shared" si="64"/>
        <v>26.583000000000002</v>
      </c>
      <c r="I327" s="103">
        <f t="shared" si="64"/>
        <v>31.243000000000002</v>
      </c>
      <c r="J327" s="103">
        <f t="shared" si="64"/>
        <v>36.001000000000005</v>
      </c>
      <c r="K327" s="101"/>
    </row>
    <row r="328" spans="1:11" ht="15" x14ac:dyDescent="0.25">
      <c r="A328" s="27" t="s">
        <v>416</v>
      </c>
      <c r="C328" s="101"/>
      <c r="D328" s="106" t="str">
        <f t="shared" ref="D328:J328" si="65">IF(ROUND(D$122-(D$321-D$327),3)=0,"OK","ERROR")</f>
        <v>OK</v>
      </c>
      <c r="E328" s="106" t="str">
        <f t="shared" si="65"/>
        <v>OK</v>
      </c>
      <c r="F328" s="107" t="str">
        <f t="shared" si="65"/>
        <v>OK</v>
      </c>
      <c r="G328" s="107" t="str">
        <f t="shared" si="65"/>
        <v>OK</v>
      </c>
      <c r="H328" s="107" t="str">
        <f t="shared" si="65"/>
        <v>OK</v>
      </c>
      <c r="I328" s="107" t="str">
        <f t="shared" si="65"/>
        <v>OK</v>
      </c>
      <c r="J328" s="107" t="str">
        <f t="shared" si="65"/>
        <v>OK</v>
      </c>
      <c r="K328" s="101"/>
    </row>
    <row r="329" spans="1:11" ht="15" x14ac:dyDescent="0.25">
      <c r="A329" s="27" t="s">
        <v>228</v>
      </c>
      <c r="C329" s="101"/>
      <c r="D329" s="101"/>
      <c r="E329" s="101"/>
      <c r="F329" s="97"/>
      <c r="G329" s="97"/>
      <c r="H329" s="97"/>
      <c r="I329" s="97"/>
      <c r="J329" s="97"/>
      <c r="K329" s="101"/>
    </row>
    <row r="330" spans="1:11" x14ac:dyDescent="0.2">
      <c r="A330" s="1" t="s">
        <v>279</v>
      </c>
      <c r="B330" s="1" t="str">
        <f>$B$11</f>
        <v>UIM</v>
      </c>
      <c r="C330" s="101"/>
      <c r="D330" s="101">
        <v>0.60699999999999998</v>
      </c>
      <c r="E330" s="101">
        <v>0.54400000000000004</v>
      </c>
      <c r="F330" s="97">
        <v>0.51700000000000002</v>
      </c>
      <c r="G330" s="97">
        <v>0.58099999999999996</v>
      </c>
      <c r="H330" s="97">
        <v>0.57599999999999996</v>
      </c>
      <c r="I330" s="97">
        <v>0.57099999999999995</v>
      </c>
      <c r="J330" s="97">
        <v>0.55600000000000005</v>
      </c>
      <c r="K330" s="101"/>
    </row>
    <row r="331" spans="1:11" x14ac:dyDescent="0.2">
      <c r="A331" s="1" t="s">
        <v>364</v>
      </c>
      <c r="B331" s="1" t="str">
        <f>$B$11</f>
        <v>UIM</v>
      </c>
      <c r="C331" s="101"/>
      <c r="D331" s="101">
        <v>1.21</v>
      </c>
      <c r="E331" s="101">
        <v>1.3009999999999999</v>
      </c>
      <c r="F331" s="97">
        <v>1.52</v>
      </c>
      <c r="G331" s="97">
        <v>1.56</v>
      </c>
      <c r="H331" s="97">
        <v>1.548</v>
      </c>
      <c r="I331" s="97">
        <v>1.522</v>
      </c>
      <c r="J331" s="97">
        <v>1.512</v>
      </c>
      <c r="K331" s="101"/>
    </row>
    <row r="332" spans="1:11" x14ac:dyDescent="0.2">
      <c r="A332" s="1" t="s">
        <v>281</v>
      </c>
      <c r="B332" s="1" t="str">
        <f>$B$11</f>
        <v>UIM</v>
      </c>
      <c r="C332" s="101"/>
      <c r="D332" s="101">
        <v>0</v>
      </c>
      <c r="E332" s="101">
        <v>0</v>
      </c>
      <c r="F332" s="97">
        <v>-2.5999999999999999E-2</v>
      </c>
      <c r="G332" s="97">
        <v>-2.7E-2</v>
      </c>
      <c r="H332" s="97">
        <v>-2.7E-2</v>
      </c>
      <c r="I332" s="97">
        <v>-2.7E-2</v>
      </c>
      <c r="J332" s="97">
        <v>-2.5999999999999999E-2</v>
      </c>
      <c r="K332" s="101"/>
    </row>
    <row r="333" spans="1:11" ht="15" x14ac:dyDescent="0.25">
      <c r="A333" s="27" t="s">
        <v>417</v>
      </c>
      <c r="C333" s="101"/>
      <c r="D333" s="106" t="str">
        <f t="shared" ref="D333:J333" si="66">IF(ROUND(D$124-SUM(D$175,D$330:D$332),3)=0,"OK","ERROR")</f>
        <v>OK</v>
      </c>
      <c r="E333" s="106" t="str">
        <f t="shared" si="66"/>
        <v>OK</v>
      </c>
      <c r="F333" s="107" t="str">
        <f t="shared" si="66"/>
        <v>OK</v>
      </c>
      <c r="G333" s="107" t="str">
        <f t="shared" si="66"/>
        <v>OK</v>
      </c>
      <c r="H333" s="107" t="str">
        <f t="shared" si="66"/>
        <v>OK</v>
      </c>
      <c r="I333" s="107" t="str">
        <f t="shared" si="66"/>
        <v>OK</v>
      </c>
      <c r="J333" s="107" t="str">
        <f t="shared" si="66"/>
        <v>OK</v>
      </c>
      <c r="K333" s="101"/>
    </row>
    <row r="334" spans="1:11" ht="15" x14ac:dyDescent="0.25">
      <c r="A334" s="27" t="s">
        <v>422</v>
      </c>
      <c r="C334" s="101"/>
      <c r="D334" s="101"/>
      <c r="E334" s="101"/>
      <c r="F334" s="97"/>
      <c r="G334" s="97"/>
      <c r="H334" s="97"/>
      <c r="I334" s="97"/>
      <c r="J334" s="97"/>
      <c r="K334" s="101"/>
    </row>
    <row r="335" spans="1:11" x14ac:dyDescent="0.2">
      <c r="A335" s="1" t="s">
        <v>384</v>
      </c>
      <c r="B335" s="1" t="str">
        <f t="shared" ref="B335:B344" si="67">$B$11</f>
        <v>UIM</v>
      </c>
      <c r="C335" s="101"/>
      <c r="D335" s="101">
        <v>0.76</v>
      </c>
      <c r="E335" s="101">
        <v>0.752</v>
      </c>
      <c r="F335" s="97">
        <v>0.83299999999999996</v>
      </c>
      <c r="G335" s="97">
        <v>0.81299999999999994</v>
      </c>
      <c r="H335" s="97">
        <v>0.874</v>
      </c>
      <c r="I335" s="97">
        <v>0.93799999999999994</v>
      </c>
      <c r="J335" s="97">
        <v>1.006</v>
      </c>
      <c r="K335" s="101"/>
    </row>
    <row r="336" spans="1:11" x14ac:dyDescent="0.2">
      <c r="A336" s="1" t="s">
        <v>385</v>
      </c>
      <c r="B336" s="1" t="str">
        <f t="shared" si="67"/>
        <v>UIM</v>
      </c>
      <c r="C336" s="101"/>
      <c r="D336" s="101">
        <v>4.5999999999999999E-2</v>
      </c>
      <c r="E336" s="101">
        <v>0.51200000000000001</v>
      </c>
      <c r="F336" s="97">
        <v>1.1339999999999999</v>
      </c>
      <c r="G336" s="97">
        <v>0.71599999999999997</v>
      </c>
      <c r="H336" s="97">
        <v>0.76900000000000002</v>
      </c>
      <c r="I336" s="97">
        <v>0.82399999999999995</v>
      </c>
      <c r="J336" s="97">
        <v>0.88300000000000001</v>
      </c>
      <c r="K336" s="101"/>
    </row>
    <row r="337" spans="1:11" x14ac:dyDescent="0.2">
      <c r="A337" s="1" t="s">
        <v>386</v>
      </c>
      <c r="B337" s="1" t="str">
        <f t="shared" si="67"/>
        <v>UIM</v>
      </c>
      <c r="C337" s="101"/>
      <c r="D337" s="101">
        <v>0.19800000000000001</v>
      </c>
      <c r="E337" s="101">
        <v>0.13800000000000001</v>
      </c>
      <c r="F337" s="97">
        <v>0.22800000000000001</v>
      </c>
      <c r="G337" s="97">
        <v>0.17799999999999999</v>
      </c>
      <c r="H337" s="97">
        <v>0.185</v>
      </c>
      <c r="I337" s="97">
        <v>0.19600000000000001</v>
      </c>
      <c r="J337" s="97">
        <v>0.20699999999999999</v>
      </c>
      <c r="K337" s="101"/>
    </row>
    <row r="338" spans="1:11" x14ac:dyDescent="0.2">
      <c r="A338" s="1" t="s">
        <v>387</v>
      </c>
      <c r="B338" s="1" t="str">
        <f t="shared" si="67"/>
        <v>UIM</v>
      </c>
      <c r="C338" s="101"/>
      <c r="D338" s="101">
        <v>3.1560000000000001</v>
      </c>
      <c r="E338" s="101">
        <v>-7.5999999999999998E-2</v>
      </c>
      <c r="F338" s="97">
        <v>5.5069999999999997</v>
      </c>
      <c r="G338" s="97">
        <v>2.3650000000000002</v>
      </c>
      <c r="H338" s="97">
        <v>2.5259999999999998</v>
      </c>
      <c r="I338" s="97">
        <v>2.6989999999999998</v>
      </c>
      <c r="J338" s="97">
        <v>2.883</v>
      </c>
      <c r="K338" s="101"/>
    </row>
    <row r="339" spans="1:11" x14ac:dyDescent="0.2">
      <c r="A339" s="1" t="s">
        <v>388</v>
      </c>
      <c r="B339" s="1" t="str">
        <f t="shared" si="67"/>
        <v>UIM</v>
      </c>
      <c r="C339" s="101"/>
      <c r="D339" s="101">
        <v>0</v>
      </c>
      <c r="E339" s="101">
        <v>0</v>
      </c>
      <c r="F339" s="97">
        <v>0</v>
      </c>
      <c r="G339" s="97">
        <v>0</v>
      </c>
      <c r="H339" s="97">
        <v>0</v>
      </c>
      <c r="I339" s="97">
        <v>0</v>
      </c>
      <c r="J339" s="97">
        <v>2.1840000000000002</v>
      </c>
      <c r="K339" s="101"/>
    </row>
    <row r="340" spans="1:11" x14ac:dyDescent="0.2">
      <c r="A340" s="1" t="s">
        <v>86</v>
      </c>
      <c r="B340" s="1" t="str">
        <f t="shared" si="67"/>
        <v>UIM</v>
      </c>
      <c r="C340" s="101"/>
      <c r="D340" s="101">
        <v>4.1000000000000002E-2</v>
      </c>
      <c r="E340" s="101">
        <v>-2.1000000000000001E-2</v>
      </c>
      <c r="F340" s="97">
        <v>6.0000000000000001E-3</v>
      </c>
      <c r="G340" s="97">
        <v>2.3E-2</v>
      </c>
      <c r="H340" s="97">
        <v>2.7E-2</v>
      </c>
      <c r="I340" s="97">
        <v>3.1E-2</v>
      </c>
      <c r="J340" s="97">
        <v>3.6999999999999998E-2</v>
      </c>
      <c r="K340" s="101"/>
    </row>
    <row r="341" spans="1:11" ht="15" x14ac:dyDescent="0.25">
      <c r="A341" s="27" t="s">
        <v>389</v>
      </c>
      <c r="B341" s="1" t="str">
        <f>$B$9</f>
        <v>NAC</v>
      </c>
      <c r="C341" s="104">
        <v>25.809000000000001</v>
      </c>
      <c r="D341" s="102">
        <f t="shared" ref="D341:J341" si="68">SUM(C$341,D$335,-D$336,-D$337,D$338,D$339,D$340)</f>
        <v>29.522000000000002</v>
      </c>
      <c r="E341" s="102">
        <f t="shared" si="68"/>
        <v>29.526999999999997</v>
      </c>
      <c r="F341" s="103">
        <f t="shared" si="68"/>
        <v>34.510999999999996</v>
      </c>
      <c r="G341" s="103">
        <f t="shared" si="68"/>
        <v>36.818000000000005</v>
      </c>
      <c r="H341" s="103">
        <f t="shared" si="68"/>
        <v>39.291000000000011</v>
      </c>
      <c r="I341" s="103">
        <f t="shared" si="68"/>
        <v>41.939000000000014</v>
      </c>
      <c r="J341" s="103">
        <f t="shared" si="68"/>
        <v>46.95900000000001</v>
      </c>
      <c r="K341" s="101"/>
    </row>
    <row r="342" spans="1:11" x14ac:dyDescent="0.2">
      <c r="A342" s="1" t="s">
        <v>390</v>
      </c>
      <c r="B342" s="1" t="str">
        <f t="shared" si="67"/>
        <v>UIM</v>
      </c>
      <c r="C342" s="101"/>
      <c r="D342" s="101">
        <v>31.274000000000001</v>
      </c>
      <c r="E342" s="101">
        <v>30.561</v>
      </c>
      <c r="F342" s="97">
        <v>37.344999999999999</v>
      </c>
      <c r="G342" s="97">
        <v>37.420999999999999</v>
      </c>
      <c r="H342" s="97">
        <v>39.886000000000003</v>
      </c>
      <c r="I342" s="97">
        <v>42.527000000000001</v>
      </c>
      <c r="J342" s="97">
        <v>47.537999999999997</v>
      </c>
      <c r="K342" s="101"/>
    </row>
    <row r="343" spans="1:11" x14ac:dyDescent="0.2">
      <c r="A343" s="1" t="s">
        <v>391</v>
      </c>
      <c r="B343" s="1" t="str">
        <f t="shared" si="67"/>
        <v>UIM</v>
      </c>
      <c r="C343" s="101"/>
      <c r="D343" s="101">
        <v>-3.145</v>
      </c>
      <c r="E343" s="101">
        <v>-2.58</v>
      </c>
      <c r="F343" s="97">
        <v>-4.6509999999999998</v>
      </c>
      <c r="G343" s="97">
        <v>-2.48</v>
      </c>
      <c r="H343" s="97">
        <v>-2.5339999999999998</v>
      </c>
      <c r="I343" s="97">
        <v>-2.5910000000000002</v>
      </c>
      <c r="J343" s="97">
        <v>-2.6509999999999998</v>
      </c>
      <c r="K343" s="101"/>
    </row>
    <row r="344" spans="1:11" x14ac:dyDescent="0.2">
      <c r="A344" s="1" t="s">
        <v>392</v>
      </c>
      <c r="B344" s="1" t="str">
        <f t="shared" si="67"/>
        <v>UIM</v>
      </c>
      <c r="C344" s="101"/>
      <c r="D344" s="101">
        <v>1.393</v>
      </c>
      <c r="E344" s="101">
        <v>1.546</v>
      </c>
      <c r="F344" s="97">
        <v>1.8169999999999999</v>
      </c>
      <c r="G344" s="97">
        <v>1.877</v>
      </c>
      <c r="H344" s="97">
        <v>1.9390000000000001</v>
      </c>
      <c r="I344" s="97">
        <v>2.0030000000000001</v>
      </c>
      <c r="J344" s="97">
        <v>2.0720000000000001</v>
      </c>
      <c r="K344" s="101"/>
    </row>
    <row r="345" spans="1:11" ht="15" x14ac:dyDescent="0.25">
      <c r="A345" s="27" t="s">
        <v>418</v>
      </c>
      <c r="C345" s="101"/>
      <c r="D345" s="106" t="str">
        <f t="shared" ref="D345:J345" si="69">IF(ROUND(D$341-SUM(D$342:D$344),3)=0,"OK","ERROR")</f>
        <v>OK</v>
      </c>
      <c r="E345" s="106" t="str">
        <f t="shared" si="69"/>
        <v>OK</v>
      </c>
      <c r="F345" s="107" t="str">
        <f t="shared" si="69"/>
        <v>OK</v>
      </c>
      <c r="G345" s="107" t="str">
        <f t="shared" si="69"/>
        <v>OK</v>
      </c>
      <c r="H345" s="107" t="str">
        <f t="shared" si="69"/>
        <v>OK</v>
      </c>
      <c r="I345" s="107" t="str">
        <f t="shared" si="69"/>
        <v>OK</v>
      </c>
      <c r="J345" s="107" t="str">
        <f t="shared" si="69"/>
        <v>OK</v>
      </c>
      <c r="K345" s="101"/>
    </row>
    <row r="346" spans="1:11" ht="15" x14ac:dyDescent="0.25">
      <c r="A346" s="27" t="s">
        <v>233</v>
      </c>
      <c r="C346" s="101"/>
      <c r="D346" s="101"/>
      <c r="E346" s="101"/>
      <c r="F346" s="97"/>
      <c r="G346" s="97"/>
      <c r="H346" s="97"/>
      <c r="I346" s="97"/>
      <c r="J346" s="97"/>
      <c r="K346" s="101"/>
    </row>
    <row r="347" spans="1:11" x14ac:dyDescent="0.2">
      <c r="A347" s="1" t="s">
        <v>393</v>
      </c>
      <c r="B347" s="1" t="str">
        <f>$B$9</f>
        <v>NAC</v>
      </c>
      <c r="C347" s="101"/>
      <c r="D347" s="101">
        <v>7.5990000000000002</v>
      </c>
      <c r="E347" s="101">
        <v>7.508</v>
      </c>
      <c r="F347" s="97">
        <v>9.8710000000000004</v>
      </c>
      <c r="G347" s="97">
        <v>7.26</v>
      </c>
      <c r="H347" s="97">
        <v>7.5039999999999996</v>
      </c>
      <c r="I347" s="97">
        <v>7.3920000000000003</v>
      </c>
      <c r="J347" s="97">
        <v>7.444</v>
      </c>
      <c r="K347" s="101"/>
    </row>
    <row r="348" spans="1:11" x14ac:dyDescent="0.2">
      <c r="A348" s="1" t="s">
        <v>394</v>
      </c>
      <c r="B348" s="1" t="str">
        <f>$B$11</f>
        <v>UIM</v>
      </c>
      <c r="C348" s="101"/>
      <c r="D348" s="101">
        <v>4.3540000000000001</v>
      </c>
      <c r="E348" s="101">
        <v>4.5209999999999999</v>
      </c>
      <c r="F348" s="97">
        <v>4.4420000000000002</v>
      </c>
      <c r="G348" s="97">
        <v>4.444</v>
      </c>
      <c r="H348" s="97">
        <v>4.4649999999999999</v>
      </c>
      <c r="I348" s="97">
        <v>4.4850000000000003</v>
      </c>
      <c r="J348" s="97">
        <v>4.5069999999999997</v>
      </c>
      <c r="K348" s="101"/>
    </row>
    <row r="349" spans="1:11" ht="15" x14ac:dyDescent="0.25">
      <c r="A349" s="27" t="s">
        <v>419</v>
      </c>
      <c r="C349" s="101"/>
      <c r="D349" s="106" t="str">
        <f t="shared" ref="D349:J349" si="70">IF(ROUND(D$129-SUM(D$347:D$348),3)=0,"OK","ERROR")</f>
        <v>OK</v>
      </c>
      <c r="E349" s="106" t="str">
        <f t="shared" si="70"/>
        <v>OK</v>
      </c>
      <c r="F349" s="107" t="str">
        <f t="shared" si="70"/>
        <v>OK</v>
      </c>
      <c r="G349" s="107" t="str">
        <f t="shared" si="70"/>
        <v>OK</v>
      </c>
      <c r="H349" s="107" t="str">
        <f t="shared" si="70"/>
        <v>OK</v>
      </c>
      <c r="I349" s="107" t="str">
        <f t="shared" si="70"/>
        <v>OK</v>
      </c>
      <c r="J349" s="107" t="str">
        <f t="shared" si="70"/>
        <v>OK</v>
      </c>
      <c r="K349" s="101"/>
    </row>
    <row r="350" spans="1:11" ht="15" x14ac:dyDescent="0.25">
      <c r="A350" s="27" t="s">
        <v>236</v>
      </c>
      <c r="C350" s="101"/>
      <c r="D350" s="101"/>
      <c r="E350" s="101"/>
      <c r="F350" s="97"/>
      <c r="G350" s="97"/>
      <c r="H350" s="97"/>
      <c r="I350" s="97"/>
      <c r="J350" s="97"/>
      <c r="K350" s="101"/>
    </row>
    <row r="351" spans="1:11" x14ac:dyDescent="0.2">
      <c r="A351" s="1" t="s">
        <v>312</v>
      </c>
      <c r="B351" s="1" t="str">
        <f>$B$11</f>
        <v>UIM</v>
      </c>
      <c r="C351" s="101"/>
      <c r="D351" s="101">
        <v>32.518000000000001</v>
      </c>
      <c r="E351" s="101">
        <v>39.106000000000002</v>
      </c>
      <c r="F351" s="97">
        <v>40.298000000000002</v>
      </c>
      <c r="G351" s="97">
        <v>41.822000000000003</v>
      </c>
      <c r="H351" s="97">
        <v>43.491</v>
      </c>
      <c r="I351" s="97">
        <v>45.292000000000002</v>
      </c>
      <c r="J351" s="97">
        <v>47.276000000000003</v>
      </c>
      <c r="K351" s="101"/>
    </row>
    <row r="352" spans="1:11" x14ac:dyDescent="0.2">
      <c r="A352" s="1" t="s">
        <v>313</v>
      </c>
      <c r="B352" s="1" t="str">
        <f>$B$11</f>
        <v>UIM</v>
      </c>
      <c r="C352" s="101"/>
      <c r="D352" s="101">
        <v>2.9649999999999999</v>
      </c>
      <c r="E352" s="101">
        <v>2.4849999999999999</v>
      </c>
      <c r="F352" s="97">
        <v>1.859</v>
      </c>
      <c r="G352" s="97">
        <v>0.63400000000000001</v>
      </c>
      <c r="H352" s="97">
        <v>0.26400000000000001</v>
      </c>
      <c r="I352" s="97">
        <v>0.24199999999999999</v>
      </c>
      <c r="J352" s="97">
        <v>0.24099999999999999</v>
      </c>
      <c r="K352" s="101"/>
    </row>
    <row r="353" spans="1:11" x14ac:dyDescent="0.2">
      <c r="A353" s="1" t="s">
        <v>395</v>
      </c>
      <c r="B353" s="1" t="str">
        <f>$B$11</f>
        <v>UIM</v>
      </c>
      <c r="C353" s="101"/>
      <c r="D353" s="101">
        <v>0.94799999999999995</v>
      </c>
      <c r="E353" s="101">
        <v>0.53500000000000003</v>
      </c>
      <c r="F353" s="97">
        <v>0.72399999999999998</v>
      </c>
      <c r="G353" s="97">
        <v>0.3</v>
      </c>
      <c r="H353" s="97">
        <v>5.6000000000000001E-2</v>
      </c>
      <c r="I353" s="97">
        <v>5.7000000000000002E-2</v>
      </c>
      <c r="J353" s="97">
        <v>5.7000000000000002E-2</v>
      </c>
      <c r="K353" s="101"/>
    </row>
    <row r="354" spans="1:11" ht="15" x14ac:dyDescent="0.25">
      <c r="A354" s="27" t="s">
        <v>420</v>
      </c>
      <c r="C354" s="101"/>
      <c r="D354" s="106" t="str">
        <f t="shared" ref="D354:J354" si="71">IF(ROUND(D$132-SUM(D$351:D$353),3)=0,"OK","ERROR")</f>
        <v>OK</v>
      </c>
      <c r="E354" s="106" t="str">
        <f t="shared" si="71"/>
        <v>OK</v>
      </c>
      <c r="F354" s="107" t="str">
        <f t="shared" si="71"/>
        <v>OK</v>
      </c>
      <c r="G354" s="107" t="str">
        <f t="shared" si="71"/>
        <v>OK</v>
      </c>
      <c r="H354" s="107" t="str">
        <f t="shared" si="71"/>
        <v>OK</v>
      </c>
      <c r="I354" s="107" t="str">
        <f t="shared" si="71"/>
        <v>OK</v>
      </c>
      <c r="J354" s="107" t="str">
        <f t="shared" si="71"/>
        <v>OK</v>
      </c>
      <c r="K354" s="101"/>
    </row>
    <row r="355" spans="1:11" x14ac:dyDescent="0.2">
      <c r="A355" s="29"/>
      <c r="C355" s="101"/>
      <c r="D355" s="101"/>
      <c r="E355" s="101"/>
      <c r="F355" s="97"/>
      <c r="G355" s="97"/>
      <c r="H355" s="97"/>
      <c r="I355" s="97"/>
      <c r="J355" s="97"/>
      <c r="K355" s="101"/>
    </row>
    <row r="356" spans="1:11" ht="15" x14ac:dyDescent="0.25">
      <c r="A356" s="27" t="s">
        <v>421</v>
      </c>
      <c r="C356" s="101"/>
      <c r="D356" s="101"/>
      <c r="E356" s="101"/>
      <c r="F356" s="97"/>
      <c r="G356" s="97"/>
      <c r="H356" s="97"/>
      <c r="I356" s="97"/>
      <c r="J356" s="97"/>
      <c r="K356" s="101"/>
    </row>
    <row r="357" spans="1:11" x14ac:dyDescent="0.2">
      <c r="A357" s="1" t="s">
        <v>397</v>
      </c>
      <c r="B357" s="1" t="str">
        <f t="shared" ref="B357:B367" si="72">$B$11</f>
        <v>UIM</v>
      </c>
      <c r="C357" s="101"/>
      <c r="D357" s="101">
        <v>66.347999999999999</v>
      </c>
      <c r="E357" s="101">
        <v>69.75</v>
      </c>
      <c r="F357" s="97">
        <v>74.751000000000005</v>
      </c>
      <c r="G357" s="97">
        <v>77.935000000000002</v>
      </c>
      <c r="H357" s="97">
        <v>81.016999999999996</v>
      </c>
      <c r="I357" s="97">
        <v>85.546999999999997</v>
      </c>
      <c r="J357" s="97">
        <v>89.578999999999994</v>
      </c>
      <c r="K357" s="101"/>
    </row>
    <row r="358" spans="1:11" x14ac:dyDescent="0.2">
      <c r="A358" s="1" t="s">
        <v>182</v>
      </c>
      <c r="B358" s="1" t="str">
        <f t="shared" si="72"/>
        <v>UIM</v>
      </c>
      <c r="C358" s="101"/>
      <c r="D358" s="101">
        <v>0.88900000000000001</v>
      </c>
      <c r="E358" s="101">
        <v>0.83499999999999996</v>
      </c>
      <c r="F358" s="97">
        <v>0.93700000000000006</v>
      </c>
      <c r="G358" s="97">
        <v>0.89300000000000002</v>
      </c>
      <c r="H358" s="97">
        <v>0.89900000000000002</v>
      </c>
      <c r="I358" s="97">
        <v>0.86599999999999999</v>
      </c>
      <c r="J358" s="97">
        <v>0.86499999999999999</v>
      </c>
      <c r="K358" s="101"/>
    </row>
    <row r="359" spans="1:11" x14ac:dyDescent="0.2">
      <c r="A359" s="1" t="s">
        <v>398</v>
      </c>
      <c r="B359" s="1" t="str">
        <f t="shared" si="72"/>
        <v>UIM</v>
      </c>
      <c r="C359" s="101"/>
      <c r="D359" s="101">
        <v>1.806</v>
      </c>
      <c r="E359" s="101">
        <v>1.6990000000000001</v>
      </c>
      <c r="F359" s="97">
        <v>1.7270000000000001</v>
      </c>
      <c r="G359" s="97">
        <v>1.4350000000000001</v>
      </c>
      <c r="H359" s="97">
        <v>1.4219999999999999</v>
      </c>
      <c r="I359" s="97">
        <v>1.546</v>
      </c>
      <c r="J359" s="97">
        <v>1.6739999999999999</v>
      </c>
      <c r="K359" s="101"/>
    </row>
    <row r="360" spans="1:11" x14ac:dyDescent="0.2">
      <c r="A360" s="1" t="s">
        <v>399</v>
      </c>
      <c r="B360" s="1" t="str">
        <f t="shared" si="72"/>
        <v>UIM</v>
      </c>
      <c r="C360" s="101"/>
      <c r="D360" s="101">
        <v>2.4329999999999998</v>
      </c>
      <c r="E360" s="101">
        <v>2.0259999999999998</v>
      </c>
      <c r="F360" s="97">
        <v>2.1520000000000001</v>
      </c>
      <c r="G360" s="97">
        <v>2.48</v>
      </c>
      <c r="H360" s="97">
        <v>2.165</v>
      </c>
      <c r="I360" s="97">
        <v>2.1720000000000002</v>
      </c>
      <c r="J360" s="97">
        <v>2.1240000000000001</v>
      </c>
      <c r="K360" s="101"/>
    </row>
    <row r="361" spans="1:11" x14ac:dyDescent="0.2">
      <c r="A361" s="1" t="s">
        <v>149</v>
      </c>
      <c r="B361" s="1" t="str">
        <f t="shared" si="72"/>
        <v>UIM</v>
      </c>
      <c r="C361" s="101"/>
      <c r="D361" s="101">
        <v>-23.895</v>
      </c>
      <c r="E361" s="101">
        <v>-24.338000000000001</v>
      </c>
      <c r="F361" s="97">
        <v>-25.309000000000001</v>
      </c>
      <c r="G361" s="97">
        <v>-26.442</v>
      </c>
      <c r="H361" s="97">
        <v>-27.596</v>
      </c>
      <c r="I361" s="97">
        <v>-28.518000000000001</v>
      </c>
      <c r="J361" s="97">
        <v>-29.484000000000002</v>
      </c>
      <c r="K361" s="101"/>
    </row>
    <row r="362" spans="1:11" x14ac:dyDescent="0.2">
      <c r="A362" s="1" t="s">
        <v>400</v>
      </c>
      <c r="B362" s="1" t="str">
        <f t="shared" si="72"/>
        <v>UIM</v>
      </c>
      <c r="C362" s="101"/>
      <c r="D362" s="101">
        <v>-42.064</v>
      </c>
      <c r="E362" s="101">
        <v>-43.103000000000002</v>
      </c>
      <c r="F362" s="97">
        <v>-44.923999999999999</v>
      </c>
      <c r="G362" s="97">
        <v>-48.698999999999998</v>
      </c>
      <c r="H362" s="97">
        <v>-47.890999999999998</v>
      </c>
      <c r="I362" s="97">
        <v>-47.585999999999999</v>
      </c>
      <c r="J362" s="97">
        <v>-47.774000000000001</v>
      </c>
      <c r="K362" s="101"/>
    </row>
    <row r="363" spans="1:11" x14ac:dyDescent="0.2">
      <c r="A363" s="1" t="s">
        <v>178</v>
      </c>
      <c r="B363" s="1" t="str">
        <f t="shared" si="72"/>
        <v>UIM</v>
      </c>
      <c r="C363" s="101"/>
      <c r="D363" s="101">
        <v>-3.9220000000000002</v>
      </c>
      <c r="E363" s="101">
        <v>-3.6040000000000001</v>
      </c>
      <c r="F363" s="97">
        <v>-3.5270000000000001</v>
      </c>
      <c r="G363" s="97">
        <v>-3.4609999999999999</v>
      </c>
      <c r="H363" s="97">
        <v>-3.3149999999999999</v>
      </c>
      <c r="I363" s="97">
        <v>-3.2589999999999999</v>
      </c>
      <c r="J363" s="97">
        <v>-3.306</v>
      </c>
      <c r="K363" s="101"/>
    </row>
    <row r="364" spans="1:11" ht="15" x14ac:dyDescent="0.25">
      <c r="A364" s="27" t="s">
        <v>423</v>
      </c>
      <c r="C364" s="101"/>
      <c r="D364" s="102">
        <f t="shared" ref="D364:J364" si="73">SUM(D$357:D$363)-SUM(D$21:D$22)</f>
        <v>1.5950000000000029</v>
      </c>
      <c r="E364" s="102">
        <f t="shared" si="73"/>
        <v>3.2649999999999855</v>
      </c>
      <c r="F364" s="103">
        <f t="shared" si="73"/>
        <v>5.8070000000000102</v>
      </c>
      <c r="G364" s="103">
        <f t="shared" si="73"/>
        <v>4.8240000000000105</v>
      </c>
      <c r="H364" s="103">
        <f t="shared" si="73"/>
        <v>5.2369999999999983</v>
      </c>
      <c r="I364" s="103">
        <f t="shared" si="73"/>
        <v>7.5470000000000006</v>
      </c>
      <c r="J364" s="103">
        <f t="shared" si="73"/>
        <v>8.6829999999999785</v>
      </c>
      <c r="K364" s="101"/>
    </row>
    <row r="365" spans="1:11" x14ac:dyDescent="0.2">
      <c r="A365" s="1" t="s">
        <v>357</v>
      </c>
      <c r="B365" s="1" t="str">
        <f t="shared" si="72"/>
        <v>UIM</v>
      </c>
      <c r="C365" s="101"/>
      <c r="D365" s="101">
        <v>-1.9550000000000001</v>
      </c>
      <c r="E365" s="101">
        <v>-1.9710000000000001</v>
      </c>
      <c r="F365" s="97">
        <v>-2.4289999999999998</v>
      </c>
      <c r="G365" s="97">
        <v>-3.6760000000000002</v>
      </c>
      <c r="H365" s="97">
        <v>-2.6480000000000001</v>
      </c>
      <c r="I365" s="97">
        <v>-2.3130000000000002</v>
      </c>
      <c r="J365" s="97">
        <v>-1.98</v>
      </c>
      <c r="K365" s="101"/>
    </row>
    <row r="366" spans="1:11" x14ac:dyDescent="0.2">
      <c r="A366" s="1" t="s">
        <v>401</v>
      </c>
      <c r="B366" s="1" t="str">
        <f t="shared" si="72"/>
        <v>UIM</v>
      </c>
      <c r="C366" s="101"/>
      <c r="D366" s="101">
        <v>-0.56999999999999995</v>
      </c>
      <c r="E366" s="101">
        <v>-0.46800000000000003</v>
      </c>
      <c r="F366" s="97">
        <v>4.5999999999999999E-2</v>
      </c>
      <c r="G366" s="97">
        <v>-0.375</v>
      </c>
      <c r="H366" s="97">
        <v>-0.311</v>
      </c>
      <c r="I366" s="97">
        <v>-0.108</v>
      </c>
      <c r="J366" s="97">
        <v>-0.122</v>
      </c>
      <c r="K366" s="101"/>
    </row>
    <row r="367" spans="1:11" x14ac:dyDescent="0.2">
      <c r="A367" s="1" t="s">
        <v>402</v>
      </c>
      <c r="B367" s="1" t="str">
        <f t="shared" si="72"/>
        <v>UIM</v>
      </c>
      <c r="C367" s="101"/>
      <c r="D367" s="101">
        <v>-0.89699999999999991</v>
      </c>
      <c r="E367" s="101">
        <v>-2.1480000000000001</v>
      </c>
      <c r="F367" s="97">
        <v>-1.927</v>
      </c>
      <c r="G367" s="97">
        <v>-2.7730000000000001</v>
      </c>
      <c r="H367" s="97">
        <v>-2.44</v>
      </c>
      <c r="I367" s="97">
        <v>-2.073</v>
      </c>
      <c r="J367" s="97">
        <v>-1.5880000000000001</v>
      </c>
      <c r="K367" s="101"/>
    </row>
    <row r="368" spans="1:11" ht="15" x14ac:dyDescent="0.25">
      <c r="A368" s="27" t="s">
        <v>424</v>
      </c>
      <c r="C368" s="101"/>
      <c r="D368" s="102">
        <f t="shared" ref="D368:J368" si="74">SUM(D$365:D$367)-SUM(D$339,D$125-C$125,D$126-C$126)</f>
        <v>-3.4219999999999997</v>
      </c>
      <c r="E368" s="102">
        <f t="shared" si="74"/>
        <v>-4.5869999999999997</v>
      </c>
      <c r="F368" s="103">
        <f t="shared" si="74"/>
        <v>-4.3100000000000005</v>
      </c>
      <c r="G368" s="103">
        <f t="shared" si="74"/>
        <v>-6.18</v>
      </c>
      <c r="H368" s="103">
        <f t="shared" si="74"/>
        <v>-6.6020000000000003</v>
      </c>
      <c r="I368" s="103">
        <f t="shared" si="74"/>
        <v>-5.8389999999999995</v>
      </c>
      <c r="J368" s="103">
        <f t="shared" si="74"/>
        <v>-7.609</v>
      </c>
      <c r="K368" s="101"/>
    </row>
    <row r="369" spans="1:11" ht="15" x14ac:dyDescent="0.25">
      <c r="A369" s="27" t="s">
        <v>403</v>
      </c>
      <c r="B369" s="1" t="str">
        <f>$B$9</f>
        <v>NAC</v>
      </c>
      <c r="C369" s="101"/>
      <c r="D369" s="104">
        <v>-1.827</v>
      </c>
      <c r="E369" s="104">
        <v>-1.3220000000000001</v>
      </c>
      <c r="F369" s="105">
        <v>1.4970000000000001</v>
      </c>
      <c r="G369" s="105">
        <v>-1.3560000000000001</v>
      </c>
      <c r="H369" s="105">
        <v>-1.365</v>
      </c>
      <c r="I369" s="105">
        <v>1.708</v>
      </c>
      <c r="J369" s="105">
        <v>1.0740000000000001</v>
      </c>
      <c r="K369" s="101"/>
    </row>
    <row r="370" spans="1:11" ht="15" x14ac:dyDescent="0.25">
      <c r="A370" s="27" t="s">
        <v>425</v>
      </c>
      <c r="C370" s="101"/>
      <c r="D370" s="111" t="str">
        <f t="shared" ref="D370:J370" si="75">IF(ROUND(D$369-SUM(D$364,D$368),3)=0,"OK","ERROR")</f>
        <v>OK</v>
      </c>
      <c r="E370" s="111" t="str">
        <f t="shared" si="75"/>
        <v>OK</v>
      </c>
      <c r="F370" s="112" t="str">
        <f t="shared" si="75"/>
        <v>OK</v>
      </c>
      <c r="G370" s="112" t="str">
        <f t="shared" si="75"/>
        <v>OK</v>
      </c>
      <c r="H370" s="112" t="str">
        <f t="shared" si="75"/>
        <v>OK</v>
      </c>
      <c r="I370" s="112" t="str">
        <f t="shared" si="75"/>
        <v>OK</v>
      </c>
      <c r="J370" s="112" t="str">
        <f t="shared" si="75"/>
        <v>OK</v>
      </c>
      <c r="K370" s="101"/>
    </row>
    <row r="371" spans="1:11" ht="15" x14ac:dyDescent="0.25">
      <c r="A371" s="27" t="s">
        <v>404</v>
      </c>
      <c r="B371" s="1" t="str">
        <f>$B$11</f>
        <v>UIM</v>
      </c>
      <c r="C371" s="101"/>
      <c r="D371" s="104">
        <v>3.0409999999999999</v>
      </c>
      <c r="E371" s="104">
        <v>2.1779999999999999</v>
      </c>
      <c r="F371" s="105">
        <v>0.189</v>
      </c>
      <c r="G371" s="105">
        <v>-3.3839999999999999</v>
      </c>
      <c r="H371" s="105">
        <v>0.58099999999999996</v>
      </c>
      <c r="I371" s="105">
        <v>-0.40600000000000003</v>
      </c>
      <c r="J371" s="105">
        <v>-5.1959999999999997</v>
      </c>
      <c r="K371" s="101"/>
    </row>
    <row r="372" spans="1:11" x14ac:dyDescent="0.2">
      <c r="A372" s="1" t="s">
        <v>405</v>
      </c>
      <c r="B372" s="1" t="str">
        <f>$B$11</f>
        <v>UIM</v>
      </c>
      <c r="C372" s="101"/>
      <c r="D372" s="101">
        <v>0.79500000000000004</v>
      </c>
      <c r="E372" s="101">
        <v>0.68500000000000005</v>
      </c>
      <c r="F372" s="97">
        <v>1.554</v>
      </c>
      <c r="G372" s="97">
        <v>3.9569999999999999</v>
      </c>
      <c r="H372" s="97">
        <v>0.60199999999999998</v>
      </c>
      <c r="I372" s="97">
        <v>-1.492</v>
      </c>
      <c r="J372" s="97">
        <v>3.927</v>
      </c>
      <c r="K372" s="101"/>
    </row>
    <row r="373" spans="1:11" x14ac:dyDescent="0.2">
      <c r="A373" s="1" t="s">
        <v>406</v>
      </c>
      <c r="B373" s="1" t="str">
        <f>$B$11</f>
        <v>UIM</v>
      </c>
      <c r="C373" s="101"/>
      <c r="D373" s="101">
        <v>-2.3809999999999998</v>
      </c>
      <c r="E373" s="101">
        <v>-1.919</v>
      </c>
      <c r="F373" s="97">
        <v>-3.5419999999999998</v>
      </c>
      <c r="G373" s="97">
        <v>0.60499999999999998</v>
      </c>
      <c r="H373" s="97">
        <v>-2E-3</v>
      </c>
      <c r="I373" s="97">
        <v>1E-3</v>
      </c>
      <c r="J373" s="97">
        <v>1E-3</v>
      </c>
      <c r="K373" s="101"/>
    </row>
    <row r="374" spans="1:11" ht="15" x14ac:dyDescent="0.25">
      <c r="A374" s="27" t="s">
        <v>426</v>
      </c>
      <c r="C374" s="101"/>
      <c r="D374" s="102">
        <f t="shared" ref="D374:J374" si="76">SUM(D$88,D$372:D$373)</f>
        <v>-1.2139999999999997</v>
      </c>
      <c r="E374" s="102">
        <f t="shared" si="76"/>
        <v>-0.85599999999999987</v>
      </c>
      <c r="F374" s="103">
        <f t="shared" si="76"/>
        <v>-1.6859999999999997</v>
      </c>
      <c r="G374" s="103">
        <f t="shared" si="76"/>
        <v>4.74</v>
      </c>
      <c r="H374" s="103">
        <f t="shared" si="76"/>
        <v>0.78400000000000003</v>
      </c>
      <c r="I374" s="103">
        <f t="shared" si="76"/>
        <v>-1.302</v>
      </c>
      <c r="J374" s="103">
        <f t="shared" si="76"/>
        <v>4.1220000000000008</v>
      </c>
      <c r="K374" s="101"/>
    </row>
    <row r="375" spans="1:11" ht="15" x14ac:dyDescent="0.25">
      <c r="A375" s="27" t="s">
        <v>407</v>
      </c>
      <c r="C375" s="101"/>
      <c r="D375" s="102">
        <f t="shared" ref="D375:J375" si="77">SUM(D$371,D$374)</f>
        <v>1.8270000000000002</v>
      </c>
      <c r="E375" s="102">
        <f t="shared" si="77"/>
        <v>1.3220000000000001</v>
      </c>
      <c r="F375" s="103">
        <f t="shared" si="77"/>
        <v>-1.4969999999999997</v>
      </c>
      <c r="G375" s="103">
        <f t="shared" si="77"/>
        <v>1.3560000000000003</v>
      </c>
      <c r="H375" s="103">
        <f t="shared" si="77"/>
        <v>1.365</v>
      </c>
      <c r="I375" s="103">
        <f t="shared" si="77"/>
        <v>-1.7080000000000002</v>
      </c>
      <c r="J375" s="103">
        <f t="shared" si="77"/>
        <v>-1.073999999999999</v>
      </c>
      <c r="K375" s="101"/>
    </row>
    <row r="376" spans="1:11" x14ac:dyDescent="0.2">
      <c r="C376" s="7"/>
      <c r="D376" s="7"/>
      <c r="E376" s="7"/>
      <c r="F376" s="7"/>
      <c r="G376" s="7"/>
      <c r="H376" s="7"/>
      <c r="I376" s="7"/>
      <c r="J376" s="7"/>
      <c r="K376" s="7"/>
    </row>
    <row r="377" spans="1:11" x14ac:dyDescent="0.2">
      <c r="C377" s="7"/>
      <c r="D377" s="7"/>
      <c r="E377" s="7"/>
      <c r="F377" s="7"/>
      <c r="G377" s="7"/>
      <c r="H377" s="7"/>
      <c r="I377" s="7"/>
      <c r="J377" s="7"/>
      <c r="K377" s="7"/>
    </row>
    <row r="378" spans="1:11" x14ac:dyDescent="0.2">
      <c r="C378" s="7"/>
      <c r="D378" s="7"/>
      <c r="E378" s="7"/>
      <c r="F378" s="7"/>
      <c r="G378" s="7"/>
      <c r="H378" s="7"/>
      <c r="I378" s="7"/>
      <c r="J378" s="7"/>
      <c r="K378" s="7"/>
    </row>
    <row r="379" spans="1:11" x14ac:dyDescent="0.2">
      <c r="C379" s="7"/>
      <c r="D379" s="7"/>
      <c r="E379" s="7"/>
      <c r="F379" s="7"/>
      <c r="G379" s="7"/>
      <c r="H379" s="7"/>
      <c r="I379" s="7"/>
      <c r="J379" s="7"/>
      <c r="K379" s="7"/>
    </row>
    <row r="380" spans="1:11" x14ac:dyDescent="0.2">
      <c r="C380" s="7"/>
      <c r="D380" s="7"/>
      <c r="E380" s="7"/>
      <c r="F380" s="7"/>
      <c r="G380" s="7"/>
      <c r="H380" s="7"/>
      <c r="I380" s="7"/>
      <c r="J380" s="7"/>
      <c r="K380" s="7"/>
    </row>
    <row r="381" spans="1:11" x14ac:dyDescent="0.2">
      <c r="C381" s="7"/>
      <c r="D381" s="7"/>
      <c r="E381" s="7"/>
      <c r="F381" s="7"/>
      <c r="G381" s="7"/>
      <c r="H381" s="7"/>
      <c r="I381" s="7"/>
      <c r="J381" s="7"/>
      <c r="K381" s="7"/>
    </row>
    <row r="382" spans="1:11" x14ac:dyDescent="0.2">
      <c r="C382" s="7"/>
      <c r="D382" s="7"/>
      <c r="E382" s="7"/>
      <c r="F382" s="7"/>
      <c r="G382" s="7"/>
      <c r="H382" s="7"/>
      <c r="I382" s="7"/>
      <c r="J382" s="7"/>
      <c r="K382" s="7"/>
    </row>
    <row r="383" spans="1:11" x14ac:dyDescent="0.2">
      <c r="C383" s="7"/>
      <c r="D383" s="7"/>
      <c r="E383" s="7"/>
      <c r="F383" s="7"/>
      <c r="G383" s="7"/>
      <c r="H383" s="7"/>
      <c r="I383" s="7"/>
      <c r="J383" s="7"/>
      <c r="K383" s="7"/>
    </row>
    <row r="384" spans="1:11" x14ac:dyDescent="0.2">
      <c r="C384" s="7"/>
      <c r="D384" s="7"/>
      <c r="E384" s="7"/>
      <c r="F384" s="7"/>
      <c r="G384" s="7"/>
      <c r="H384" s="7"/>
      <c r="I384" s="7"/>
      <c r="J384" s="7"/>
      <c r="K384" s="7"/>
    </row>
    <row r="385" spans="3:11" x14ac:dyDescent="0.2">
      <c r="C385" s="7"/>
      <c r="D385" s="7"/>
      <c r="E385" s="7"/>
      <c r="F385" s="7"/>
      <c r="G385" s="7"/>
      <c r="H385" s="7"/>
      <c r="I385" s="7"/>
      <c r="J385" s="7"/>
      <c r="K385" s="7"/>
    </row>
    <row r="386" spans="3:11" x14ac:dyDescent="0.2">
      <c r="C386" s="7"/>
      <c r="D386" s="7"/>
      <c r="E386" s="7"/>
      <c r="F386" s="7"/>
      <c r="G386" s="7"/>
      <c r="H386" s="7"/>
      <c r="I386" s="7"/>
      <c r="J386" s="7"/>
      <c r="K386" s="7"/>
    </row>
    <row r="387" spans="3:11" x14ac:dyDescent="0.2">
      <c r="C387" s="7"/>
      <c r="D387" s="7"/>
      <c r="E387" s="7"/>
      <c r="F387" s="7"/>
      <c r="G387" s="7"/>
      <c r="H387" s="7"/>
      <c r="I387" s="7"/>
      <c r="J387" s="7"/>
      <c r="K387" s="7"/>
    </row>
    <row r="388" spans="3:11" x14ac:dyDescent="0.2">
      <c r="C388" s="7"/>
      <c r="D388" s="7"/>
      <c r="E388" s="7"/>
      <c r="F388" s="7"/>
      <c r="G388" s="7"/>
      <c r="H388" s="7"/>
      <c r="I388" s="7"/>
      <c r="J388" s="7"/>
      <c r="K388" s="7"/>
    </row>
    <row r="389" spans="3:11" x14ac:dyDescent="0.2">
      <c r="C389" s="7"/>
      <c r="D389" s="7"/>
      <c r="E389" s="7"/>
      <c r="F389" s="7"/>
      <c r="G389" s="7"/>
      <c r="H389" s="7"/>
      <c r="I389" s="7"/>
      <c r="J389" s="7"/>
      <c r="K389" s="7"/>
    </row>
    <row r="390" spans="3:11" x14ac:dyDescent="0.2">
      <c r="C390" s="7"/>
      <c r="D390" s="7"/>
      <c r="E390" s="7"/>
      <c r="F390" s="7"/>
      <c r="G390" s="7"/>
      <c r="H390" s="7"/>
      <c r="I390" s="7"/>
      <c r="J390" s="7"/>
      <c r="K390" s="7"/>
    </row>
    <row r="391" spans="3:11" x14ac:dyDescent="0.2">
      <c r="C391" s="7"/>
      <c r="D391" s="7"/>
      <c r="E391" s="7"/>
      <c r="F391" s="7"/>
      <c r="G391" s="7"/>
      <c r="H391" s="7"/>
      <c r="I391" s="7"/>
      <c r="J391" s="7"/>
      <c r="K391" s="7"/>
    </row>
    <row r="392" spans="3:11" x14ac:dyDescent="0.2">
      <c r="C392" s="7"/>
      <c r="D392" s="7"/>
      <c r="E392" s="7"/>
      <c r="F392" s="7"/>
      <c r="G392" s="7"/>
      <c r="H392" s="7"/>
      <c r="I392" s="7"/>
      <c r="J392" s="7"/>
      <c r="K392" s="7"/>
    </row>
    <row r="393" spans="3:11" x14ac:dyDescent="0.2">
      <c r="C393" s="7"/>
      <c r="D393" s="7"/>
      <c r="E393" s="7"/>
      <c r="F393" s="7"/>
      <c r="G393" s="7"/>
      <c r="H393" s="7"/>
      <c r="I393" s="7"/>
      <c r="J393" s="7"/>
      <c r="K393" s="7"/>
    </row>
    <row r="394" spans="3:11" x14ac:dyDescent="0.2">
      <c r="C394" s="7"/>
      <c r="D394" s="7"/>
      <c r="E394" s="7"/>
      <c r="F394" s="7"/>
      <c r="G394" s="7"/>
      <c r="H394" s="7"/>
      <c r="I394" s="7"/>
      <c r="J394" s="7"/>
      <c r="K394" s="7"/>
    </row>
    <row r="395" spans="3:11" x14ac:dyDescent="0.2">
      <c r="C395" s="7"/>
      <c r="D395" s="7"/>
      <c r="E395" s="7"/>
      <c r="F395" s="7"/>
      <c r="G395" s="7"/>
      <c r="H395" s="7"/>
      <c r="I395" s="7"/>
      <c r="J395" s="7"/>
      <c r="K395" s="7"/>
    </row>
    <row r="396" spans="3:11" x14ac:dyDescent="0.2">
      <c r="C396" s="7"/>
      <c r="D396" s="7"/>
      <c r="E396" s="7"/>
      <c r="F396" s="7"/>
      <c r="G396" s="7"/>
      <c r="H396" s="7"/>
      <c r="I396" s="7"/>
      <c r="J396" s="7"/>
      <c r="K396" s="7"/>
    </row>
    <row r="397" spans="3:11" x14ac:dyDescent="0.2">
      <c r="C397" s="7"/>
      <c r="D397" s="7"/>
      <c r="E397" s="7"/>
      <c r="F397" s="7"/>
      <c r="G397" s="7"/>
      <c r="H397" s="7"/>
      <c r="I397" s="7"/>
      <c r="J397" s="7"/>
      <c r="K397" s="7"/>
    </row>
    <row r="398" spans="3:11" x14ac:dyDescent="0.2">
      <c r="C398" s="7"/>
      <c r="D398" s="7"/>
      <c r="E398" s="7"/>
      <c r="F398" s="7"/>
      <c r="G398" s="7"/>
      <c r="H398" s="7"/>
      <c r="I398" s="7"/>
      <c r="J398" s="7"/>
      <c r="K398" s="7"/>
    </row>
    <row r="399" spans="3:11" x14ac:dyDescent="0.2">
      <c r="C399" s="7"/>
      <c r="D399" s="7"/>
      <c r="E399" s="7"/>
      <c r="F399" s="7"/>
      <c r="G399" s="7"/>
      <c r="H399" s="7"/>
      <c r="I399" s="7"/>
      <c r="J399" s="7"/>
      <c r="K399" s="7"/>
    </row>
    <row r="400" spans="3:11" x14ac:dyDescent="0.2">
      <c r="C400" s="7"/>
      <c r="D400" s="7"/>
      <c r="E400" s="7"/>
      <c r="F400" s="7"/>
      <c r="G400" s="7"/>
      <c r="H400" s="7"/>
      <c r="I400" s="7"/>
      <c r="J400" s="7"/>
      <c r="K400" s="7"/>
    </row>
    <row r="401" spans="3:11" x14ac:dyDescent="0.2">
      <c r="C401" s="7"/>
      <c r="D401" s="7"/>
      <c r="E401" s="7"/>
      <c r="F401" s="7"/>
      <c r="G401" s="7"/>
      <c r="H401" s="7"/>
      <c r="I401" s="7"/>
      <c r="J401" s="7"/>
      <c r="K401" s="7"/>
    </row>
    <row r="402" spans="3:11" x14ac:dyDescent="0.2">
      <c r="C402" s="7"/>
      <c r="D402" s="7"/>
      <c r="E402" s="7"/>
      <c r="F402" s="7"/>
      <c r="G402" s="7"/>
      <c r="H402" s="7"/>
      <c r="I402" s="7"/>
      <c r="J402" s="7"/>
      <c r="K402" s="7"/>
    </row>
    <row r="403" spans="3:11" x14ac:dyDescent="0.2">
      <c r="C403" s="7"/>
      <c r="D403" s="7"/>
      <c r="E403" s="7"/>
      <c r="F403" s="7"/>
      <c r="G403" s="7"/>
      <c r="H403" s="7"/>
      <c r="I403" s="7"/>
      <c r="J403" s="7"/>
      <c r="K403" s="7"/>
    </row>
    <row r="404" spans="3:11" x14ac:dyDescent="0.2">
      <c r="C404" s="7"/>
      <c r="D404" s="7"/>
      <c r="E404" s="7"/>
      <c r="F404" s="7"/>
      <c r="G404" s="7"/>
      <c r="H404" s="7"/>
      <c r="I404" s="7"/>
      <c r="J404" s="7"/>
      <c r="K404" s="7"/>
    </row>
    <row r="405" spans="3:11" x14ac:dyDescent="0.2">
      <c r="C405" s="7"/>
      <c r="D405" s="7"/>
      <c r="E405" s="7"/>
      <c r="F405" s="7"/>
      <c r="G405" s="7"/>
      <c r="H405" s="7"/>
      <c r="I405" s="7"/>
      <c r="J405" s="7"/>
      <c r="K405" s="7"/>
    </row>
    <row r="406" spans="3:11" x14ac:dyDescent="0.2">
      <c r="C406" s="7"/>
      <c r="D406" s="7"/>
      <c r="E406" s="7"/>
      <c r="F406" s="7"/>
      <c r="G406" s="7"/>
      <c r="H406" s="7"/>
      <c r="I406" s="7"/>
      <c r="J406" s="7"/>
      <c r="K406" s="7"/>
    </row>
    <row r="407" spans="3:11" x14ac:dyDescent="0.2">
      <c r="C407" s="7"/>
      <c r="D407" s="7"/>
      <c r="E407" s="7"/>
      <c r="F407" s="7"/>
      <c r="G407" s="7"/>
      <c r="H407" s="7"/>
      <c r="I407" s="7"/>
      <c r="J407" s="7"/>
      <c r="K407" s="7"/>
    </row>
    <row r="408" spans="3:11" x14ac:dyDescent="0.2">
      <c r="C408" s="7"/>
      <c r="D408" s="7"/>
      <c r="E408" s="7"/>
      <c r="F408" s="7"/>
      <c r="G408" s="7"/>
      <c r="H408" s="7"/>
      <c r="I408" s="7"/>
      <c r="J408" s="7"/>
      <c r="K408" s="7"/>
    </row>
    <row r="409" spans="3:11" x14ac:dyDescent="0.2">
      <c r="C409" s="7"/>
      <c r="D409" s="7"/>
      <c r="E409" s="7"/>
      <c r="F409" s="7"/>
      <c r="G409" s="7"/>
      <c r="H409" s="7"/>
      <c r="I409" s="7"/>
      <c r="J409" s="7"/>
      <c r="K409" s="7"/>
    </row>
    <row r="410" spans="3:11" x14ac:dyDescent="0.2">
      <c r="C410" s="7"/>
      <c r="D410" s="7"/>
      <c r="E410" s="7"/>
      <c r="F410" s="7"/>
      <c r="G410" s="7"/>
      <c r="H410" s="7"/>
      <c r="I410" s="7"/>
      <c r="J410" s="7"/>
      <c r="K410" s="7"/>
    </row>
    <row r="411" spans="3:11" x14ac:dyDescent="0.2">
      <c r="C411" s="7"/>
      <c r="D411" s="7"/>
      <c r="E411" s="7"/>
      <c r="F411" s="7"/>
      <c r="G411" s="7"/>
      <c r="H411" s="7"/>
      <c r="I411" s="7"/>
      <c r="J411" s="7"/>
      <c r="K411" s="7"/>
    </row>
    <row r="412" spans="3:11" x14ac:dyDescent="0.2">
      <c r="C412" s="7"/>
      <c r="D412" s="7"/>
      <c r="E412" s="7"/>
      <c r="F412" s="7"/>
      <c r="G412" s="7"/>
      <c r="H412" s="7"/>
      <c r="I412" s="7"/>
      <c r="J412" s="7"/>
      <c r="K412" s="7"/>
    </row>
    <row r="413" spans="3:11" x14ac:dyDescent="0.2">
      <c r="C413" s="7"/>
      <c r="D413" s="7"/>
      <c r="E413" s="7"/>
      <c r="F413" s="7"/>
      <c r="G413" s="7"/>
      <c r="H413" s="7"/>
      <c r="I413" s="7"/>
      <c r="J413" s="7"/>
      <c r="K413" s="7"/>
    </row>
    <row r="414" spans="3:11" x14ac:dyDescent="0.2">
      <c r="C414" s="7"/>
      <c r="D414" s="7"/>
      <c r="E414" s="7"/>
      <c r="F414" s="7"/>
      <c r="G414" s="7"/>
      <c r="H414" s="7"/>
      <c r="I414" s="7"/>
      <c r="J414" s="7"/>
      <c r="K414" s="7"/>
    </row>
    <row r="415" spans="3:11" x14ac:dyDescent="0.2">
      <c r="C415" s="7"/>
      <c r="D415" s="7"/>
      <c r="E415" s="7"/>
      <c r="F415" s="7"/>
      <c r="G415" s="7"/>
      <c r="H415" s="7"/>
      <c r="I415" s="7"/>
      <c r="J415" s="7"/>
      <c r="K415" s="7"/>
    </row>
    <row r="416" spans="3:11" x14ac:dyDescent="0.2">
      <c r="C416" s="7"/>
      <c r="D416" s="7"/>
      <c r="E416" s="7"/>
      <c r="F416" s="7"/>
      <c r="G416" s="7"/>
      <c r="H416" s="7"/>
      <c r="I416" s="7"/>
      <c r="J416" s="7"/>
      <c r="K416" s="7"/>
    </row>
    <row r="417" spans="3:11" x14ac:dyDescent="0.2">
      <c r="C417" s="7"/>
      <c r="D417" s="7"/>
      <c r="E417" s="7"/>
      <c r="F417" s="7"/>
      <c r="G417" s="7"/>
      <c r="H417" s="7"/>
      <c r="I417" s="7"/>
      <c r="J417" s="7"/>
      <c r="K417" s="7"/>
    </row>
    <row r="418" spans="3:11" x14ac:dyDescent="0.2">
      <c r="C418" s="7"/>
      <c r="D418" s="7"/>
      <c r="E418" s="7"/>
      <c r="F418" s="7"/>
      <c r="G418" s="7"/>
      <c r="H418" s="7"/>
      <c r="I418" s="7"/>
      <c r="J418" s="7"/>
      <c r="K418" s="7"/>
    </row>
    <row r="419" spans="3:11" x14ac:dyDescent="0.2">
      <c r="C419" s="7"/>
      <c r="D419" s="7"/>
      <c r="E419" s="7"/>
      <c r="F419" s="7"/>
      <c r="G419" s="7"/>
      <c r="H419" s="7"/>
      <c r="I419" s="7"/>
      <c r="J419" s="7"/>
      <c r="K419" s="7"/>
    </row>
    <row r="420" spans="3:11" x14ac:dyDescent="0.2">
      <c r="C420" s="7"/>
      <c r="D420" s="7"/>
      <c r="E420" s="7"/>
      <c r="F420" s="7"/>
      <c r="G420" s="7"/>
      <c r="H420" s="7"/>
      <c r="I420" s="7"/>
      <c r="J420" s="7"/>
      <c r="K420" s="7"/>
    </row>
    <row r="421" spans="3:11" x14ac:dyDescent="0.2">
      <c r="C421" s="7"/>
      <c r="D421" s="7"/>
      <c r="E421" s="7"/>
      <c r="F421" s="7"/>
      <c r="G421" s="7"/>
      <c r="H421" s="7"/>
      <c r="I421" s="7"/>
      <c r="J421" s="7"/>
      <c r="K421" s="7"/>
    </row>
    <row r="422" spans="3:11" x14ac:dyDescent="0.2">
      <c r="C422" s="7"/>
      <c r="D422" s="7"/>
      <c r="E422" s="7"/>
      <c r="F422" s="7"/>
      <c r="G422" s="7"/>
      <c r="H422" s="7"/>
      <c r="I422" s="7"/>
      <c r="J422" s="7"/>
      <c r="K422" s="7"/>
    </row>
    <row r="423" spans="3:11" x14ac:dyDescent="0.2">
      <c r="C423" s="7"/>
      <c r="D423" s="7"/>
      <c r="E423" s="7"/>
      <c r="F423" s="7"/>
      <c r="G423" s="7"/>
      <c r="H423" s="7"/>
      <c r="I423" s="7"/>
      <c r="J423" s="7"/>
      <c r="K423" s="7"/>
    </row>
    <row r="424" spans="3:11" x14ac:dyDescent="0.2">
      <c r="C424" s="7"/>
      <c r="D424" s="7"/>
      <c r="E424" s="7"/>
      <c r="F424" s="7"/>
      <c r="G424" s="7"/>
      <c r="H424" s="7"/>
      <c r="I424" s="7"/>
      <c r="J424" s="7"/>
      <c r="K424" s="7"/>
    </row>
    <row r="425" spans="3:11" x14ac:dyDescent="0.2">
      <c r="C425" s="7"/>
      <c r="D425" s="7"/>
      <c r="E425" s="7"/>
      <c r="F425" s="7"/>
      <c r="G425" s="7"/>
      <c r="H425" s="7"/>
      <c r="I425" s="7"/>
      <c r="J425" s="7"/>
      <c r="K425" s="7"/>
    </row>
    <row r="426" spans="3:11" x14ac:dyDescent="0.2">
      <c r="C426" s="7"/>
      <c r="D426" s="7"/>
      <c r="E426" s="7"/>
      <c r="F426" s="7"/>
      <c r="G426" s="7"/>
      <c r="H426" s="7"/>
      <c r="I426" s="7"/>
      <c r="J426" s="7"/>
      <c r="K426" s="7"/>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zoomScaleNormal="100" workbookViewId="0">
      <selection activeCell="G35" sqref="G35"/>
    </sheetView>
  </sheetViews>
  <sheetFormatPr defaultRowHeight="14.25" x14ac:dyDescent="0.2"/>
  <cols>
    <col min="1" max="1" width="90.7109375" style="1" customWidth="1"/>
    <col min="2" max="2" width="5.7109375" style="1" customWidth="1"/>
    <col min="3" max="4" width="14.7109375" style="1" customWidth="1"/>
    <col min="5" max="16384" width="9.140625" style="1"/>
  </cols>
  <sheetData>
    <row r="1" spans="1:4" ht="15" x14ac:dyDescent="0.25">
      <c r="A1" s="2" t="s">
        <v>111</v>
      </c>
    </row>
    <row r="2" spans="1:4" x14ac:dyDescent="0.2">
      <c r="A2" s="4" t="s">
        <v>907</v>
      </c>
    </row>
    <row r="3" spans="1:4" x14ac:dyDescent="0.2">
      <c r="A3" s="4" t="s">
        <v>113</v>
      </c>
    </row>
    <row r="4" spans="1:4" x14ac:dyDescent="0.2">
      <c r="A4" s="4" t="s">
        <v>754</v>
      </c>
    </row>
    <row r="5" spans="1:4" x14ac:dyDescent="0.2">
      <c r="A5" s="4" t="s">
        <v>112</v>
      </c>
    </row>
    <row r="7" spans="1:4" ht="15" x14ac:dyDescent="0.25">
      <c r="A7" s="2" t="s">
        <v>114</v>
      </c>
      <c r="C7" s="6" t="s">
        <v>846</v>
      </c>
      <c r="D7" s="6" t="s">
        <v>955</v>
      </c>
    </row>
    <row r="8" spans="1:4" ht="15" x14ac:dyDescent="0.25">
      <c r="A8" s="2" t="s">
        <v>753</v>
      </c>
      <c r="C8" s="12">
        <v>2022</v>
      </c>
      <c r="D8" s="12">
        <v>2022</v>
      </c>
    </row>
    <row r="9" spans="1:4" ht="15" x14ac:dyDescent="0.25">
      <c r="A9" s="2" t="s">
        <v>749</v>
      </c>
      <c r="C9" s="12">
        <v>0</v>
      </c>
      <c r="D9" s="12">
        <v>0</v>
      </c>
    </row>
    <row r="10" spans="1:4" ht="15" x14ac:dyDescent="0.25">
      <c r="A10" s="2"/>
      <c r="C10" s="12"/>
      <c r="D10" s="12"/>
    </row>
    <row r="11" spans="1:4" ht="15" x14ac:dyDescent="0.25">
      <c r="A11" s="2" t="s">
        <v>115</v>
      </c>
      <c r="B11" s="13" t="s">
        <v>116</v>
      </c>
      <c r="C11" s="13"/>
      <c r="D11" s="13"/>
    </row>
    <row r="12" spans="1:4" x14ac:dyDescent="0.2">
      <c r="A12" s="1" t="s">
        <v>108</v>
      </c>
      <c r="C12" s="11">
        <v>4.2500000000000003E-2</v>
      </c>
      <c r="D12" s="11">
        <v>4.2500000000000003E-2</v>
      </c>
    </row>
    <row r="13" spans="1:4" x14ac:dyDescent="0.2">
      <c r="A13" s="1" t="s">
        <v>109</v>
      </c>
      <c r="C13" s="10">
        <v>32.700000000000003</v>
      </c>
      <c r="D13" s="10">
        <v>32.700000000000003</v>
      </c>
    </row>
    <row r="14" spans="1:4" x14ac:dyDescent="0.2">
      <c r="A14" s="1" t="s">
        <v>131</v>
      </c>
      <c r="C14" s="11">
        <v>1.4999999999999999E-2</v>
      </c>
      <c r="D14" s="11">
        <v>1.4999999999999999E-2</v>
      </c>
    </row>
    <row r="15" spans="1:4" x14ac:dyDescent="0.2">
      <c r="A15" s="1" t="s">
        <v>132</v>
      </c>
      <c r="C15" s="11">
        <v>0.02</v>
      </c>
      <c r="D15" s="11">
        <v>0.02</v>
      </c>
    </row>
    <row r="16" spans="1:4" x14ac:dyDescent="0.2">
      <c r="A16" s="1" t="s">
        <v>134</v>
      </c>
      <c r="C16" s="11">
        <v>5.2999999999999999E-2</v>
      </c>
      <c r="D16" s="11">
        <v>5.2999999999999999E-2</v>
      </c>
    </row>
    <row r="17" spans="1:4" x14ac:dyDescent="0.2">
      <c r="A17" s="19" t="s">
        <v>126</v>
      </c>
      <c r="B17" s="13" t="s">
        <v>127</v>
      </c>
    </row>
    <row r="18" spans="1:4" x14ac:dyDescent="0.2">
      <c r="A18" s="1" t="s">
        <v>1300</v>
      </c>
      <c r="C18" s="20">
        <v>2E-3</v>
      </c>
      <c r="D18" s="20">
        <v>2E-3</v>
      </c>
    </row>
    <row r="19" spans="1:4" x14ac:dyDescent="0.2">
      <c r="A19" s="1" t="s">
        <v>128</v>
      </c>
      <c r="C19" s="20">
        <v>1E-3</v>
      </c>
      <c r="D19" s="20">
        <v>1E-3</v>
      </c>
    </row>
    <row r="20" spans="1:4" x14ac:dyDescent="0.2">
      <c r="A20" s="1" t="s">
        <v>129</v>
      </c>
      <c r="C20" s="10">
        <v>0.05</v>
      </c>
      <c r="D20" s="10">
        <v>0.05</v>
      </c>
    </row>
    <row r="21" spans="1:4" x14ac:dyDescent="0.2">
      <c r="A21" s="1" t="s">
        <v>130</v>
      </c>
      <c r="C21" s="20">
        <v>2E-3</v>
      </c>
      <c r="D21" s="20">
        <v>2E-3</v>
      </c>
    </row>
    <row r="22" spans="1:4" x14ac:dyDescent="0.2">
      <c r="A22" s="1" t="s">
        <v>133</v>
      </c>
      <c r="C22" s="20">
        <v>2E-3</v>
      </c>
      <c r="D22" s="20">
        <v>2E-3</v>
      </c>
    </row>
    <row r="23" spans="1:4" x14ac:dyDescent="0.2">
      <c r="A23" s="1" t="s">
        <v>135</v>
      </c>
      <c r="C23" s="20">
        <v>2E-3</v>
      </c>
      <c r="D23" s="20">
        <v>2E-3</v>
      </c>
    </row>
    <row r="24" spans="1:4" x14ac:dyDescent="0.2">
      <c r="A24" s="1" t="s">
        <v>702</v>
      </c>
      <c r="C24" s="12">
        <v>7</v>
      </c>
      <c r="D24" s="12">
        <v>7</v>
      </c>
    </row>
    <row r="26" spans="1:4" ht="15" x14ac:dyDescent="0.25">
      <c r="A26" s="2" t="s">
        <v>136</v>
      </c>
    </row>
    <row r="27" spans="1:4" x14ac:dyDescent="0.2">
      <c r="A27" s="1" t="s">
        <v>1348</v>
      </c>
      <c r="C27" s="20">
        <v>0.2</v>
      </c>
      <c r="D27" s="20">
        <v>0.2</v>
      </c>
    </row>
    <row r="28" spans="1:4" x14ac:dyDescent="0.2">
      <c r="B28" s="13" t="s">
        <v>1317</v>
      </c>
    </row>
    <row r="29" spans="1:4" ht="15" x14ac:dyDescent="0.25">
      <c r="A29" s="2"/>
      <c r="B29" s="13" t="s">
        <v>1318</v>
      </c>
    </row>
    <row r="30" spans="1:4" x14ac:dyDescent="0.2">
      <c r="A30" s="1" t="s">
        <v>1345</v>
      </c>
      <c r="C30" s="62" t="s">
        <v>850</v>
      </c>
      <c r="D30" s="62" t="s">
        <v>850</v>
      </c>
    </row>
    <row r="31" spans="1:4" x14ac:dyDescent="0.2">
      <c r="A31" s="1" t="s">
        <v>849</v>
      </c>
      <c r="C31" s="10">
        <v>1.25</v>
      </c>
      <c r="D31" s="10">
        <v>1.25</v>
      </c>
    </row>
    <row r="32" spans="1:4" x14ac:dyDescent="0.2">
      <c r="A32" s="1" t="s">
        <v>434</v>
      </c>
      <c r="C32" s="20">
        <v>0.11</v>
      </c>
      <c r="D32" s="20">
        <v>0.11</v>
      </c>
    </row>
    <row r="33" spans="1:4" x14ac:dyDescent="0.2">
      <c r="A33" s="1" t="s">
        <v>436</v>
      </c>
      <c r="C33" s="20">
        <v>4.2000000000000003E-2</v>
      </c>
      <c r="D33" s="20">
        <v>4.2000000000000003E-2</v>
      </c>
    </row>
    <row r="34" spans="1:4" x14ac:dyDescent="0.2">
      <c r="A34" s="1" t="s">
        <v>437</v>
      </c>
      <c r="C34" s="20">
        <v>7.3999999999999996E-2</v>
      </c>
      <c r="D34" s="20">
        <v>7.3999999999999996E-2</v>
      </c>
    </row>
    <row r="35" spans="1:4" x14ac:dyDescent="0.2">
      <c r="A35" s="1" t="s">
        <v>438</v>
      </c>
      <c r="C35" s="20">
        <v>1.2999999999999999E-2</v>
      </c>
      <c r="D35" s="20">
        <v>1.2999999999999999E-2</v>
      </c>
    </row>
    <row r="36" spans="1:4" x14ac:dyDescent="0.2">
      <c r="A36" s="1" t="s">
        <v>439</v>
      </c>
      <c r="C36" s="20">
        <v>4.3999999999999997E-2</v>
      </c>
      <c r="D36" s="20">
        <v>4.3999999999999997E-2</v>
      </c>
    </row>
    <row r="37" spans="1:4" x14ac:dyDescent="0.2">
      <c r="A37" s="1" t="s">
        <v>440</v>
      </c>
      <c r="C37" s="20">
        <v>3.0000000000000001E-3</v>
      </c>
      <c r="D37" s="20">
        <v>3.0000000000000001E-3</v>
      </c>
    </row>
    <row r="38" spans="1:4" x14ac:dyDescent="0.2">
      <c r="A38" s="1" t="s">
        <v>435</v>
      </c>
      <c r="C38" s="11">
        <v>5.0000000000000001E-4</v>
      </c>
      <c r="D38" s="11">
        <v>5.0000000000000001E-4</v>
      </c>
    </row>
    <row r="40" spans="1:4" x14ac:dyDescent="0.2">
      <c r="A40" s="1" t="s">
        <v>489</v>
      </c>
      <c r="C40" s="41">
        <v>0.65</v>
      </c>
      <c r="D40" s="41">
        <v>0.65</v>
      </c>
    </row>
    <row r="41" spans="1:4" x14ac:dyDescent="0.2">
      <c r="B41" s="13" t="s">
        <v>1316</v>
      </c>
      <c r="C41" s="41"/>
      <c r="D41" s="41"/>
    </row>
    <row r="42" spans="1:4" x14ac:dyDescent="0.2">
      <c r="B42" s="13" t="s">
        <v>1319</v>
      </c>
      <c r="C42" s="41"/>
      <c r="D42" s="41"/>
    </row>
    <row r="43" spans="1:4" x14ac:dyDescent="0.2">
      <c r="A43" s="1" t="s">
        <v>1346</v>
      </c>
      <c r="B43" s="13"/>
      <c r="C43" s="62" t="s">
        <v>850</v>
      </c>
      <c r="D43" s="62" t="s">
        <v>850</v>
      </c>
    </row>
    <row r="44" spans="1:4" x14ac:dyDescent="0.2">
      <c r="A44" s="1" t="s">
        <v>757</v>
      </c>
      <c r="C44" s="20">
        <v>2.1000000000000001E-2</v>
      </c>
      <c r="D44" s="20">
        <v>2.1000000000000001E-2</v>
      </c>
    </row>
    <row r="45" spans="1:4" x14ac:dyDescent="0.2">
      <c r="A45" s="1" t="s">
        <v>848</v>
      </c>
      <c r="C45" s="20">
        <v>2E-3</v>
      </c>
      <c r="D45" s="20">
        <v>2E-3</v>
      </c>
    </row>
    <row r="46" spans="1:4" x14ac:dyDescent="0.2">
      <c r="B46" s="13" t="s">
        <v>1322</v>
      </c>
      <c r="C46" s="20"/>
      <c r="D46" s="20"/>
    </row>
    <row r="47" spans="1:4" x14ac:dyDescent="0.2">
      <c r="B47" s="13" t="s">
        <v>1323</v>
      </c>
      <c r="C47" s="20"/>
      <c r="D47" s="20"/>
    </row>
    <row r="48" spans="1:4" x14ac:dyDescent="0.2">
      <c r="A48" s="1" t="s">
        <v>1347</v>
      </c>
      <c r="B48" s="13"/>
      <c r="C48" s="62" t="s">
        <v>850</v>
      </c>
      <c r="D48" s="62" t="s">
        <v>850</v>
      </c>
    </row>
    <row r="49" spans="1:4" x14ac:dyDescent="0.2">
      <c r="A49" s="1" t="s">
        <v>847</v>
      </c>
      <c r="C49" s="20">
        <v>1.0999999999999999E-2</v>
      </c>
      <c r="D49" s="20">
        <v>1.0999999999999999E-2</v>
      </c>
    </row>
    <row r="50" spans="1:4" x14ac:dyDescent="0.2">
      <c r="A50" s="1" t="s">
        <v>494</v>
      </c>
      <c r="C50" s="20">
        <v>1.4999999999999999E-2</v>
      </c>
      <c r="D50" s="20">
        <v>1.4999999999999999E-2</v>
      </c>
    </row>
    <row r="51" spans="1:4" x14ac:dyDescent="0.2">
      <c r="A51" s="1" t="s">
        <v>1321</v>
      </c>
      <c r="C51" s="11">
        <v>5.0000000000000001E-4</v>
      </c>
      <c r="D51" s="11">
        <v>5.0000000000000001E-4</v>
      </c>
    </row>
    <row r="52" spans="1:4" x14ac:dyDescent="0.2">
      <c r="A52" s="1" t="s">
        <v>686</v>
      </c>
      <c r="C52" s="12">
        <v>2022</v>
      </c>
      <c r="D52" s="12">
        <v>2022</v>
      </c>
    </row>
    <row r="53" spans="1:4" x14ac:dyDescent="0.2">
      <c r="A53" s="1" t="s">
        <v>499</v>
      </c>
      <c r="C53" s="20">
        <v>2E-3</v>
      </c>
      <c r="D53" s="20">
        <v>2E-3</v>
      </c>
    </row>
    <row r="55" spans="1:4" x14ac:dyDescent="0.2">
      <c r="A55" s="1" t="s">
        <v>518</v>
      </c>
      <c r="C55" s="7">
        <v>2</v>
      </c>
      <c r="D55" s="7">
        <v>2</v>
      </c>
    </row>
    <row r="56" spans="1:4" x14ac:dyDescent="0.2">
      <c r="A56" s="1" t="s">
        <v>519</v>
      </c>
      <c r="C56" s="20">
        <v>0.04</v>
      </c>
      <c r="D56" s="20">
        <v>0.04</v>
      </c>
    </row>
    <row r="57" spans="1:4" x14ac:dyDescent="0.2">
      <c r="A57" s="1" t="s">
        <v>1337</v>
      </c>
      <c r="C57" s="62" t="s">
        <v>850</v>
      </c>
      <c r="D57" s="62" t="s">
        <v>850</v>
      </c>
    </row>
    <row r="58" spans="1:4" x14ac:dyDescent="0.2">
      <c r="A58" s="1" t="s">
        <v>896</v>
      </c>
      <c r="C58" s="41">
        <v>0.15</v>
      </c>
      <c r="D58" s="41">
        <v>0.15</v>
      </c>
    </row>
    <row r="59" spans="1:4" x14ac:dyDescent="0.2">
      <c r="A59" s="1" t="s">
        <v>1331</v>
      </c>
      <c r="C59" s="20">
        <v>1.4999999999999999E-2</v>
      </c>
      <c r="D59" s="20">
        <v>1.4999999999999999E-2</v>
      </c>
    </row>
    <row r="60" spans="1:4" x14ac:dyDescent="0.2">
      <c r="A60" s="1" t="s">
        <v>563</v>
      </c>
      <c r="C60" s="12">
        <v>2022</v>
      </c>
      <c r="D60" s="12">
        <v>2022</v>
      </c>
    </row>
    <row r="62" spans="1:4" x14ac:dyDescent="0.2">
      <c r="A62" s="1" t="s">
        <v>641</v>
      </c>
      <c r="C62" s="7">
        <v>4</v>
      </c>
      <c r="D62" s="7">
        <v>4</v>
      </c>
    </row>
    <row r="63" spans="1:4" x14ac:dyDescent="0.2">
      <c r="A63" s="1" t="s">
        <v>642</v>
      </c>
      <c r="C63" s="20">
        <v>0.2</v>
      </c>
      <c r="D63" s="20">
        <v>0.2</v>
      </c>
    </row>
    <row r="64" spans="1:4" x14ac:dyDescent="0.2">
      <c r="A64" s="1" t="s">
        <v>1338</v>
      </c>
      <c r="C64" s="62" t="s">
        <v>850</v>
      </c>
      <c r="D64" s="62" t="s">
        <v>850</v>
      </c>
    </row>
    <row r="65" spans="1:4" x14ac:dyDescent="0.2">
      <c r="C65" s="62"/>
      <c r="D65" s="62"/>
    </row>
    <row r="66" spans="1:4" x14ac:dyDescent="0.2">
      <c r="A66" s="19" t="s">
        <v>1333</v>
      </c>
      <c r="B66" s="13" t="s">
        <v>1312</v>
      </c>
      <c r="C66" s="62"/>
      <c r="D66" s="62"/>
    </row>
    <row r="67" spans="1:4" x14ac:dyDescent="0.2">
      <c r="A67" s="19" t="s">
        <v>1332</v>
      </c>
      <c r="B67" s="13" t="s">
        <v>1304</v>
      </c>
      <c r="C67" s="62"/>
      <c r="D67" s="62"/>
    </row>
    <row r="68" spans="1:4" x14ac:dyDescent="0.2">
      <c r="A68" s="1" t="s">
        <v>1305</v>
      </c>
      <c r="C68" s="41">
        <v>0.08</v>
      </c>
      <c r="D68" s="41">
        <v>0.08</v>
      </c>
    </row>
    <row r="69" spans="1:4" x14ac:dyDescent="0.2">
      <c r="A69" s="1" t="s">
        <v>1306</v>
      </c>
      <c r="C69" s="41">
        <v>0.43</v>
      </c>
      <c r="D69" s="41">
        <v>0.43</v>
      </c>
    </row>
    <row r="70" spans="1:4" x14ac:dyDescent="0.2">
      <c r="A70" s="1" t="s">
        <v>1307</v>
      </c>
      <c r="C70" s="41">
        <v>0.45</v>
      </c>
      <c r="D70" s="41">
        <v>0.45</v>
      </c>
    </row>
    <row r="71" spans="1:4" x14ac:dyDescent="0.2">
      <c r="A71" s="1" t="s">
        <v>1308</v>
      </c>
      <c r="C71" s="41">
        <v>0.02</v>
      </c>
      <c r="D71" s="41">
        <v>0.02</v>
      </c>
    </row>
    <row r="72" spans="1:4" x14ac:dyDescent="0.2">
      <c r="A72" s="1" t="s">
        <v>1309</v>
      </c>
      <c r="C72" s="41">
        <v>0.01</v>
      </c>
      <c r="D72" s="41">
        <v>0.01</v>
      </c>
    </row>
    <row r="73" spans="1:4" x14ac:dyDescent="0.2">
      <c r="A73" s="1" t="s">
        <v>1310</v>
      </c>
      <c r="C73" s="41">
        <v>0.05</v>
      </c>
      <c r="D73" s="41">
        <v>0.05</v>
      </c>
    </row>
    <row r="74" spans="1:4" x14ac:dyDescent="0.2">
      <c r="A74" s="1" t="s">
        <v>1311</v>
      </c>
      <c r="C74" s="41">
        <v>0.1</v>
      </c>
      <c r="D74" s="41">
        <v>0.1</v>
      </c>
    </row>
    <row r="75" spans="1:4" x14ac:dyDescent="0.2">
      <c r="B75" s="13" t="s">
        <v>1313</v>
      </c>
      <c r="C75" s="41"/>
      <c r="D75" s="41"/>
    </row>
    <row r="76" spans="1:4" x14ac:dyDescent="0.2">
      <c r="A76" s="1" t="s">
        <v>1339</v>
      </c>
      <c r="C76" s="41">
        <v>0.15</v>
      </c>
      <c r="D76" s="41">
        <v>0.15</v>
      </c>
    </row>
    <row r="77" spans="1:4" x14ac:dyDescent="0.2">
      <c r="A77" s="1" t="s">
        <v>1340</v>
      </c>
      <c r="C77" s="41">
        <v>0.5</v>
      </c>
      <c r="D77" s="41">
        <v>0.5</v>
      </c>
    </row>
    <row r="78" spans="1:4" x14ac:dyDescent="0.2">
      <c r="C78" s="41"/>
      <c r="D78" s="41"/>
    </row>
    <row r="79" spans="1:4" x14ac:dyDescent="0.2">
      <c r="A79" s="19" t="s">
        <v>687</v>
      </c>
      <c r="B79" s="13" t="s">
        <v>688</v>
      </c>
    </row>
    <row r="80" spans="1:4" x14ac:dyDescent="0.2">
      <c r="A80" s="19" t="s">
        <v>1343</v>
      </c>
      <c r="B80" s="13" t="s">
        <v>1285</v>
      </c>
    </row>
    <row r="81" spans="1:4" x14ac:dyDescent="0.2">
      <c r="B81" s="13" t="s">
        <v>689</v>
      </c>
    </row>
    <row r="82" spans="1:4" x14ac:dyDescent="0.2">
      <c r="A82" s="1" t="s">
        <v>690</v>
      </c>
      <c r="C82" s="12">
        <v>3</v>
      </c>
      <c r="D82" s="12">
        <v>3</v>
      </c>
    </row>
    <row r="83" spans="1:4" x14ac:dyDescent="0.2">
      <c r="A83" s="1" t="s">
        <v>691</v>
      </c>
      <c r="C83" s="12">
        <v>5</v>
      </c>
      <c r="D83" s="12">
        <v>5</v>
      </c>
    </row>
    <row r="84" spans="1:4" x14ac:dyDescent="0.2">
      <c r="C84" s="41"/>
      <c r="D84" s="41"/>
    </row>
    <row r="85" spans="1:4" ht="15" x14ac:dyDescent="0.25">
      <c r="A85" s="2" t="s">
        <v>861</v>
      </c>
      <c r="B85" s="13" t="s">
        <v>867</v>
      </c>
    </row>
    <row r="86" spans="1:4" x14ac:dyDescent="0.2">
      <c r="B86" s="13" t="s">
        <v>868</v>
      </c>
    </row>
    <row r="87" spans="1:4" x14ac:dyDescent="0.2">
      <c r="A87" s="1" t="s">
        <v>1344</v>
      </c>
      <c r="C87" s="63" t="s">
        <v>850</v>
      </c>
      <c r="D87" s="63" t="s">
        <v>850</v>
      </c>
    </row>
    <row r="88" spans="1:4" x14ac:dyDescent="0.2">
      <c r="A88" s="1" t="s">
        <v>870</v>
      </c>
      <c r="C88" s="12">
        <v>2022</v>
      </c>
      <c r="D88" s="12">
        <v>2022</v>
      </c>
    </row>
    <row r="89" spans="1:4" x14ac:dyDescent="0.2">
      <c r="A89" s="1" t="s">
        <v>862</v>
      </c>
      <c r="C89" s="41">
        <v>0.1</v>
      </c>
      <c r="D89" s="41">
        <v>0.1</v>
      </c>
    </row>
    <row r="90" spans="1:4" x14ac:dyDescent="0.2">
      <c r="A90" s="1" t="s">
        <v>866</v>
      </c>
      <c r="C90" s="41">
        <v>0.05</v>
      </c>
      <c r="D90" s="41">
        <v>0.05</v>
      </c>
    </row>
    <row r="91" spans="1:4" x14ac:dyDescent="0.2">
      <c r="A91" s="1" t="s">
        <v>863</v>
      </c>
      <c r="C91" s="11">
        <v>5.0000000000000001E-3</v>
      </c>
      <c r="D91" s="11">
        <v>5.0000000000000001E-3</v>
      </c>
    </row>
    <row r="92" spans="1:4" x14ac:dyDescent="0.2">
      <c r="A92" s="1" t="s">
        <v>864</v>
      </c>
      <c r="C92" s="11">
        <v>7.4999999999999997E-3</v>
      </c>
      <c r="D92" s="11">
        <v>7.4999999999999997E-3</v>
      </c>
    </row>
    <row r="93" spans="1:4" x14ac:dyDescent="0.2">
      <c r="A93" s="1" t="s">
        <v>865</v>
      </c>
      <c r="C93" s="11">
        <v>0.01</v>
      </c>
      <c r="D93" s="11">
        <v>0.01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8"/>
  <sheetViews>
    <sheetView zoomScaleNormal="100" workbookViewId="0">
      <pane xSplit="2" ySplit="8" topLeftCell="J9" activePane="bottomRight" state="frozen"/>
      <selection pane="topRight" activeCell="C1" sqref="C1"/>
      <selection pane="bottomLeft" activeCell="A9" sqref="A9"/>
      <selection pane="bottomRight"/>
    </sheetView>
  </sheetViews>
  <sheetFormatPr defaultRowHeight="14.25" x14ac:dyDescent="0.2"/>
  <cols>
    <col min="1" max="1" width="85.7109375" style="1" customWidth="1"/>
    <col min="2" max="2" width="25.7109375" style="1" customWidth="1"/>
    <col min="3" max="3" width="7.7109375" style="1" customWidth="1"/>
    <col min="4" max="8" width="10.7109375" style="1" customWidth="1"/>
    <col min="9" max="9" width="9.140625" style="1"/>
    <col min="10" max="10" width="9.140625" style="1" customWidth="1"/>
    <col min="11" max="18" width="9.5703125" style="1" bestFit="1" customWidth="1"/>
    <col min="19" max="20" width="9.7109375" style="1" bestFit="1" customWidth="1"/>
    <col min="21" max="16384" width="9.140625" style="1"/>
  </cols>
  <sheetData>
    <row r="1" spans="1:20" ht="15" x14ac:dyDescent="0.25">
      <c r="A1" s="2" t="s">
        <v>117</v>
      </c>
      <c r="B1" s="6" t="s">
        <v>846</v>
      </c>
      <c r="C1" s="6">
        <f>MATCH($B$1,Assumptions!$C$7:$X$7,0)</f>
        <v>1</v>
      </c>
      <c r="D1" s="4" t="s">
        <v>118</v>
      </c>
      <c r="E1" s="4"/>
    </row>
    <row r="2" spans="1:20" ht="15" x14ac:dyDescent="0.25">
      <c r="A2" s="4" t="s">
        <v>119</v>
      </c>
      <c r="B2" s="4"/>
      <c r="C2" s="6"/>
      <c r="E2" s="1" t="s">
        <v>692</v>
      </c>
      <c r="J2" s="7"/>
      <c r="K2" s="7">
        <f ca="1">MAX(OFFSET(Assumptions!$B$8,0,$C$1)+OFFSET(Assumptions!$B$83,0,$C$1)-K$6,0)/(OFFSET(Assumptions!$B$83,0,$C$1)*(OFFSET(Assumptions!$B$83,0,$C$1)+1)/2)</f>
        <v>0.33333333333333331</v>
      </c>
      <c r="L2" s="7">
        <f ca="1">MAX(OFFSET(Assumptions!$B$8,0,$C$1)+OFFSET(Assumptions!$B$83,0,$C$1)-L$6,0)/(OFFSET(Assumptions!$B$83,0,$C$1)*(OFFSET(Assumptions!$B$83,0,$C$1)+1)/2)</f>
        <v>0.26666666666666666</v>
      </c>
      <c r="M2" s="7">
        <f ca="1">MAX(OFFSET(Assumptions!$B$8,0,$C$1)+OFFSET(Assumptions!$B$83,0,$C$1)-M$6,0)/(OFFSET(Assumptions!$B$83,0,$C$1)*(OFFSET(Assumptions!$B$83,0,$C$1)+1)/2)</f>
        <v>0.2</v>
      </c>
      <c r="N2" s="7">
        <f ca="1">MAX(OFFSET(Assumptions!$B$8,0,$C$1)+OFFSET(Assumptions!$B$83,0,$C$1)-N$6,0)/(OFFSET(Assumptions!$B$83,0,$C$1)*(OFFSET(Assumptions!$B$83,0,$C$1)+1)/2)</f>
        <v>0.13333333333333333</v>
      </c>
      <c r="O2" s="7">
        <f ca="1">MAX(OFFSET(Assumptions!$B$8,0,$C$1)+OFFSET(Assumptions!$B$83,0,$C$1)-O$6,0)/(OFFSET(Assumptions!$B$83,0,$C$1)*(OFFSET(Assumptions!$B$83,0,$C$1)+1)/2)</f>
        <v>6.6666666666666666E-2</v>
      </c>
      <c r="P2" s="7">
        <f ca="1">MAX(OFFSET(Assumptions!$B$8,0,$C$1)+OFFSET(Assumptions!$B$83,0,$C$1)-P$6,0)/(OFFSET(Assumptions!$B$83,0,$C$1)*(OFFSET(Assumptions!$B$83,0,$C$1)+1)/2)</f>
        <v>0</v>
      </c>
      <c r="Q2" s="7">
        <f ca="1">MAX(OFFSET(Assumptions!$B$8,0,$C$1)+OFFSET(Assumptions!$B$83,0,$C$1)-Q$6,0)/(OFFSET(Assumptions!$B$83,0,$C$1)*(OFFSET(Assumptions!$B$83,0,$C$1)+1)/2)</f>
        <v>0</v>
      </c>
      <c r="R2" s="7">
        <f ca="1">MAX(OFFSET(Assumptions!$B$8,0,$C$1)+OFFSET(Assumptions!$B$83,0,$C$1)-R$6,0)/(OFFSET(Assumptions!$B$83,0,$C$1)*(OFFSET(Assumptions!$B$83,0,$C$1)+1)/2)</f>
        <v>0</v>
      </c>
      <c r="S2" s="7">
        <f ca="1">MAX(OFFSET(Assumptions!$B$8,0,$C$1)+OFFSET(Assumptions!$B$83,0,$C$1)-S$6,0)/(OFFSET(Assumptions!$B$83,0,$C$1)*(OFFSET(Assumptions!$B$83,0,$C$1)+1)/2)</f>
        <v>0</v>
      </c>
      <c r="T2" s="7">
        <f ca="1">MAX(OFFSET(Assumptions!$B$8,0,$C$1)+OFFSET(Assumptions!$B$83,0,$C$1)-T$6,0)/(OFFSET(Assumptions!$B$83,0,$C$1)*(OFFSET(Assumptions!$B$83,0,$C$1)+1)/2)</f>
        <v>0</v>
      </c>
    </row>
    <row r="3" spans="1:20" ht="15" x14ac:dyDescent="0.25">
      <c r="B3" s="4"/>
      <c r="C3" s="6"/>
      <c r="D3" s="31" t="s">
        <v>750</v>
      </c>
      <c r="E3" s="31" t="s">
        <v>750</v>
      </c>
      <c r="F3" s="33" t="s">
        <v>1362</v>
      </c>
      <c r="G3" s="26"/>
      <c r="H3" s="26"/>
      <c r="I3" s="26"/>
      <c r="K3" s="2" t="s">
        <v>1363</v>
      </c>
    </row>
    <row r="4" spans="1:20" ht="15" x14ac:dyDescent="0.25">
      <c r="D4" s="31" t="s">
        <v>751</v>
      </c>
      <c r="E4" s="31" t="s">
        <v>751</v>
      </c>
      <c r="F4" s="26" t="s">
        <v>137</v>
      </c>
      <c r="K4" s="1" t="s">
        <v>138</v>
      </c>
    </row>
    <row r="5" spans="1:20" ht="15" x14ac:dyDescent="0.25">
      <c r="A5" s="14" t="s">
        <v>120</v>
      </c>
      <c r="D5" s="30" t="s">
        <v>21</v>
      </c>
      <c r="E5" s="30" t="s">
        <v>23</v>
      </c>
      <c r="F5" s="32" t="s">
        <v>24</v>
      </c>
      <c r="G5" s="32" t="s">
        <v>25</v>
      </c>
      <c r="H5" s="32" t="s">
        <v>26</v>
      </c>
      <c r="I5" s="32" t="s">
        <v>27</v>
      </c>
      <c r="J5" s="32" t="s">
        <v>28</v>
      </c>
      <c r="K5" s="6" t="s">
        <v>29</v>
      </c>
      <c r="L5" s="6" t="s">
        <v>30</v>
      </c>
      <c r="M5" s="6" t="s">
        <v>31</v>
      </c>
      <c r="N5" s="6" t="s">
        <v>32</v>
      </c>
      <c r="O5" s="6" t="s">
        <v>33</v>
      </c>
      <c r="P5" s="6" t="s">
        <v>34</v>
      </c>
      <c r="Q5" s="6" t="s">
        <v>35</v>
      </c>
      <c r="R5" s="6" t="s">
        <v>36</v>
      </c>
      <c r="S5" s="6" t="s">
        <v>37</v>
      </c>
      <c r="T5" s="6" t="s">
        <v>38</v>
      </c>
    </row>
    <row r="6" spans="1:20" ht="15" x14ac:dyDescent="0.25">
      <c r="A6" s="14" t="s">
        <v>730</v>
      </c>
      <c r="D6" s="31">
        <v>2015</v>
      </c>
      <c r="E6" s="31">
        <v>2016</v>
      </c>
      <c r="F6" s="33">
        <v>2017</v>
      </c>
      <c r="G6" s="33">
        <v>2018</v>
      </c>
      <c r="H6" s="33">
        <v>2019</v>
      </c>
      <c r="I6" s="33">
        <v>2020</v>
      </c>
      <c r="J6" s="33">
        <v>2021</v>
      </c>
      <c r="K6" s="2">
        <v>2022</v>
      </c>
      <c r="L6" s="2">
        <v>2023</v>
      </c>
      <c r="M6" s="2">
        <v>2024</v>
      </c>
      <c r="N6" s="2">
        <v>2025</v>
      </c>
      <c r="O6" s="2">
        <v>2026</v>
      </c>
      <c r="P6" s="2">
        <v>2027</v>
      </c>
      <c r="Q6" s="2">
        <v>2028</v>
      </c>
      <c r="R6" s="2">
        <v>2029</v>
      </c>
      <c r="S6" s="2">
        <v>2030</v>
      </c>
      <c r="T6" s="2">
        <v>2031</v>
      </c>
    </row>
    <row r="7" spans="1:20" ht="15" x14ac:dyDescent="0.25">
      <c r="A7" s="14"/>
      <c r="D7" s="40">
        <f ca="1">OFFSET(D$1,Display!$C$1-1,0)</f>
        <v>60.631000000000007</v>
      </c>
      <c r="E7" s="40">
        <f ca="1">OFFSET(E$1,Display!$C$1-1,0)</f>
        <v>61.879999999999995</v>
      </c>
      <c r="F7" s="39">
        <f ca="1">OFFSET(F$1,Display!$C$1-1,0)</f>
        <v>60.559999999999995</v>
      </c>
      <c r="G7" s="39">
        <f ca="1">OFFSET(G$1,Display!$C$1-1,0)</f>
        <v>62.239000000000004</v>
      </c>
      <c r="H7" s="39">
        <f ca="1">OFFSET(H$1,Display!$C$1-1,0)</f>
        <v>63.714000000000013</v>
      </c>
      <c r="I7" s="39">
        <f ca="1">OFFSET(I$1,Display!$C$1-1,0)</f>
        <v>61.978000000000009</v>
      </c>
      <c r="J7" s="39">
        <f ca="1">OFFSET(J$1,Display!$C$1-1,0)</f>
        <v>60.807000000000002</v>
      </c>
      <c r="K7" s="8">
        <f ca="1">OFFSET(K$1,Display!$C$1-1,0)</f>
        <v>56.196615715744478</v>
      </c>
      <c r="L7" s="8">
        <f ca="1">OFFSET(L$1,Display!$C$1-1,0)</f>
        <v>52.519634613995763</v>
      </c>
      <c r="M7" s="8">
        <f ca="1">OFFSET(M$1,Display!$C$1-1,0)</f>
        <v>48.638331417520185</v>
      </c>
      <c r="N7" s="8">
        <f ca="1">OFFSET(N$1,Display!$C$1-1,0)</f>
        <v>44.625451528820889</v>
      </c>
      <c r="O7" s="8">
        <f ca="1">OFFSET(O$1,Display!$C$1-1,0)</f>
        <v>40.488023709737199</v>
      </c>
      <c r="P7" s="8">
        <f ca="1">OFFSET(P$1,Display!$C$1-1,0)</f>
        <v>36.399795289123006</v>
      </c>
      <c r="Q7" s="8">
        <f ca="1">OFFSET(Q$1,Display!$C$1-1,0)</f>
        <v>32.55861145687615</v>
      </c>
      <c r="R7" s="8">
        <f ca="1">OFFSET(R$1,Display!$C$1-1,0)</f>
        <v>29.389078168861168</v>
      </c>
      <c r="S7" s="8">
        <f ca="1">OFFSET(S$1,Display!$C$1-1,0)</f>
        <v>27.27538173499449</v>
      </c>
      <c r="T7" s="8">
        <f ca="1">OFFSET(T$1,Display!$C$1-1,0)</f>
        <v>26.694886983835033</v>
      </c>
    </row>
    <row r="8" spans="1:20" ht="15" x14ac:dyDescent="0.25">
      <c r="A8" s="14" t="s">
        <v>740</v>
      </c>
      <c r="D8" s="56">
        <f t="shared" ref="D8:T8" ca="1" si="0">D$7/D$13</f>
        <v>0.24948872731163155</v>
      </c>
      <c r="E8" s="56">
        <f t="shared" ca="1" si="0"/>
        <v>0.24450186892992892</v>
      </c>
      <c r="F8" s="58">
        <f t="shared" ca="1" si="0"/>
        <v>0.22528001904613104</v>
      </c>
      <c r="G8" s="58">
        <f t="shared" ca="1" si="0"/>
        <v>0.22021682364679829</v>
      </c>
      <c r="H8" s="58">
        <f t="shared" ca="1" si="0"/>
        <v>0.21485223302804271</v>
      </c>
      <c r="I8" s="58">
        <f t="shared" ca="1" si="0"/>
        <v>0.1995794463246636</v>
      </c>
      <c r="J8" s="58">
        <f t="shared" ca="1" si="0"/>
        <v>0.18811718846677392</v>
      </c>
      <c r="K8" s="57">
        <f t="shared" ca="1" si="0"/>
        <v>0.16671372642688118</v>
      </c>
      <c r="L8" s="57">
        <f t="shared" ca="1" si="0"/>
        <v>0.14925711716312903</v>
      </c>
      <c r="M8" s="57">
        <f t="shared" ca="1" si="0"/>
        <v>0.13243916131899436</v>
      </c>
      <c r="N8" s="57">
        <f t="shared" ca="1" si="0"/>
        <v>0.11642988059652153</v>
      </c>
      <c r="O8" s="57">
        <f t="shared" ca="1" si="0"/>
        <v>0.10125897319884049</v>
      </c>
      <c r="P8" s="57">
        <f t="shared" ca="1" si="0"/>
        <v>8.7287729833661815E-2</v>
      </c>
      <c r="Q8" s="57">
        <f t="shared" ca="1" si="0"/>
        <v>7.4891405260942484E-2</v>
      </c>
      <c r="R8" s="57">
        <f t="shared" ca="1" si="0"/>
        <v>6.4872042190302334E-2</v>
      </c>
      <c r="S8" s="57">
        <f t="shared" ca="1" si="0"/>
        <v>5.7792470645485289E-2</v>
      </c>
      <c r="T8" s="57">
        <f t="shared" ca="1" si="0"/>
        <v>5.4315072212682537E-2</v>
      </c>
    </row>
    <row r="9" spans="1:20" ht="16.5" x14ac:dyDescent="0.25">
      <c r="A9" s="55" t="s">
        <v>121</v>
      </c>
      <c r="D9" s="2"/>
      <c r="E9" s="2"/>
      <c r="F9" s="2"/>
      <c r="G9" s="2"/>
      <c r="H9" s="2"/>
    </row>
    <row r="10" spans="1:20" ht="15" x14ac:dyDescent="0.25">
      <c r="A10" s="19" t="s">
        <v>284</v>
      </c>
      <c r="D10" s="2"/>
      <c r="E10" s="2"/>
      <c r="F10" s="2"/>
      <c r="G10" s="2"/>
      <c r="H10" s="2"/>
    </row>
    <row r="11" spans="1:20" ht="15" x14ac:dyDescent="0.25">
      <c r="A11" s="2" t="s">
        <v>285</v>
      </c>
      <c r="B11" s="4" t="s">
        <v>122</v>
      </c>
      <c r="D11" s="15">
        <f>'Economic Forecasts'!M$6</f>
        <v>219.703</v>
      </c>
      <c r="E11" s="15">
        <f>'Economic Forecasts'!N$6</f>
        <v>225.67699999999999</v>
      </c>
      <c r="F11" s="16">
        <f>'Economic Forecasts'!O$6</f>
        <v>231.98</v>
      </c>
      <c r="G11" s="16">
        <f>'Economic Forecasts'!P$6</f>
        <v>239.471</v>
      </c>
      <c r="H11" s="16">
        <f>'Economic Forecasts'!Q$6</f>
        <v>248.273</v>
      </c>
      <c r="I11" s="16">
        <f>'Economic Forecasts'!R$6</f>
        <v>255.11500000000001</v>
      </c>
      <c r="J11" s="16">
        <f>'Economic Forecasts'!S$6</f>
        <v>260.85599999999999</v>
      </c>
      <c r="K11" s="1">
        <f t="shared" ref="K11:T11" ca="1" si="1">J$11*(1+K$27)*K$17*(1-K$24)*K$25/(J$17*(1-J$24)*J$25)</f>
        <v>266.69468688417254</v>
      </c>
      <c r="L11" s="1">
        <f t="shared" ca="1" si="1"/>
        <v>272.93676244585617</v>
      </c>
      <c r="M11" s="1">
        <f t="shared" ca="1" si="1"/>
        <v>279.27847403727026</v>
      </c>
      <c r="N11" s="1">
        <f t="shared" ca="1" si="1"/>
        <v>285.75459104443718</v>
      </c>
      <c r="O11" s="1">
        <f t="shared" ca="1" si="1"/>
        <v>292.25902627411995</v>
      </c>
      <c r="P11" s="1">
        <f t="shared" ca="1" si="1"/>
        <v>298.82741943826591</v>
      </c>
      <c r="Q11" s="1">
        <f t="shared" ca="1" si="1"/>
        <v>305.42770250866806</v>
      </c>
      <c r="R11" s="1">
        <f t="shared" ca="1" si="1"/>
        <v>312.03459923400288</v>
      </c>
      <c r="S11" s="1">
        <f t="shared" ca="1" si="1"/>
        <v>318.69390884635152</v>
      </c>
      <c r="T11" s="1">
        <f t="shared" ca="1" si="1"/>
        <v>325.37317113843039</v>
      </c>
    </row>
    <row r="12" spans="1:20" x14ac:dyDescent="0.2">
      <c r="A12" s="4" t="s">
        <v>123</v>
      </c>
      <c r="B12" s="4"/>
      <c r="D12" s="18"/>
      <c r="E12" s="18">
        <f t="shared" ref="E12:T12" si="2">E$11/D$11-1</f>
        <v>2.7191253646968727E-2</v>
      </c>
      <c r="F12" s="17">
        <f t="shared" si="2"/>
        <v>2.7929297181369828E-2</v>
      </c>
      <c r="G12" s="17">
        <f t="shared" si="2"/>
        <v>3.2291576860074223E-2</v>
      </c>
      <c r="H12" s="17">
        <f t="shared" si="2"/>
        <v>3.6756016386117807E-2</v>
      </c>
      <c r="I12" s="17">
        <f t="shared" si="2"/>
        <v>2.7558373242358325E-2</v>
      </c>
      <c r="J12" s="17">
        <f t="shared" si="2"/>
        <v>2.250357681829751E-2</v>
      </c>
      <c r="K12" s="11">
        <f t="shared" ca="1" si="2"/>
        <v>2.2382796961436746E-2</v>
      </c>
      <c r="L12" s="11">
        <f t="shared" ca="1" si="2"/>
        <v>2.3405324022801377E-2</v>
      </c>
      <c r="M12" s="11">
        <f t="shared" ca="1" si="2"/>
        <v>2.3235094952341218E-2</v>
      </c>
      <c r="N12" s="11">
        <f t="shared" ca="1" si="2"/>
        <v>2.3188743885440566E-2</v>
      </c>
      <c r="O12" s="11">
        <f t="shared" ca="1" si="2"/>
        <v>2.2762312255103057E-2</v>
      </c>
      <c r="P12" s="11">
        <f t="shared" ca="1" si="2"/>
        <v>2.247456048794616E-2</v>
      </c>
      <c r="Q12" s="11">
        <f t="shared" ca="1" si="2"/>
        <v>2.2087273928240281E-2</v>
      </c>
      <c r="R12" s="11">
        <f t="shared" ca="1" si="2"/>
        <v>2.1631622380904769E-2</v>
      </c>
      <c r="S12" s="11">
        <f t="shared" ca="1" si="2"/>
        <v>2.1341574391738005E-2</v>
      </c>
      <c r="T12" s="11">
        <f t="shared" ca="1" si="2"/>
        <v>2.0958236435259403E-2</v>
      </c>
    </row>
    <row r="13" spans="1:20" ht="15" x14ac:dyDescent="0.25">
      <c r="A13" s="2" t="s">
        <v>125</v>
      </c>
      <c r="B13" s="4" t="str">
        <f>$B$11</f>
        <v>From Economic</v>
      </c>
      <c r="D13" s="15">
        <f>'Economic Forecasts'!M$7</f>
        <v>243.02099999999999</v>
      </c>
      <c r="E13" s="15">
        <f>'Economic Forecasts'!N$7</f>
        <v>253.08600000000001</v>
      </c>
      <c r="F13" s="16">
        <f>'Economic Forecasts'!O$7</f>
        <v>268.82100000000003</v>
      </c>
      <c r="G13" s="16">
        <f>'Economic Forecasts'!P$7</f>
        <v>282.62599999999998</v>
      </c>
      <c r="H13" s="16">
        <f>'Economic Forecasts'!Q$7</f>
        <v>296.548</v>
      </c>
      <c r="I13" s="16">
        <f>'Economic Forecasts'!R$7</f>
        <v>310.54300000000001</v>
      </c>
      <c r="J13" s="16">
        <f>'Economic Forecasts'!S$7</f>
        <v>323.24</v>
      </c>
      <c r="K13" s="1">
        <f t="shared" ref="K13:T13" ca="1" si="3">J$13*(1+K$31)*K$11/J$11</f>
        <v>337.08451559561115</v>
      </c>
      <c r="L13" s="1">
        <f t="shared" ca="1" si="3"/>
        <v>351.8735696643194</v>
      </c>
      <c r="M13" s="1">
        <f t="shared" ca="1" si="3"/>
        <v>367.25037317602295</v>
      </c>
      <c r="N13" s="1">
        <f t="shared" ca="1" si="3"/>
        <v>383.28177698186289</v>
      </c>
      <c r="O13" s="1">
        <f t="shared" ca="1" si="3"/>
        <v>399.84627960063915</v>
      </c>
      <c r="P13" s="1">
        <f t="shared" ca="1" si="3"/>
        <v>417.0093019773521</v>
      </c>
      <c r="Q13" s="1">
        <f t="shared" ca="1" si="3"/>
        <v>434.7442986739652</v>
      </c>
      <c r="R13" s="1">
        <f t="shared" ca="1" si="3"/>
        <v>453.03149363863429</v>
      </c>
      <c r="S13" s="1">
        <f t="shared" ca="1" si="3"/>
        <v>471.95389694116193</v>
      </c>
      <c r="T13" s="1">
        <f t="shared" ca="1" si="3"/>
        <v>491.48212266579282</v>
      </c>
    </row>
    <row r="14" spans="1:20" x14ac:dyDescent="0.2">
      <c r="A14" s="4" t="str">
        <f>$A$12</f>
        <v>Annual percentage growth</v>
      </c>
      <c r="D14" s="18"/>
      <c r="E14" s="18">
        <f t="shared" ref="E14:T14" si="4">E$13/D$13-1</f>
        <v>4.1416173910896692E-2</v>
      </c>
      <c r="F14" s="17">
        <f t="shared" si="4"/>
        <v>6.2172542139826037E-2</v>
      </c>
      <c r="G14" s="17">
        <f t="shared" si="4"/>
        <v>5.1353874883286466E-2</v>
      </c>
      <c r="H14" s="17">
        <f t="shared" si="4"/>
        <v>4.9259445344731256E-2</v>
      </c>
      <c r="I14" s="17">
        <f t="shared" si="4"/>
        <v>4.7193034517177601E-2</v>
      </c>
      <c r="J14" s="17">
        <f t="shared" si="4"/>
        <v>4.0886447287493244E-2</v>
      </c>
      <c r="K14" s="11">
        <f t="shared" ca="1" si="4"/>
        <v>4.2830452900665561E-2</v>
      </c>
      <c r="L14" s="11">
        <f t="shared" ca="1" si="4"/>
        <v>4.3873430503257538E-2</v>
      </c>
      <c r="M14" s="11">
        <f t="shared" ca="1" si="4"/>
        <v>4.369979685138814E-2</v>
      </c>
      <c r="N14" s="11">
        <f t="shared" ca="1" si="4"/>
        <v>4.3652518763149351E-2</v>
      </c>
      <c r="O14" s="11">
        <f t="shared" ca="1" si="4"/>
        <v>4.3217558500205255E-2</v>
      </c>
      <c r="P14" s="11">
        <f t="shared" ca="1" si="4"/>
        <v>4.292405169770519E-2</v>
      </c>
      <c r="Q14" s="11">
        <f t="shared" ca="1" si="4"/>
        <v>4.2529019406805313E-2</v>
      </c>
      <c r="R14" s="11">
        <f t="shared" ca="1" si="4"/>
        <v>4.2064254828522829E-2</v>
      </c>
      <c r="S14" s="11">
        <f t="shared" ca="1" si="4"/>
        <v>4.1768405879572867E-2</v>
      </c>
      <c r="T14" s="11">
        <f t="shared" ca="1" si="4"/>
        <v>4.1377401163964711E-2</v>
      </c>
    </row>
    <row r="15" spans="1:20" x14ac:dyDescent="0.2">
      <c r="A15" s="4" t="s">
        <v>287</v>
      </c>
      <c r="D15" s="15">
        <f t="shared" ref="D15:T15" si="5">1/D$13</f>
        <v>4.1148707313359749E-3</v>
      </c>
      <c r="E15" s="15">
        <f t="shared" si="5"/>
        <v>3.9512260654481083E-3</v>
      </c>
      <c r="F15" s="16">
        <f t="shared" si="5"/>
        <v>3.7199474743416618E-3</v>
      </c>
      <c r="G15" s="16">
        <f t="shared" si="5"/>
        <v>3.5382448890052581E-3</v>
      </c>
      <c r="H15" s="16">
        <f t="shared" si="5"/>
        <v>3.3721353710023335E-3</v>
      </c>
      <c r="I15" s="16">
        <f t="shared" si="5"/>
        <v>3.2201659673539574E-3</v>
      </c>
      <c r="J15" s="16">
        <f t="shared" si="5"/>
        <v>3.0936765251825269E-3</v>
      </c>
      <c r="K15" s="7">
        <f t="shared" ca="1" si="5"/>
        <v>2.9666150586390803E-3</v>
      </c>
      <c r="L15" s="7">
        <f t="shared" ca="1" si="5"/>
        <v>2.8419298470015258E-3</v>
      </c>
      <c r="M15" s="7">
        <f t="shared" ca="1" si="5"/>
        <v>2.7229380091622138E-3</v>
      </c>
      <c r="N15" s="7">
        <f t="shared" ca="1" si="5"/>
        <v>2.6090465554466486E-3</v>
      </c>
      <c r="O15" s="7">
        <f t="shared" ca="1" si="5"/>
        <v>2.5009611218560941E-3</v>
      </c>
      <c r="P15" s="7">
        <f t="shared" ca="1" si="5"/>
        <v>2.3980280422001483E-3</v>
      </c>
      <c r="Q15" s="7">
        <f t="shared" ca="1" si="5"/>
        <v>2.3002026778732895E-3</v>
      </c>
      <c r="R15" s="7">
        <f t="shared" ca="1" si="5"/>
        <v>2.2073520583927911E-3</v>
      </c>
      <c r="S15" s="7">
        <f t="shared" ca="1" si="5"/>
        <v>2.1188510286305976E-3</v>
      </c>
      <c r="T15" s="7">
        <f t="shared" ca="1" si="5"/>
        <v>2.0346620027113351E-3</v>
      </c>
    </row>
    <row r="16" spans="1:20" x14ac:dyDescent="0.2">
      <c r="A16" s="19" t="s">
        <v>286</v>
      </c>
      <c r="D16" s="18"/>
      <c r="E16" s="18"/>
      <c r="F16" s="17"/>
      <c r="G16" s="17"/>
      <c r="H16" s="17"/>
      <c r="I16" s="17"/>
      <c r="J16" s="17"/>
      <c r="K16" s="11"/>
      <c r="L16" s="11"/>
      <c r="M16" s="11"/>
      <c r="N16" s="11"/>
      <c r="O16" s="11"/>
      <c r="P16" s="11"/>
      <c r="Q16" s="11"/>
      <c r="R16" s="11"/>
      <c r="S16" s="11"/>
      <c r="T16" s="11"/>
    </row>
    <row r="17" spans="1:20" ht="15" x14ac:dyDescent="0.25">
      <c r="A17" s="2" t="s">
        <v>289</v>
      </c>
      <c r="B17" s="4" t="str">
        <f>$B$11</f>
        <v>From Economic</v>
      </c>
      <c r="D17" s="15">
        <f>'Economic Forecasts'!M$8</f>
        <v>2.4744999999999999</v>
      </c>
      <c r="E17" s="15">
        <f>'Economic Forecasts'!N$8</f>
        <v>2.5263</v>
      </c>
      <c r="F17" s="16">
        <f>'Economic Forecasts'!O$8</f>
        <v>2.6566000000000001</v>
      </c>
      <c r="G17" s="16">
        <f>'Economic Forecasts'!P$8</f>
        <v>2.7256</v>
      </c>
      <c r="H17" s="16">
        <f>'Economic Forecasts'!Q$8</f>
        <v>2.7748000000000004</v>
      </c>
      <c r="I17" s="16">
        <f>'Economic Forecasts'!R$8</f>
        <v>2.8119000000000001</v>
      </c>
      <c r="J17" s="16">
        <f>'Economic Forecasts'!S$8</f>
        <v>2.8405</v>
      </c>
      <c r="K17" s="7">
        <f ca="1">J$17*(1+J$18+MIN(OFFSET(Assumptions!$B$18,0,$C$1),ABS('Labour Force'!M$7-J$18))*SIGN('Labour Force'!M$7-J$18))</f>
        <v>2.8645527131245334</v>
      </c>
      <c r="L17" s="7">
        <f ca="1">K$17*(1+K$18+MIN(OFFSET(Assumptions!$B$18,0,$C$1),ABS('Labour Force'!N$7-K$18))*SIGN('Labour Force'!N$7-K$18))</f>
        <v>2.8882743818281855</v>
      </c>
      <c r="M17" s="7">
        <f ca="1">L$17*(1+L$18+MIN(OFFSET(Assumptions!$B$18,0,$C$1),ABS('Labour Force'!O$7-L$18))*SIGN('Labour Force'!O$7-L$18))</f>
        <v>2.9117080899885499</v>
      </c>
      <c r="N17" s="7">
        <f ca="1">M$17*(1+M$18+MIN(OFFSET(Assumptions!$B$18,0,$C$1),ABS('Labour Force'!P$7-M$18))*SIGN('Labour Force'!P$7-M$18))</f>
        <v>2.9351989587748379</v>
      </c>
      <c r="O17" s="7">
        <f ca="1">N$17*(1+N$18+MIN(OFFSET(Assumptions!$B$18,0,$C$1),ABS('Labour Force'!Q$7-N$18))*SIGN('Labour Force'!Q$7-N$18))</f>
        <v>2.9576461812860342</v>
      </c>
      <c r="P17" s="7">
        <f ca="1">O$17*(1+O$18+MIN(OFFSET(Assumptions!$B$18,0,$C$1),ABS('Labour Force'!R$7-O$18))*SIGN('Labour Force'!R$7-O$18))</f>
        <v>2.9794265805805815</v>
      </c>
      <c r="Q17" s="7">
        <f ca="1">P$17*(1+P$18+MIN(OFFSET(Assumptions!$B$18,0,$C$1),ABS('Labour Force'!S$7-P$18))*SIGN('Labour Force'!S$7-P$18))</f>
        <v>3.0002305336107837</v>
      </c>
      <c r="R17" s="7">
        <f ca="1">Q$17*(1+Q$18+MIN(OFFSET(Assumptions!$B$18,0,$C$1),ABS('Labour Force'!T$7-Q$18))*SIGN('Labour Force'!T$7-Q$18))</f>
        <v>3.0198328941571555</v>
      </c>
      <c r="S17" s="7">
        <f ca="1">R$17*(1+R$18+MIN(OFFSET(Assumptions!$B$18,0,$C$1),ABS('Labour Force'!U$7-R$18))*SIGN('Labour Force'!U$7-R$18))</f>
        <v>3.0387003768654468</v>
      </c>
      <c r="T17" s="7">
        <f ca="1">S$17*(1+S$18+MIN(OFFSET(Assumptions!$B$18,0,$C$1),ABS('Labour Force'!V$7-S$18))*SIGN('Labour Force'!V$7-S$18))</f>
        <v>3.0565381062263106</v>
      </c>
    </row>
    <row r="18" spans="1:20" x14ac:dyDescent="0.2">
      <c r="A18" s="4" t="str">
        <f>$A$12</f>
        <v>Annual percentage growth</v>
      </c>
      <c r="D18" s="18"/>
      <c r="E18" s="18">
        <f t="shared" ref="E18:T18" si="6">E$17/D$17-1</f>
        <v>2.0933521923620857E-2</v>
      </c>
      <c r="F18" s="17">
        <f t="shared" si="6"/>
        <v>5.1577405692118994E-2</v>
      </c>
      <c r="G18" s="17">
        <f t="shared" si="6"/>
        <v>2.5973048257170728E-2</v>
      </c>
      <c r="H18" s="17">
        <f t="shared" si="6"/>
        <v>1.8051071323745393E-2</v>
      </c>
      <c r="I18" s="17">
        <f t="shared" si="6"/>
        <v>1.3370332996972545E-2</v>
      </c>
      <c r="J18" s="17">
        <f t="shared" si="6"/>
        <v>1.0171058714748105E-2</v>
      </c>
      <c r="K18" s="11">
        <f t="shared" ca="1" si="6"/>
        <v>8.4677743793464266E-3</v>
      </c>
      <c r="L18" s="11">
        <f t="shared" ca="1" si="6"/>
        <v>8.281107411627131E-3</v>
      </c>
      <c r="M18" s="11">
        <f t="shared" ca="1" si="6"/>
        <v>8.1133940417155159E-3</v>
      </c>
      <c r="N18" s="11">
        <f t="shared" ca="1" si="6"/>
        <v>8.0677279659515655E-3</v>
      </c>
      <c r="O18" s="11">
        <f t="shared" ca="1" si="6"/>
        <v>7.6475982808899001E-3</v>
      </c>
      <c r="P18" s="11">
        <f t="shared" ca="1" si="6"/>
        <v>7.3640990029026909E-3</v>
      </c>
      <c r="Q18" s="11">
        <f t="shared" ca="1" si="6"/>
        <v>6.9825358898920609E-3</v>
      </c>
      <c r="R18" s="11">
        <f t="shared" ca="1" si="6"/>
        <v>6.5336181092658929E-3</v>
      </c>
      <c r="S18" s="11">
        <f t="shared" ca="1" si="6"/>
        <v>6.2478565435843958E-3</v>
      </c>
      <c r="T18" s="11">
        <f t="shared" ca="1" si="6"/>
        <v>5.8701836800587603E-3</v>
      </c>
    </row>
    <row r="19" spans="1:20" ht="15" x14ac:dyDescent="0.25">
      <c r="A19" s="2" t="s">
        <v>290</v>
      </c>
      <c r="B19" s="4" t="str">
        <f>$B$11</f>
        <v>From Economic</v>
      </c>
      <c r="D19" s="15">
        <f>'Economic Forecasts'!M$9</f>
        <v>3.5855999999999999</v>
      </c>
      <c r="E19" s="15">
        <f>'Economic Forecasts'!N$9</f>
        <v>3.6730999999999998</v>
      </c>
      <c r="F19" s="16">
        <f>'Economic Forecasts'!O$9</f>
        <v>3.7702</v>
      </c>
      <c r="G19" s="16">
        <f>'Economic Forecasts'!P$9</f>
        <v>3.8624000000000001</v>
      </c>
      <c r="H19" s="16">
        <f>'Economic Forecasts'!Q$9</f>
        <v>3.9436</v>
      </c>
      <c r="I19" s="16">
        <f>'Economic Forecasts'!R$9</f>
        <v>4.0108000000000006</v>
      </c>
      <c r="J19" s="16">
        <f>'Economic Forecasts'!S$9</f>
        <v>4.0650000000000004</v>
      </c>
      <c r="K19" s="7">
        <f>J$19*(1+Population!R$207)</f>
        <v>4.1089187931805027</v>
      </c>
      <c r="L19" s="7">
        <f>K$19*(1+Population!S$207)</f>
        <v>4.1549521213852936</v>
      </c>
      <c r="M19" s="7">
        <f>L$19*(1+Population!T$207)</f>
        <v>4.2003898059212705</v>
      </c>
      <c r="N19" s="7">
        <f>M$19*(1+Population!U$207)</f>
        <v>4.2464628437039815</v>
      </c>
      <c r="O19" s="7">
        <f>N$19*(1+Population!V$207)</f>
        <v>4.2908780066084953</v>
      </c>
      <c r="P19" s="7">
        <f>O$19*(1+Population!W$207)</f>
        <v>4.3336055124513715</v>
      </c>
      <c r="Q19" s="7">
        <f>P$19*(1+Population!X$207)</f>
        <v>4.3750920939842199</v>
      </c>
      <c r="R19" s="7">
        <f>Q$19*(1+Population!Y$207)</f>
        <v>4.4141861734473347</v>
      </c>
      <c r="S19" s="7">
        <f>R$19*(1+Population!Z$207)</f>
        <v>4.4522478038845072</v>
      </c>
      <c r="T19" s="7">
        <f>S$19*(1+Population!AA$207)</f>
        <v>4.4894457510018997</v>
      </c>
    </row>
    <row r="20" spans="1:20" x14ac:dyDescent="0.2">
      <c r="A20" s="4" t="str">
        <f>$A$12</f>
        <v>Annual percentage growth</v>
      </c>
      <c r="D20" s="18"/>
      <c r="E20" s="18">
        <f t="shared" ref="E20:T20" si="7">E$19/D$19-1</f>
        <v>2.440316822846933E-2</v>
      </c>
      <c r="F20" s="17">
        <f t="shared" si="7"/>
        <v>2.6435436007731905E-2</v>
      </c>
      <c r="G20" s="17">
        <f t="shared" si="7"/>
        <v>2.4454936077661582E-2</v>
      </c>
      <c r="H20" s="17">
        <f t="shared" si="7"/>
        <v>2.1023198011598909E-2</v>
      </c>
      <c r="I20" s="17">
        <f t="shared" si="7"/>
        <v>1.7040267775636719E-2</v>
      </c>
      <c r="J20" s="17">
        <f t="shared" si="7"/>
        <v>1.3513513513513375E-2</v>
      </c>
      <c r="K20" s="11">
        <f t="shared" si="7"/>
        <v>1.0804131163715258E-2</v>
      </c>
      <c r="L20" s="11">
        <f t="shared" si="7"/>
        <v>1.1203270378862484E-2</v>
      </c>
      <c r="M20" s="11">
        <f t="shared" si="7"/>
        <v>1.0935790162806436E-2</v>
      </c>
      <c r="N20" s="11">
        <f t="shared" si="7"/>
        <v>1.096875288044985E-2</v>
      </c>
      <c r="O20" s="11">
        <f t="shared" si="7"/>
        <v>1.0459331575305209E-2</v>
      </c>
      <c r="P20" s="11">
        <f t="shared" si="7"/>
        <v>9.9577535826165242E-3</v>
      </c>
      <c r="Q20" s="11">
        <f t="shared" si="7"/>
        <v>9.5732252078895019E-3</v>
      </c>
      <c r="R20" s="11">
        <f t="shared" si="7"/>
        <v>8.9356014966792685E-3</v>
      </c>
      <c r="S20" s="11">
        <f t="shared" si="7"/>
        <v>8.6225702636024693E-3</v>
      </c>
      <c r="T20" s="11">
        <f t="shared" si="7"/>
        <v>8.3548689911054907E-3</v>
      </c>
    </row>
    <row r="21" spans="1:20" ht="15" x14ac:dyDescent="0.25">
      <c r="A21" s="2" t="s">
        <v>291</v>
      </c>
      <c r="D21" s="18">
        <f t="shared" ref="D21:T21" si="8">D$17/D$19</f>
        <v>0.69012159750111557</v>
      </c>
      <c r="E21" s="18">
        <f t="shared" si="8"/>
        <v>0.68778416051836322</v>
      </c>
      <c r="F21" s="17">
        <f t="shared" si="8"/>
        <v>0.70463105405548776</v>
      </c>
      <c r="G21" s="17">
        <f t="shared" si="8"/>
        <v>0.70567522783761394</v>
      </c>
      <c r="H21" s="17">
        <f t="shared" si="8"/>
        <v>0.70362105690232279</v>
      </c>
      <c r="I21" s="17">
        <f t="shared" si="8"/>
        <v>0.70108207838835135</v>
      </c>
      <c r="J21" s="17">
        <f t="shared" si="8"/>
        <v>0.69876998769987697</v>
      </c>
      <c r="K21" s="11">
        <f t="shared" ca="1" si="8"/>
        <v>0.69715486173121244</v>
      </c>
      <c r="L21" s="11">
        <f t="shared" ca="1" si="8"/>
        <v>0.69514023205283348</v>
      </c>
      <c r="M21" s="11">
        <f t="shared" ca="1" si="8"/>
        <v>0.69319949445737827</v>
      </c>
      <c r="N21" s="11">
        <f t="shared" ca="1" si="8"/>
        <v>0.69121032417055317</v>
      </c>
      <c r="O21" s="11">
        <f t="shared" ca="1" si="8"/>
        <v>0.68928694237656829</v>
      </c>
      <c r="P21" s="11">
        <f t="shared" ca="1" si="8"/>
        <v>0.68751679681504341</v>
      </c>
      <c r="Q21" s="11">
        <f t="shared" ca="1" si="8"/>
        <v>0.68575254398327301</v>
      </c>
      <c r="R21" s="11">
        <f t="shared" ca="1" si="8"/>
        <v>0.68411996583251611</v>
      </c>
      <c r="S21" s="11">
        <f t="shared" ca="1" si="8"/>
        <v>0.68250926514338095</v>
      </c>
      <c r="T21" s="11">
        <f t="shared" ca="1" si="8"/>
        <v>0.68082749536380738</v>
      </c>
    </row>
    <row r="22" spans="1:20" ht="15" x14ac:dyDescent="0.25">
      <c r="A22" s="2" t="s">
        <v>102</v>
      </c>
      <c r="B22" s="4" t="str">
        <f>$B$11</f>
        <v>From Economic</v>
      </c>
      <c r="D22" s="15">
        <f>'Economic Forecasts'!M$10</f>
        <v>4.5655000000000001</v>
      </c>
      <c r="E22" s="15">
        <f>'Economic Forecasts'!N$10</f>
        <v>4.6593</v>
      </c>
      <c r="F22" s="16">
        <f>'Economic Forecasts'!O$10</f>
        <v>4.7611000000000008</v>
      </c>
      <c r="G22" s="16">
        <f>'Economic Forecasts'!P$10</f>
        <v>4.8638999999999992</v>
      </c>
      <c r="H22" s="16">
        <f>'Economic Forecasts'!Q$10</f>
        <v>4.9543999999999997</v>
      </c>
      <c r="I22" s="16">
        <f>'Economic Forecasts'!R$10</f>
        <v>5.03</v>
      </c>
      <c r="J22" s="16">
        <f>'Economic Forecasts'!S$10</f>
        <v>5.0898999999999992</v>
      </c>
      <c r="K22" s="7">
        <f>J$22*(1+Population!R$7)</f>
        <v>5.1384201548534438</v>
      </c>
      <c r="L22" s="7">
        <f>K$22*(1+Population!S$7)</f>
        <v>5.1867995258378832</v>
      </c>
      <c r="M22" s="7">
        <f>L$22*(1+Population!T$7)</f>
        <v>5.2346962092714486</v>
      </c>
      <c r="N22" s="7">
        <f>M$22*(1+Population!U$7)</f>
        <v>5.2821805970886437</v>
      </c>
      <c r="O22" s="7">
        <f>N$22*(1+Population!V$7)</f>
        <v>5.3290113455140302</v>
      </c>
      <c r="P22" s="7">
        <f>O$22*(1+Population!W$7)</f>
        <v>5.374916942800243</v>
      </c>
      <c r="Q22" s="7">
        <f>P$22*(1+Population!X$7)</f>
        <v>5.4199376129098535</v>
      </c>
      <c r="R22" s="7">
        <f>Q$22*(1+Population!Y$7)</f>
        <v>5.4637616201329244</v>
      </c>
      <c r="S22" s="7">
        <f>R$22*(1+Population!Z$7)</f>
        <v>5.5062984605536638</v>
      </c>
      <c r="T22" s="7">
        <f>S$22*(1+Population!AA$7)</f>
        <v>5.5476889180410787</v>
      </c>
    </row>
    <row r="23" spans="1:20" x14ac:dyDescent="0.2">
      <c r="A23" s="4" t="str">
        <f>$A$12</f>
        <v>Annual percentage growth</v>
      </c>
      <c r="D23" s="18"/>
      <c r="E23" s="18">
        <f t="shared" ref="E23:T23" si="9">E$22/D$22-1</f>
        <v>2.0545394808892725E-2</v>
      </c>
      <c r="F23" s="17">
        <f t="shared" si="9"/>
        <v>2.1848775567145484E-2</v>
      </c>
      <c r="G23" s="17">
        <f t="shared" si="9"/>
        <v>2.1591648988678713E-2</v>
      </c>
      <c r="H23" s="17">
        <f t="shared" si="9"/>
        <v>1.8606468060609949E-2</v>
      </c>
      <c r="I23" s="17">
        <f t="shared" si="9"/>
        <v>1.5259163571774703E-2</v>
      </c>
      <c r="J23" s="17">
        <f t="shared" si="9"/>
        <v>1.1908548707753264E-2</v>
      </c>
      <c r="K23" s="11">
        <f t="shared" si="9"/>
        <v>9.5326342076356152E-3</v>
      </c>
      <c r="L23" s="11">
        <f t="shared" si="9"/>
        <v>9.4152228752144573E-3</v>
      </c>
      <c r="M23" s="11">
        <f t="shared" si="9"/>
        <v>9.2343425256691258E-3</v>
      </c>
      <c r="N23" s="11">
        <f t="shared" si="9"/>
        <v>9.0710875892077159E-3</v>
      </c>
      <c r="O23" s="11">
        <f t="shared" si="9"/>
        <v>8.8657984263540435E-3</v>
      </c>
      <c r="P23" s="11">
        <f t="shared" si="9"/>
        <v>8.6142802688637943E-3</v>
      </c>
      <c r="Q23" s="11">
        <f t="shared" si="9"/>
        <v>8.3760680562545708E-3</v>
      </c>
      <c r="R23" s="11">
        <f t="shared" si="9"/>
        <v>8.0857032595145206E-3</v>
      </c>
      <c r="S23" s="11">
        <f t="shared" si="9"/>
        <v>7.7852665211453065E-3</v>
      </c>
      <c r="T23" s="11">
        <f t="shared" si="9"/>
        <v>7.516929527872529E-3</v>
      </c>
    </row>
    <row r="24" spans="1:20" ht="15" x14ac:dyDescent="0.25">
      <c r="A24" s="2" t="s">
        <v>108</v>
      </c>
      <c r="B24" s="4" t="str">
        <f>$B$11</f>
        <v>From Economic</v>
      </c>
      <c r="D24" s="18">
        <f>'Economic Forecasts'!M$11</f>
        <v>5.4000000000000006E-2</v>
      </c>
      <c r="E24" s="18">
        <f>'Economic Forecasts'!N$11</f>
        <v>5.1799999999999999E-2</v>
      </c>
      <c r="F24" s="17">
        <f>'Economic Forecasts'!O$11</f>
        <v>4.9800000000000004E-2</v>
      </c>
      <c r="G24" s="17">
        <f>'Economic Forecasts'!P$11</f>
        <v>4.8499999999999995E-2</v>
      </c>
      <c r="H24" s="17">
        <f>'Economic Forecasts'!Q$11</f>
        <v>4.5599999999999995E-2</v>
      </c>
      <c r="I24" s="17">
        <f>'Economic Forecasts'!R$11</f>
        <v>4.3700000000000003E-2</v>
      </c>
      <c r="J24" s="17">
        <f>'Economic Forecasts'!S$11</f>
        <v>4.3299999999999998E-2</v>
      </c>
      <c r="K24" s="11">
        <f ca="1">SUM(J$24,MIN(OFFSET(Assumptions!$B$19,0,$C$1),ABS(OFFSET(Assumptions!$B$12,0,$C$1)-J$24))*SIGN(OFFSET(Assumptions!$B$12,0,$C$1)-J$24))</f>
        <v>4.2500000000000003E-2</v>
      </c>
      <c r="L24" s="11">
        <f ca="1">SUM(K$24,MIN(OFFSET(Assumptions!$B$19,0,$C$1),ABS(OFFSET(Assumptions!$B$12,0,$C$1)-K$24))*SIGN(OFFSET(Assumptions!$B$12,0,$C$1)-K$24))</f>
        <v>4.2500000000000003E-2</v>
      </c>
      <c r="M24" s="11">
        <f ca="1">SUM(L$24,MIN(OFFSET(Assumptions!$B$19,0,$C$1),ABS(OFFSET(Assumptions!$B$12,0,$C$1)-L$24))*SIGN(OFFSET(Assumptions!$B$12,0,$C$1)-L$24))</f>
        <v>4.2500000000000003E-2</v>
      </c>
      <c r="N24" s="11">
        <f ca="1">SUM(M$24,MIN(OFFSET(Assumptions!$B$19,0,$C$1),ABS(OFFSET(Assumptions!$B$12,0,$C$1)-M$24))*SIGN(OFFSET(Assumptions!$B$12,0,$C$1)-M$24))</f>
        <v>4.2500000000000003E-2</v>
      </c>
      <c r="O24" s="11">
        <f ca="1">SUM(N$24,MIN(OFFSET(Assumptions!$B$19,0,$C$1),ABS(OFFSET(Assumptions!$B$12,0,$C$1)-N$24))*SIGN(OFFSET(Assumptions!$B$12,0,$C$1)-N$24))</f>
        <v>4.2500000000000003E-2</v>
      </c>
      <c r="P24" s="11">
        <f ca="1">SUM(O$24,MIN(OFFSET(Assumptions!$B$19,0,$C$1),ABS(OFFSET(Assumptions!$B$12,0,$C$1)-O$24))*SIGN(OFFSET(Assumptions!$B$12,0,$C$1)-O$24))</f>
        <v>4.2500000000000003E-2</v>
      </c>
      <c r="Q24" s="11">
        <f ca="1">SUM(P$24,MIN(OFFSET(Assumptions!$B$19,0,$C$1),ABS(OFFSET(Assumptions!$B$12,0,$C$1)-P$24))*SIGN(OFFSET(Assumptions!$B$12,0,$C$1)-P$24))</f>
        <v>4.2500000000000003E-2</v>
      </c>
      <c r="R24" s="11">
        <f ca="1">SUM(Q$24,MIN(OFFSET(Assumptions!$B$19,0,$C$1),ABS(OFFSET(Assumptions!$B$12,0,$C$1)-Q$24))*SIGN(OFFSET(Assumptions!$B$12,0,$C$1)-Q$24))</f>
        <v>4.2500000000000003E-2</v>
      </c>
      <c r="S24" s="11">
        <f ca="1">SUM(R$24,MIN(OFFSET(Assumptions!$B$19,0,$C$1),ABS(OFFSET(Assumptions!$B$12,0,$C$1)-R$24))*SIGN(OFFSET(Assumptions!$B$12,0,$C$1)-R$24))</f>
        <v>4.2500000000000003E-2</v>
      </c>
      <c r="T24" s="11">
        <f ca="1">SUM(S$24,MIN(OFFSET(Assumptions!$B$19,0,$C$1),ABS(OFFSET(Assumptions!$B$12,0,$C$1)-S$24))*SIGN(OFFSET(Assumptions!$B$12,0,$C$1)-S$24))</f>
        <v>4.2500000000000003E-2</v>
      </c>
    </row>
    <row r="25" spans="1:20" ht="15" x14ac:dyDescent="0.25">
      <c r="A25" s="2" t="s">
        <v>110</v>
      </c>
      <c r="B25" s="4" t="str">
        <f>$B$11</f>
        <v>From Economic</v>
      </c>
      <c r="D25" s="21">
        <f>'Economic Forecasts'!M$12</f>
        <v>33.49</v>
      </c>
      <c r="E25" s="21">
        <f>'Economic Forecasts'!N$12</f>
        <v>33.700000000000003</v>
      </c>
      <c r="F25" s="22">
        <f>'Economic Forecasts'!O$12</f>
        <v>33.700000000000003</v>
      </c>
      <c r="G25" s="22">
        <f>'Economic Forecasts'!P$12</f>
        <v>33.729999999999997</v>
      </c>
      <c r="H25" s="22">
        <f>'Economic Forecasts'!Q$12</f>
        <v>33.69</v>
      </c>
      <c r="I25" s="22">
        <f>'Economic Forecasts'!R$12</f>
        <v>33.67</v>
      </c>
      <c r="J25" s="22">
        <f>'Economic Forecasts'!S$12</f>
        <v>33.64</v>
      </c>
      <c r="K25" s="10">
        <f t="shared" ref="K25:T25" ca="1" si="10">J$25*K$26/J$26</f>
        <v>33.588641221374047</v>
      </c>
      <c r="L25" s="10">
        <f t="shared" ca="1" si="10"/>
        <v>33.588641221374047</v>
      </c>
      <c r="M25" s="10">
        <f t="shared" ca="1" si="10"/>
        <v>33.588641221374047</v>
      </c>
      <c r="N25" s="10">
        <f t="shared" ca="1" si="10"/>
        <v>33.588641221374047</v>
      </c>
      <c r="O25" s="10">
        <f t="shared" ca="1" si="10"/>
        <v>33.588641221374047</v>
      </c>
      <c r="P25" s="10">
        <f t="shared" ca="1" si="10"/>
        <v>33.588641221374047</v>
      </c>
      <c r="Q25" s="10">
        <f t="shared" ca="1" si="10"/>
        <v>33.588641221374047</v>
      </c>
      <c r="R25" s="10">
        <f t="shared" ca="1" si="10"/>
        <v>33.588641221374047</v>
      </c>
      <c r="S25" s="10">
        <f t="shared" ca="1" si="10"/>
        <v>33.588641221374047</v>
      </c>
      <c r="T25" s="10">
        <f t="shared" ca="1" si="10"/>
        <v>33.588641221374047</v>
      </c>
    </row>
    <row r="26" spans="1:20" ht="15" x14ac:dyDescent="0.25">
      <c r="A26" s="2" t="s">
        <v>109</v>
      </c>
      <c r="B26" s="4" t="str">
        <f t="shared" ref="B26:B32" si="11">$B$11</f>
        <v>From Economic</v>
      </c>
      <c r="D26" s="21">
        <f>'Economic Forecasts'!M$13</f>
        <v>32.840000000000003</v>
      </c>
      <c r="E26" s="21">
        <f>'Economic Forecasts'!N$13</f>
        <v>32.909999999999997</v>
      </c>
      <c r="F26" s="22">
        <f>'Economic Forecasts'!O$13</f>
        <v>33.06</v>
      </c>
      <c r="G26" s="22">
        <f>'Economic Forecasts'!P$13</f>
        <v>32.840000000000003</v>
      </c>
      <c r="H26" s="22">
        <f>'Economic Forecasts'!Q$13</f>
        <v>32.79</v>
      </c>
      <c r="I26" s="22">
        <f>'Economic Forecasts'!R$13</f>
        <v>32.78</v>
      </c>
      <c r="J26" s="22">
        <f>'Economic Forecasts'!S$13</f>
        <v>32.75</v>
      </c>
      <c r="K26" s="10">
        <f ca="1">SUM(J$26,MIN(OFFSET(Assumptions!$B$20,0,$C$1),ABS(OFFSET(Assumptions!$B$13,0,$C$1)-J$26))*SIGN(OFFSET(Assumptions!$B$13,0,$C$1)-J$26))</f>
        <v>32.700000000000003</v>
      </c>
      <c r="L26" s="10">
        <f ca="1">SUM(K$26,MIN(OFFSET(Assumptions!$B$20,0,$C$1),ABS(OFFSET(Assumptions!$B$13,0,$C$1)-K$26))*SIGN(OFFSET(Assumptions!$B$13,0,$C$1)-K$26))</f>
        <v>32.700000000000003</v>
      </c>
      <c r="M26" s="10">
        <f ca="1">SUM(L$26,MIN(OFFSET(Assumptions!$B$20,0,$C$1),ABS(OFFSET(Assumptions!$B$13,0,$C$1)-L$26))*SIGN(OFFSET(Assumptions!$B$13,0,$C$1)-L$26))</f>
        <v>32.700000000000003</v>
      </c>
      <c r="N26" s="10">
        <f ca="1">SUM(M$26,MIN(OFFSET(Assumptions!$B$20,0,$C$1),ABS(OFFSET(Assumptions!$B$13,0,$C$1)-M$26))*SIGN(OFFSET(Assumptions!$B$13,0,$C$1)-M$26))</f>
        <v>32.700000000000003</v>
      </c>
      <c r="O26" s="10">
        <f ca="1">SUM(N$26,MIN(OFFSET(Assumptions!$B$20,0,$C$1),ABS(OFFSET(Assumptions!$B$13,0,$C$1)-N$26))*SIGN(OFFSET(Assumptions!$B$13,0,$C$1)-N$26))</f>
        <v>32.700000000000003</v>
      </c>
      <c r="P26" s="10">
        <f ca="1">SUM(O$26,MIN(OFFSET(Assumptions!$B$20,0,$C$1),ABS(OFFSET(Assumptions!$B$13,0,$C$1)-O$26))*SIGN(OFFSET(Assumptions!$B$13,0,$C$1)-O$26))</f>
        <v>32.700000000000003</v>
      </c>
      <c r="Q26" s="10">
        <f ca="1">SUM(P$26,MIN(OFFSET(Assumptions!$B$20,0,$C$1),ABS(OFFSET(Assumptions!$B$13,0,$C$1)-P$26))*SIGN(OFFSET(Assumptions!$B$13,0,$C$1)-P$26))</f>
        <v>32.700000000000003</v>
      </c>
      <c r="R26" s="10">
        <f ca="1">SUM(Q$26,MIN(OFFSET(Assumptions!$B$20,0,$C$1),ABS(OFFSET(Assumptions!$B$13,0,$C$1)-Q$26))*SIGN(OFFSET(Assumptions!$B$13,0,$C$1)-Q$26))</f>
        <v>32.700000000000003</v>
      </c>
      <c r="S26" s="10">
        <f ca="1">SUM(R$26,MIN(OFFSET(Assumptions!$B$20,0,$C$1),ABS(OFFSET(Assumptions!$B$13,0,$C$1)-R$26))*SIGN(OFFSET(Assumptions!$B$13,0,$C$1)-R$26))</f>
        <v>32.700000000000003</v>
      </c>
      <c r="T26" s="10">
        <f ca="1">SUM(S$26,MIN(OFFSET(Assumptions!$B$20,0,$C$1),ABS(OFFSET(Assumptions!$B$13,0,$C$1)-S$26))*SIGN(OFFSET(Assumptions!$B$13,0,$C$1)-S$26))</f>
        <v>32.700000000000003</v>
      </c>
    </row>
    <row r="27" spans="1:20" ht="15" x14ac:dyDescent="0.25">
      <c r="A27" s="2" t="s">
        <v>103</v>
      </c>
      <c r="B27" s="4" t="str">
        <f t="shared" si="11"/>
        <v>From Economic</v>
      </c>
      <c r="D27" s="18">
        <f>'Economic Forecasts'!M$14</f>
        <v>6.3E-3</v>
      </c>
      <c r="E27" s="18">
        <f>'Economic Forecasts'!N$14</f>
        <v>-2.5000000000000001E-3</v>
      </c>
      <c r="F27" s="17">
        <f>'Economic Forecasts'!O$14</f>
        <v>-2.4299999999999999E-2</v>
      </c>
      <c r="G27" s="17">
        <f>'Economic Forecasts'!P$14</f>
        <v>3.5000000000000001E-3</v>
      </c>
      <c r="H27" s="17">
        <f>'Economic Forecasts'!Q$14</f>
        <v>1.6500000000000001E-2</v>
      </c>
      <c r="I27" s="17">
        <f>'Economic Forecasts'!R$14</f>
        <v>1.26E-2</v>
      </c>
      <c r="J27" s="17">
        <f>'Economic Forecasts'!S$14</f>
        <v>1.2500000000000001E-2</v>
      </c>
      <c r="K27" s="11">
        <f ca="1">SUM(J$27,MIN(OFFSET(Assumptions!$B$21,0,$C$1),ABS(OFFSET(Assumptions!$B$14,0,$C$1)-J$27))*SIGN(OFFSET(Assumptions!$B$14,0,$C$1)-J$27))</f>
        <v>1.4500000000000001E-2</v>
      </c>
      <c r="L27" s="11">
        <f ca="1">SUM(K$27,MIN(OFFSET(Assumptions!$B$21,0,$C$1),ABS(OFFSET(Assumptions!$B$14,0,$C$1)-K$27))*SIGN(OFFSET(Assumptions!$B$14,0,$C$1)-K$27))</f>
        <v>1.4999999999999999E-2</v>
      </c>
      <c r="M27" s="11">
        <f ca="1">SUM(L$27,MIN(OFFSET(Assumptions!$B$21,0,$C$1),ABS(OFFSET(Assumptions!$B$14,0,$C$1)-L$27))*SIGN(OFFSET(Assumptions!$B$14,0,$C$1)-L$27))</f>
        <v>1.4999999999999999E-2</v>
      </c>
      <c r="N27" s="11">
        <f ca="1">SUM(M$27,MIN(OFFSET(Assumptions!$B$21,0,$C$1),ABS(OFFSET(Assumptions!$B$14,0,$C$1)-M$27))*SIGN(OFFSET(Assumptions!$B$14,0,$C$1)-M$27))</f>
        <v>1.4999999999999999E-2</v>
      </c>
      <c r="O27" s="11">
        <f ca="1">SUM(N$27,MIN(OFFSET(Assumptions!$B$21,0,$C$1),ABS(OFFSET(Assumptions!$B$14,0,$C$1)-N$27))*SIGN(OFFSET(Assumptions!$B$14,0,$C$1)-N$27))</f>
        <v>1.4999999999999999E-2</v>
      </c>
      <c r="P27" s="11">
        <f ca="1">SUM(O$27,MIN(OFFSET(Assumptions!$B$21,0,$C$1),ABS(OFFSET(Assumptions!$B$14,0,$C$1)-O$27))*SIGN(OFFSET(Assumptions!$B$14,0,$C$1)-O$27))</f>
        <v>1.4999999999999999E-2</v>
      </c>
      <c r="Q27" s="11">
        <f ca="1">SUM(P$27,MIN(OFFSET(Assumptions!$B$21,0,$C$1),ABS(OFFSET(Assumptions!$B$14,0,$C$1)-P$27))*SIGN(OFFSET(Assumptions!$B$14,0,$C$1)-P$27))</f>
        <v>1.4999999999999999E-2</v>
      </c>
      <c r="R27" s="11">
        <f ca="1">SUM(Q$27,MIN(OFFSET(Assumptions!$B$21,0,$C$1),ABS(OFFSET(Assumptions!$B$14,0,$C$1)-Q$27))*SIGN(OFFSET(Assumptions!$B$14,0,$C$1)-Q$27))</f>
        <v>1.4999999999999999E-2</v>
      </c>
      <c r="S27" s="11">
        <f ca="1">SUM(R$27,MIN(OFFSET(Assumptions!$B$21,0,$C$1),ABS(OFFSET(Assumptions!$B$14,0,$C$1)-R$27))*SIGN(OFFSET(Assumptions!$B$14,0,$C$1)-R$27))</f>
        <v>1.4999999999999999E-2</v>
      </c>
      <c r="T27" s="11">
        <f ca="1">SUM(S$27,MIN(OFFSET(Assumptions!$B$21,0,$C$1),ABS(OFFSET(Assumptions!$B$14,0,$C$1)-S$27))*SIGN(OFFSET(Assumptions!$B$14,0,$C$1)-S$27))</f>
        <v>1.4999999999999999E-2</v>
      </c>
    </row>
    <row r="28" spans="1:20" ht="15" x14ac:dyDescent="0.25">
      <c r="A28" s="2" t="s">
        <v>105</v>
      </c>
      <c r="B28" s="4" t="str">
        <f t="shared" si="11"/>
        <v>From Economic</v>
      </c>
      <c r="D28" s="18">
        <f>'Economic Forecasts'!M$16</f>
        <v>2.4400000000000002E-2</v>
      </c>
      <c r="E28" s="18">
        <f>'Economic Forecasts'!N$16</f>
        <v>2.2499999999999999E-2</v>
      </c>
      <c r="F28" s="17">
        <f>'Economic Forecasts'!O$16</f>
        <v>1.47E-2</v>
      </c>
      <c r="G28" s="17">
        <f>'Economic Forecasts'!P$16</f>
        <v>2.3400000000000001E-2</v>
      </c>
      <c r="H28" s="17">
        <f>'Economic Forecasts'!Q$16</f>
        <v>2.8799999999999999E-2</v>
      </c>
      <c r="I28" s="17">
        <f>'Economic Forecasts'!R$16</f>
        <v>2.7199999999999998E-2</v>
      </c>
      <c r="J28" s="17">
        <f>'Economic Forecasts'!S$16</f>
        <v>2.6599999999999999E-2</v>
      </c>
      <c r="K28" s="11">
        <f t="shared" ref="K28:T28" ca="1" si="12">(1+K$27)*(1+K$31)-1</f>
        <v>3.4789999999999877E-2</v>
      </c>
      <c r="L28" s="11">
        <f t="shared" ca="1" si="12"/>
        <v>3.5299999999999887E-2</v>
      </c>
      <c r="M28" s="11">
        <f t="shared" ca="1" si="12"/>
        <v>3.5299999999999887E-2</v>
      </c>
      <c r="N28" s="11">
        <f t="shared" ca="1" si="12"/>
        <v>3.5299999999999887E-2</v>
      </c>
      <c r="O28" s="11">
        <f t="shared" ca="1" si="12"/>
        <v>3.5299999999999887E-2</v>
      </c>
      <c r="P28" s="11">
        <f t="shared" ca="1" si="12"/>
        <v>3.5299999999999887E-2</v>
      </c>
      <c r="Q28" s="11">
        <f t="shared" ca="1" si="12"/>
        <v>3.5299999999999887E-2</v>
      </c>
      <c r="R28" s="11">
        <f t="shared" ca="1" si="12"/>
        <v>3.5299999999999887E-2</v>
      </c>
      <c r="S28" s="11">
        <f t="shared" ca="1" si="12"/>
        <v>3.5299999999999887E-2</v>
      </c>
      <c r="T28" s="11">
        <f t="shared" ca="1" si="12"/>
        <v>3.5299999999999887E-2</v>
      </c>
    </row>
    <row r="29" spans="1:20" x14ac:dyDescent="0.2">
      <c r="A29" s="19" t="s">
        <v>288</v>
      </c>
      <c r="B29" s="4"/>
      <c r="D29" s="18"/>
      <c r="E29" s="18"/>
      <c r="F29" s="17"/>
      <c r="G29" s="17"/>
      <c r="H29" s="17"/>
      <c r="I29" s="17"/>
      <c r="J29" s="17"/>
      <c r="K29" s="11"/>
      <c r="L29" s="11"/>
      <c r="M29" s="11"/>
      <c r="N29" s="11"/>
      <c r="O29" s="11"/>
      <c r="P29" s="11"/>
      <c r="Q29" s="11"/>
      <c r="R29" s="11"/>
      <c r="S29" s="11"/>
      <c r="T29" s="11"/>
    </row>
    <row r="30" spans="1:20" ht="15" x14ac:dyDescent="0.25">
      <c r="A30" s="2" t="s">
        <v>292</v>
      </c>
      <c r="B30" s="4" t="str">
        <f t="shared" si="11"/>
        <v>From Economic</v>
      </c>
      <c r="D30" s="23">
        <f>'Economic Forecasts'!M$15</f>
        <v>1200</v>
      </c>
      <c r="E30" s="23">
        <f>'Economic Forecasts'!N$15</f>
        <v>1205</v>
      </c>
      <c r="F30" s="24">
        <f>'Economic Forecasts'!O$15</f>
        <v>1226</v>
      </c>
      <c r="G30" s="24">
        <f>'Economic Forecasts'!P$15</f>
        <v>1242</v>
      </c>
      <c r="H30" s="24">
        <f>'Economic Forecasts'!Q$15</f>
        <v>1266</v>
      </c>
      <c r="I30" s="24">
        <f>'Economic Forecasts'!R$15</f>
        <v>1292</v>
      </c>
      <c r="J30" s="24">
        <f>'Economic Forecasts'!S$15</f>
        <v>1319</v>
      </c>
      <c r="K30" s="3">
        <f ca="1">J$30*(1+J$31+MIN(OFFSET(Assumptions!$B$22,0,$C$1),ABS(OFFSET(Assumptions!$B$15,0,$C$1)-J$31))*SIGN(OFFSET(Assumptions!$B$15,0,$C$1)-J$31))</f>
        <v>1345.38</v>
      </c>
      <c r="L30" s="3">
        <f ca="1">K$30*(1+K$31+MIN(OFFSET(Assumptions!$B$22,0,$C$1),ABS(OFFSET(Assumptions!$B$15,0,$C$1)-K$31))*SIGN(OFFSET(Assumptions!$B$15,0,$C$1)-K$31))</f>
        <v>1372.2876000000001</v>
      </c>
      <c r="M30" s="3">
        <f ca="1">L$30*(1+L$31+MIN(OFFSET(Assumptions!$B$22,0,$C$1),ABS(OFFSET(Assumptions!$B$15,0,$C$1)-L$31))*SIGN(OFFSET(Assumptions!$B$15,0,$C$1)-L$31))</f>
        <v>1399.7333520000002</v>
      </c>
      <c r="N30" s="3">
        <f ca="1">M$30*(1+M$31+MIN(OFFSET(Assumptions!$B$22,0,$C$1),ABS(OFFSET(Assumptions!$B$15,0,$C$1)-M$31))*SIGN(OFFSET(Assumptions!$B$15,0,$C$1)-M$31))</f>
        <v>1427.7280190400002</v>
      </c>
      <c r="O30" s="3">
        <f ca="1">N$30*(1+N$31+MIN(OFFSET(Assumptions!$B$22,0,$C$1),ABS(OFFSET(Assumptions!$B$15,0,$C$1)-N$31))*SIGN(OFFSET(Assumptions!$B$15,0,$C$1)-N$31))</f>
        <v>1456.2825794208002</v>
      </c>
      <c r="P30" s="3">
        <f ca="1">O$30*(1+O$31+MIN(OFFSET(Assumptions!$B$22,0,$C$1),ABS(OFFSET(Assumptions!$B$15,0,$C$1)-O$31))*SIGN(OFFSET(Assumptions!$B$15,0,$C$1)-O$31))</f>
        <v>1485.4082310092163</v>
      </c>
      <c r="Q30" s="3">
        <f ca="1">P$30*(1+P$31+MIN(OFFSET(Assumptions!$B$22,0,$C$1),ABS(OFFSET(Assumptions!$B$15,0,$C$1)-P$31))*SIGN(OFFSET(Assumptions!$B$15,0,$C$1)-P$31))</f>
        <v>1515.1163956294006</v>
      </c>
      <c r="R30" s="3">
        <f ca="1">Q$30*(1+Q$31+MIN(OFFSET(Assumptions!$B$22,0,$C$1),ABS(OFFSET(Assumptions!$B$15,0,$C$1)-Q$31))*SIGN(OFFSET(Assumptions!$B$15,0,$C$1)-Q$31))</f>
        <v>1545.4187235419886</v>
      </c>
      <c r="S30" s="3">
        <f ca="1">R$30*(1+R$31+MIN(OFFSET(Assumptions!$B$22,0,$C$1),ABS(OFFSET(Assumptions!$B$15,0,$C$1)-R$31))*SIGN(OFFSET(Assumptions!$B$15,0,$C$1)-R$31))</f>
        <v>1576.3270980128284</v>
      </c>
      <c r="T30" s="3">
        <f ca="1">S$30*(1+S$31+MIN(OFFSET(Assumptions!$B$22,0,$C$1),ABS(OFFSET(Assumptions!$B$15,0,$C$1)-S$31))*SIGN(OFFSET(Assumptions!$B$15,0,$C$1)-S$31))</f>
        <v>1607.8536399730849</v>
      </c>
    </row>
    <row r="31" spans="1:20" x14ac:dyDescent="0.2">
      <c r="A31" s="4" t="str">
        <f>$A$12</f>
        <v>Annual percentage growth</v>
      </c>
      <c r="D31" s="18"/>
      <c r="E31" s="18">
        <f t="shared" ref="E31:T31" si="13">E$30/D$30-1</f>
        <v>4.1666666666666519E-3</v>
      </c>
      <c r="F31" s="17">
        <f t="shared" si="13"/>
        <v>1.7427385892116121E-2</v>
      </c>
      <c r="G31" s="17">
        <f t="shared" si="13"/>
        <v>1.3050570962479524E-2</v>
      </c>
      <c r="H31" s="17">
        <f t="shared" si="13"/>
        <v>1.9323671497584627E-2</v>
      </c>
      <c r="I31" s="17">
        <f t="shared" si="13"/>
        <v>2.0537124802527673E-2</v>
      </c>
      <c r="J31" s="17">
        <f t="shared" si="13"/>
        <v>2.0897832817337481E-2</v>
      </c>
      <c r="K31" s="11">
        <f t="shared" ca="1" si="13"/>
        <v>2.0000000000000018E-2</v>
      </c>
      <c r="L31" s="11">
        <f t="shared" ca="1" si="13"/>
        <v>2.0000000000000018E-2</v>
      </c>
      <c r="M31" s="11">
        <f t="shared" ca="1" si="13"/>
        <v>2.0000000000000018E-2</v>
      </c>
      <c r="N31" s="11">
        <f t="shared" ca="1" si="13"/>
        <v>2.0000000000000018E-2</v>
      </c>
      <c r="O31" s="11">
        <f t="shared" ca="1" si="13"/>
        <v>2.0000000000000018E-2</v>
      </c>
      <c r="P31" s="11">
        <f t="shared" ca="1" si="13"/>
        <v>2.0000000000000018E-2</v>
      </c>
      <c r="Q31" s="11">
        <f t="shared" ca="1" si="13"/>
        <v>2.0000000000000018E-2</v>
      </c>
      <c r="R31" s="11">
        <f t="shared" ca="1" si="13"/>
        <v>2.0000000000000018E-2</v>
      </c>
      <c r="S31" s="11">
        <f t="shared" ca="1" si="13"/>
        <v>2.0000000000000018E-2</v>
      </c>
      <c r="T31" s="11">
        <f t="shared" ca="1" si="13"/>
        <v>2.0000000000000018E-2</v>
      </c>
    </row>
    <row r="32" spans="1:20" ht="15" x14ac:dyDescent="0.25">
      <c r="A32" s="2" t="s">
        <v>106</v>
      </c>
      <c r="B32" s="4" t="str">
        <f t="shared" si="11"/>
        <v>From Economic</v>
      </c>
      <c r="D32" s="18">
        <f>'Economic Forecasts'!M$17</f>
        <v>3.7699999999999997E-2</v>
      </c>
      <c r="E32" s="18">
        <f>'Economic Forecasts'!N$17</f>
        <v>3.1600000000000003E-2</v>
      </c>
      <c r="F32" s="17">
        <f>'Economic Forecasts'!O$17</f>
        <v>2.86E-2</v>
      </c>
      <c r="G32" s="17">
        <f>'Economic Forecasts'!P$17</f>
        <v>2.9300000000000003E-2</v>
      </c>
      <c r="H32" s="17">
        <f>'Economic Forecasts'!Q$17</f>
        <v>3.2599999999999997E-2</v>
      </c>
      <c r="I32" s="17">
        <f>'Economic Forecasts'!R$17</f>
        <v>3.8300000000000001E-2</v>
      </c>
      <c r="J32" s="17">
        <f>'Economic Forecasts'!S$17</f>
        <v>4.1500000000000002E-2</v>
      </c>
      <c r="K32" s="11">
        <f ca="1">SUM(J$32,MIN(OFFSET(Assumptions!$B$23,0,$C$1),ABS(OFFSET(Assumptions!$B$16,0,$C$1)-J$32))*SIGN(OFFSET(Assumptions!$B$16,0,$C$1)-J$32))</f>
        <v>4.3500000000000004E-2</v>
      </c>
      <c r="L32" s="11">
        <f ca="1">SUM(K$32,MIN(OFFSET(Assumptions!$B$23,0,$C$1),ABS(OFFSET(Assumptions!$B$16,0,$C$1)-K$32))*SIGN(OFFSET(Assumptions!$B$16,0,$C$1)-K$32))</f>
        <v>4.5500000000000006E-2</v>
      </c>
      <c r="M32" s="11">
        <f ca="1">SUM(L$32,MIN(OFFSET(Assumptions!$B$23,0,$C$1),ABS(OFFSET(Assumptions!$B$16,0,$C$1)-L$32))*SIGN(OFFSET(Assumptions!$B$16,0,$C$1)-L$32))</f>
        <v>4.7500000000000007E-2</v>
      </c>
      <c r="N32" s="11">
        <f ca="1">SUM(M$32,MIN(OFFSET(Assumptions!$B$23,0,$C$1),ABS(OFFSET(Assumptions!$B$16,0,$C$1)-M$32))*SIGN(OFFSET(Assumptions!$B$16,0,$C$1)-M$32))</f>
        <v>4.9500000000000009E-2</v>
      </c>
      <c r="O32" s="11">
        <f ca="1">SUM(N$32,MIN(OFFSET(Assumptions!$B$23,0,$C$1),ABS(OFFSET(Assumptions!$B$16,0,$C$1)-N$32))*SIGN(OFFSET(Assumptions!$B$16,0,$C$1)-N$32))</f>
        <v>5.1500000000000011E-2</v>
      </c>
      <c r="P32" s="11">
        <f ca="1">SUM(O$32,MIN(OFFSET(Assumptions!$B$23,0,$C$1),ABS(OFFSET(Assumptions!$B$16,0,$C$1)-O$32))*SIGN(OFFSET(Assumptions!$B$16,0,$C$1)-O$32))</f>
        <v>5.2999999999999999E-2</v>
      </c>
      <c r="Q32" s="11">
        <f ca="1">SUM(P$32,MIN(OFFSET(Assumptions!$B$23,0,$C$1),ABS(OFFSET(Assumptions!$B$16,0,$C$1)-P$32))*SIGN(OFFSET(Assumptions!$B$16,0,$C$1)-P$32))</f>
        <v>5.2999999999999999E-2</v>
      </c>
      <c r="R32" s="11">
        <f ca="1">SUM(Q$32,MIN(OFFSET(Assumptions!$B$23,0,$C$1),ABS(OFFSET(Assumptions!$B$16,0,$C$1)-Q$32))*SIGN(OFFSET(Assumptions!$B$16,0,$C$1)-Q$32))</f>
        <v>5.2999999999999999E-2</v>
      </c>
      <c r="S32" s="11">
        <f ca="1">SUM(R$32,MIN(OFFSET(Assumptions!$B$23,0,$C$1),ABS(OFFSET(Assumptions!$B$16,0,$C$1)-R$32))*SIGN(OFFSET(Assumptions!$B$16,0,$C$1)-R$32))</f>
        <v>5.2999999999999999E-2</v>
      </c>
      <c r="T32" s="11">
        <f ca="1">SUM(S$32,MIN(OFFSET(Assumptions!$B$23,0,$C$1),ABS(OFFSET(Assumptions!$B$16,0,$C$1)-S$32))*SIGN(OFFSET(Assumptions!$B$16,0,$C$1)-S$32))</f>
        <v>5.2999999999999999E-2</v>
      </c>
    </row>
    <row r="34" spans="1:20" ht="16.5" x14ac:dyDescent="0.25">
      <c r="A34" s="55" t="s">
        <v>283</v>
      </c>
    </row>
    <row r="35" spans="1:20" x14ac:dyDescent="0.2">
      <c r="A35" s="19" t="s">
        <v>140</v>
      </c>
    </row>
    <row r="36" spans="1:20" x14ac:dyDescent="0.2">
      <c r="A36" s="1" t="s">
        <v>665</v>
      </c>
      <c r="B36" s="4"/>
      <c r="D36" s="15">
        <f t="shared" ref="D36" si="14">SUM(D$129,D$137,D$141,D$151,D$155)</f>
        <v>95.013000000000005</v>
      </c>
      <c r="E36" s="15">
        <f t="shared" ref="E36:I36" si="15">SUM(E$129,E$137,E$141,E$151,E$155,E$517)</f>
        <v>98.158999999999992</v>
      </c>
      <c r="F36" s="16">
        <f t="shared" si="15"/>
        <v>104.30000000000001</v>
      </c>
      <c r="G36" s="16">
        <f t="shared" si="15"/>
        <v>107.74</v>
      </c>
      <c r="H36" s="16">
        <f t="shared" si="15"/>
        <v>112.062</v>
      </c>
      <c r="I36" s="16">
        <f t="shared" si="15"/>
        <v>117.75700000000001</v>
      </c>
      <c r="J36" s="16">
        <f t="shared" ref="J36:S36" si="16">SUM(J$129,J$137,J$141,J$151,J$155,J$517)</f>
        <v>122.64100000000001</v>
      </c>
      <c r="K36" s="7">
        <f t="shared" ca="1" si="16"/>
        <v>128.61876862181359</v>
      </c>
      <c r="L36" s="7">
        <f t="shared" ca="1" si="16"/>
        <v>134.97968736960831</v>
      </c>
      <c r="M36" s="7">
        <f t="shared" ca="1" si="16"/>
        <v>141.48402126450767</v>
      </c>
      <c r="N36" s="7">
        <f t="shared" ca="1" si="16"/>
        <v>148.10689828674276</v>
      </c>
      <c r="O36" s="7">
        <f t="shared" ca="1" si="16"/>
        <v>155.17452572782969</v>
      </c>
      <c r="P36" s="7">
        <f t="shared" ca="1" si="16"/>
        <v>162.54072401892739</v>
      </c>
      <c r="Q36" s="7">
        <f t="shared" ca="1" si="16"/>
        <v>170.12369248619339</v>
      </c>
      <c r="R36" s="7">
        <f t="shared" ca="1" si="16"/>
        <v>177.56083829905862</v>
      </c>
      <c r="S36" s="7">
        <f t="shared" ca="1" si="16"/>
        <v>185.15712230688811</v>
      </c>
      <c r="T36" s="7">
        <f ca="1">SUM(T$129,T$137,T$141,T$151,T$155,T$517)</f>
        <v>192.92010456595739</v>
      </c>
    </row>
    <row r="37" spans="1:20" x14ac:dyDescent="0.2">
      <c r="A37" s="1" t="s">
        <v>666</v>
      </c>
      <c r="B37" s="4"/>
      <c r="D37" s="15">
        <f t="shared" ref="D37:I37" si="17">SUM(D$169,D$187,D$193,D$200,D$207,D$214,D$219,D$222,D$516-D$514)</f>
        <v>94.271999999999991</v>
      </c>
      <c r="E37" s="15">
        <f t="shared" si="17"/>
        <v>95.88000000000001</v>
      </c>
      <c r="F37" s="16">
        <f t="shared" si="17"/>
        <v>100.16499999999999</v>
      </c>
      <c r="G37" s="16">
        <f t="shared" si="17"/>
        <v>104.479</v>
      </c>
      <c r="H37" s="16">
        <f t="shared" si="17"/>
        <v>108.126</v>
      </c>
      <c r="I37" s="16">
        <f t="shared" si="17"/>
        <v>111.55099999999999</v>
      </c>
      <c r="J37" s="16">
        <f>SUM(J$169,J$187,J$193,J$200,J$207,J$214,J$219,J$222,J$516-J$514)</f>
        <v>115.72499999999999</v>
      </c>
      <c r="K37" s="7">
        <f ca="1">SUM(K$169,K$187,K$193,K$200,K$207,K$214,K$219,K$222,K$516-K$514)</f>
        <v>120.04148643772074</v>
      </c>
      <c r="L37" s="7">
        <f t="shared" ref="L37:T37" ca="1" si="18">SUM(L$169,L$187,L$193,L$200,L$207,L$214,L$219,L$222,L$516-L$514)</f>
        <v>125.36557449811671</v>
      </c>
      <c r="M37" s="7">
        <f t="shared" ca="1" si="18"/>
        <v>130.9141805389217</v>
      </c>
      <c r="N37" s="7">
        <f t="shared" ca="1" si="18"/>
        <v>136.61368695176111</v>
      </c>
      <c r="O37" s="7">
        <f t="shared" ca="1" si="18"/>
        <v>142.83581504620275</v>
      </c>
      <c r="P37" s="7">
        <f t="shared" ca="1" si="18"/>
        <v>149.32414367729021</v>
      </c>
      <c r="Q37" s="7">
        <f t="shared" ca="1" si="18"/>
        <v>156.04708785357124</v>
      </c>
      <c r="R37" s="7">
        <f t="shared" ca="1" si="18"/>
        <v>162.7150129952737</v>
      </c>
      <c r="S37" s="7">
        <f t="shared" ca="1" si="18"/>
        <v>169.55790331188638</v>
      </c>
      <c r="T37" s="7">
        <f t="shared" ca="1" si="18"/>
        <v>176.61639211688322</v>
      </c>
    </row>
    <row r="38" spans="1:20" x14ac:dyDescent="0.2">
      <c r="A38" s="1" t="s">
        <v>668</v>
      </c>
      <c r="B38" s="4" t="s">
        <v>293</v>
      </c>
      <c r="D38" s="15">
        <f>'Fiscal Forecasts'!D$24</f>
        <v>0.32700000000000001</v>
      </c>
      <c r="E38" s="15">
        <f>'Fiscal Forecasts'!E$24</f>
        <v>0.44800000000000001</v>
      </c>
      <c r="F38" s="16">
        <f>'Fiscal Forecasts'!F$24</f>
        <v>0.43099999999999999</v>
      </c>
      <c r="G38" s="16">
        <f>'Fiscal Forecasts'!G$24</f>
        <v>0.39200000000000002</v>
      </c>
      <c r="H38" s="16">
        <f>'Fiscal Forecasts'!H$24</f>
        <v>0.42099999999999999</v>
      </c>
      <c r="I38" s="16">
        <f>'Fiscal Forecasts'!I$24</f>
        <v>0.46</v>
      </c>
      <c r="J38" s="16">
        <f>'Fiscal Forecasts'!J$24</f>
        <v>0.47599999999999998</v>
      </c>
      <c r="K38" s="7">
        <f ca="1">IF(K$6=OFFSET(Assumptions!$B$8,0,$C$1),AVERAGE(H$38/H$391,I$38/I$391,J$38/J$391),J$38/J$391)*K$391</f>
        <v>0.46333419650311386</v>
      </c>
      <c r="L38" s="7">
        <f ca="1">IF(L$6=OFFSET(Assumptions!$B$8,0,$C$1),AVERAGE(I$38/I$391,J$38/J$391,K$38/K$391),K$38/K$391)*L$391</f>
        <v>0.46960239168159346</v>
      </c>
      <c r="M38" s="7">
        <f ca="1">IF(M$6=OFFSET(Assumptions!$B$8,0,$C$1),AVERAGE(J$38/J$391,K$38/K$391,L$38/L$391),L$38/L$391)*M$391</f>
        <v>0.4762151319194074</v>
      </c>
      <c r="N38" s="7">
        <f ca="1">IF(N$6=OFFSET(Assumptions!$B$8,0,$C$1),AVERAGE(K$38/K$391,L$38/L$391,M$38/M$391),M$38/M$391)*N$391</f>
        <v>0.48311653492452822</v>
      </c>
      <c r="O38" s="7">
        <f ca="1">IF(O$6=OFFSET(Assumptions!$B$8,0,$C$1),AVERAGE(L$38/L$391,M$38/M$391,N$38/N$391),N$38/N$391)*O$391</f>
        <v>0.49031619971775636</v>
      </c>
      <c r="P38" s="7">
        <f ca="1">IF(P$6=OFFSET(Assumptions!$B$8,0,$C$1),AVERAGE(M$38/M$391,N$38/N$391,O$38/O$391),O$38/O$391)*P$391</f>
        <v>0.49782490329477525</v>
      </c>
      <c r="Q38" s="7">
        <f ca="1">IF(Q$6=OFFSET(Assumptions!$B$8,0,$C$1),AVERAGE(N$38/N$391,O$38/O$391,P$38/P$391),P$38/P$391)*Q$391</f>
        <v>0.50565294467194111</v>
      </c>
      <c r="R38" s="7">
        <f ca="1">IF(R$6=OFFSET(Assumptions!$B$8,0,$C$1),AVERAGE(O$38/O$391,P$38/P$391,Q$38/Q$391),Q$38/Q$391)*R$391</f>
        <v>0.5138102667764044</v>
      </c>
      <c r="S38" s="7">
        <f ca="1">IF(S$6=OFFSET(Assumptions!$B$8,0,$C$1),AVERAGE(P$38/P$391,Q$38/Q$391,R$38/R$391),R$38/R$391)*S$391</f>
        <v>0.5223083072214173</v>
      </c>
      <c r="T38" s="7">
        <f ca="1">IF(T$6=OFFSET(Assumptions!$B$8,0,$C$1),AVERAGE(Q$38/Q$391,R$38/R$391,S$38/S$391),S$38/S$391)*T$391</f>
        <v>0.53115797449503099</v>
      </c>
    </row>
    <row r="39" spans="1:20" ht="15" x14ac:dyDescent="0.25">
      <c r="A39" s="2" t="s">
        <v>673</v>
      </c>
      <c r="B39" s="4"/>
      <c r="D39" s="35">
        <f>SUM(D$36,-D$37,-D$38)</f>
        <v>0.41400000000001386</v>
      </c>
      <c r="E39" s="35">
        <f>SUM(E$36,-E$37,-E$38)</f>
        <v>1.8309999999999822</v>
      </c>
      <c r="F39" s="34">
        <f>SUM(F$36,-F$37,-F$38)</f>
        <v>3.7040000000000193</v>
      </c>
      <c r="G39" s="34">
        <f t="shared" ref="G39:T39" si="19">SUM(G$36,-G$37,-G$38)</f>
        <v>2.8689999999999958</v>
      </c>
      <c r="H39" s="34">
        <f t="shared" si="19"/>
        <v>3.514999999999993</v>
      </c>
      <c r="I39" s="34">
        <f t="shared" si="19"/>
        <v>5.7460000000000173</v>
      </c>
      <c r="J39" s="34">
        <f t="shared" si="19"/>
        <v>6.440000000000011</v>
      </c>
      <c r="K39" s="38">
        <f t="shared" ca="1" si="19"/>
        <v>8.1139479875897376</v>
      </c>
      <c r="L39" s="38">
        <f t="shared" ca="1" si="19"/>
        <v>9.1445104798100054</v>
      </c>
      <c r="M39" s="38">
        <f t="shared" ca="1" si="19"/>
        <v>10.09362559366657</v>
      </c>
      <c r="N39" s="38">
        <f t="shared" ca="1" si="19"/>
        <v>11.010094800057123</v>
      </c>
      <c r="O39" s="38">
        <f t="shared" ca="1" si="19"/>
        <v>11.848394481909178</v>
      </c>
      <c r="P39" s="38">
        <f t="shared" ca="1" si="19"/>
        <v>12.718755438342408</v>
      </c>
      <c r="Q39" s="38">
        <f t="shared" ca="1" si="19"/>
        <v>13.57095168795021</v>
      </c>
      <c r="R39" s="38">
        <f t="shared" ca="1" si="19"/>
        <v>14.332015037008516</v>
      </c>
      <c r="S39" s="38">
        <f t="shared" ca="1" si="19"/>
        <v>15.076910687780318</v>
      </c>
      <c r="T39" s="38">
        <f t="shared" ca="1" si="19"/>
        <v>15.772554474579138</v>
      </c>
    </row>
    <row r="40" spans="1:20" x14ac:dyDescent="0.2">
      <c r="A40" s="1" t="s">
        <v>667</v>
      </c>
      <c r="D40" s="15">
        <f t="shared" ref="D40:T40" si="20">D$309</f>
        <v>4.5469999999999997</v>
      </c>
      <c r="E40" s="15">
        <f t="shared" si="20"/>
        <v>-7.5189999999999992</v>
      </c>
      <c r="F40" s="16">
        <f t="shared" si="20"/>
        <v>7.27</v>
      </c>
      <c r="G40" s="16">
        <f t="shared" si="20"/>
        <v>2.593</v>
      </c>
      <c r="H40" s="16">
        <f t="shared" si="20"/>
        <v>2.8570000000000002</v>
      </c>
      <c r="I40" s="16">
        <f t="shared" si="20"/>
        <v>3.1599999999999997</v>
      </c>
      <c r="J40" s="16">
        <f t="shared" si="20"/>
        <v>3.4079999999999999</v>
      </c>
      <c r="K40" s="7">
        <f t="shared" ca="1" si="20"/>
        <v>3.0552781825689337</v>
      </c>
      <c r="L40" s="7">
        <f t="shared" ca="1" si="20"/>
        <v>3.4039193240248538</v>
      </c>
      <c r="M40" s="7">
        <f t="shared" ca="1" si="20"/>
        <v>3.7744758084240626</v>
      </c>
      <c r="N40" s="7">
        <f t="shared" ca="1" si="20"/>
        <v>4.166139815709835</v>
      </c>
      <c r="O40" s="7">
        <f t="shared" ca="1" si="20"/>
        <v>4.5785884683030122</v>
      </c>
      <c r="P40" s="7">
        <f t="shared" ca="1" si="20"/>
        <v>4.9828513203601199</v>
      </c>
      <c r="Q40" s="7">
        <f t="shared" ca="1" si="20"/>
        <v>5.3107257059952522</v>
      </c>
      <c r="R40" s="7">
        <f t="shared" ca="1" si="20"/>
        <v>5.6359988468237168</v>
      </c>
      <c r="S40" s="7">
        <f t="shared" ca="1" si="20"/>
        <v>5.9599340122091844</v>
      </c>
      <c r="T40" s="7">
        <f t="shared" ca="1" si="20"/>
        <v>6.283725339557316</v>
      </c>
    </row>
    <row r="41" spans="1:20" x14ac:dyDescent="0.2">
      <c r="A41" s="1" t="s">
        <v>669</v>
      </c>
      <c r="B41" s="4" t="str">
        <f>$B$38</f>
        <v>From Fiscal</v>
      </c>
      <c r="D41" s="15">
        <f>'Fiscal Forecasts'!D$29</f>
        <v>0.218</v>
      </c>
      <c r="E41" s="15">
        <f>'Fiscal Forecasts'!E$29</f>
        <v>-1.2E-2</v>
      </c>
      <c r="F41" s="16">
        <f>'Fiscal Forecasts'!F$29</f>
        <v>1.2E-2</v>
      </c>
      <c r="G41" s="16">
        <f>'Fiscal Forecasts'!G$29</f>
        <v>4.8000000000000001E-2</v>
      </c>
      <c r="H41" s="16">
        <f>'Fiscal Forecasts'!H$29</f>
        <v>1.9E-2</v>
      </c>
      <c r="I41" s="16">
        <f>'Fiscal Forecasts'!I$29</f>
        <v>8.9999999999999993E-3</v>
      </c>
      <c r="J41" s="16">
        <f>'Fiscal Forecasts'!J$29</f>
        <v>8.9999999999999993E-3</v>
      </c>
      <c r="K41" s="7">
        <f ca="1">IF(K$6=OFFSET(Assumptions!$B$8,0,$C$1),AVERAGE(H$41/H$391,I$41/I$391,J$41/J$391),J$41/J$391)*K$391</f>
        <v>1.2611115369998779E-2</v>
      </c>
      <c r="L41" s="7">
        <f ca="1">IF(L$6=OFFSET(Assumptions!$B$8,0,$C$1),AVERAGE(I$41/I$391,J$41/J$391,K$41/K$391),K$41/K$391)*L$391</f>
        <v>1.2781724259120445E-2</v>
      </c>
      <c r="M41" s="7">
        <f ca="1">IF(M$6=OFFSET(Assumptions!$B$8,0,$C$1),AVERAGE(J$41/J$391,K$41/K$391,L$41/L$391),L$41/L$391)*M$391</f>
        <v>1.296171103903071E-2</v>
      </c>
      <c r="N41" s="7">
        <f ca="1">IF(N$6=OFFSET(Assumptions!$B$8,0,$C$1),AVERAGE(K$41/K$391,L$41/L$391,M$41/M$391),M$41/M$391)*N$391</f>
        <v>1.3149554695228121E-2</v>
      </c>
      <c r="O41" s="7">
        <f ca="1">IF(O$6=OFFSET(Assumptions!$B$8,0,$C$1),AVERAGE(L$41/L$391,M$41/M$391,N$41/N$391),N$41/N$391)*O$391</f>
        <v>1.3345516495626137E-2</v>
      </c>
      <c r="P41" s="7">
        <f ca="1">IF(P$6=OFFSET(Assumptions!$B$8,0,$C$1),AVERAGE(M$41/M$391,N$41/N$391,O$41/O$391),O$41/O$391)*P$391</f>
        <v>1.3549889770475216E-2</v>
      </c>
      <c r="Q41" s="7">
        <f ca="1">IF(Q$6=OFFSET(Assumptions!$B$8,0,$C$1),AVERAGE(N$41/N$391,O$41/O$391,P$41/P$391),P$41/P$391)*Q$391</f>
        <v>1.3762954840296581E-2</v>
      </c>
      <c r="R41" s="7">
        <f ca="1">IF(R$6=OFFSET(Assumptions!$B$8,0,$C$1),AVERAGE(O$41/O$391,P$41/P$391,Q$41/Q$391),Q$41/Q$391)*R$391</f>
        <v>1.3984982333509973E-2</v>
      </c>
      <c r="S41" s="7">
        <f ca="1">IF(S$6=OFFSET(Assumptions!$B$8,0,$C$1),AVERAGE(P$41/P$391,Q$41/Q$391,R$41/R$391),R$41/R$391)*S$391</f>
        <v>1.4216283561176326E-2</v>
      </c>
      <c r="T41" s="7">
        <f ca="1">IF(T$6=OFFSET(Assumptions!$B$8,0,$C$1),AVERAGE(Q$41/Q$391,R$41/R$391,S$41/S$391),S$41/S$391)*T$391</f>
        <v>1.4457155432529543E-2</v>
      </c>
    </row>
    <row r="42" spans="1:20" x14ac:dyDescent="0.2">
      <c r="A42" s="1" t="s">
        <v>268</v>
      </c>
      <c r="B42" s="4"/>
      <c r="D42" s="15">
        <f>D$313</f>
        <v>1.028</v>
      </c>
      <c r="E42" s="15">
        <f>E$313</f>
        <v>0.307</v>
      </c>
      <c r="F42" s="16">
        <f t="shared" ref="F42:T42" si="21">F$313</f>
        <v>0.51400000000000001</v>
      </c>
      <c r="G42" s="16">
        <f t="shared" si="21"/>
        <v>0.20599999999999999</v>
      </c>
      <c r="H42" s="16">
        <f t="shared" si="21"/>
        <v>0.245</v>
      </c>
      <c r="I42" s="16">
        <f t="shared" si="21"/>
        <v>0.28100000000000003</v>
      </c>
      <c r="J42" s="16">
        <f t="shared" si="21"/>
        <v>0.29899999999999999</v>
      </c>
      <c r="K42" s="7">
        <f t="shared" ca="1" si="21"/>
        <v>0.29843767293152601</v>
      </c>
      <c r="L42" s="7">
        <f t="shared" ca="1" si="21"/>
        <v>0.31153115743444115</v>
      </c>
      <c r="M42" s="7">
        <f t="shared" ca="1" si="21"/>
        <v>0.32514500572720406</v>
      </c>
      <c r="N42" s="7">
        <f t="shared" ca="1" si="21"/>
        <v>0.33933840419045513</v>
      </c>
      <c r="O42" s="7">
        <f t="shared" ca="1" si="21"/>
        <v>0.3540037815249224</v>
      </c>
      <c r="P42" s="7">
        <f t="shared" ca="1" si="21"/>
        <v>0.36919905814428133</v>
      </c>
      <c r="Q42" s="7">
        <f t="shared" ca="1" si="21"/>
        <v>0.38490073205307368</v>
      </c>
      <c r="R42" s="7">
        <f t="shared" ca="1" si="21"/>
        <v>0.40109129452983916</v>
      </c>
      <c r="S42" s="7">
        <f t="shared" ca="1" si="21"/>
        <v>0.41784423851452485</v>
      </c>
      <c r="T42" s="7">
        <f t="shared" ca="1" si="21"/>
        <v>0.43513354719559166</v>
      </c>
    </row>
    <row r="43" spans="1:20" ht="15" x14ac:dyDescent="0.25">
      <c r="A43" s="2" t="s">
        <v>674</v>
      </c>
      <c r="B43" s="4"/>
      <c r="D43" s="35">
        <f>SUM(D$39,D$40,-D$41,D$42)</f>
        <v>5.7710000000000132</v>
      </c>
      <c r="E43" s="35">
        <f>SUM(E$39,E$40,-E$41,E$42)</f>
        <v>-5.3690000000000166</v>
      </c>
      <c r="F43" s="34">
        <f>SUM(F$39,F$40,-F$41,F$42)</f>
        <v>11.476000000000017</v>
      </c>
      <c r="G43" s="34">
        <f t="shared" ref="G43:T43" si="22">SUM(G$39,G$40,-G$41,G$42)</f>
        <v>5.6199999999999966</v>
      </c>
      <c r="H43" s="34">
        <f t="shared" si="22"/>
        <v>6.5979999999999928</v>
      </c>
      <c r="I43" s="34">
        <f t="shared" si="22"/>
        <v>9.1780000000000168</v>
      </c>
      <c r="J43" s="34">
        <f t="shared" si="22"/>
        <v>10.138000000000011</v>
      </c>
      <c r="K43" s="38">
        <f t="shared" ca="1" si="22"/>
        <v>11.455052727720197</v>
      </c>
      <c r="L43" s="38">
        <f t="shared" ca="1" si="22"/>
        <v>12.847179237010179</v>
      </c>
      <c r="M43" s="38">
        <f t="shared" ca="1" si="22"/>
        <v>14.180284696778806</v>
      </c>
      <c r="N43" s="38">
        <f t="shared" ca="1" si="22"/>
        <v>15.502423465262185</v>
      </c>
      <c r="O43" s="38">
        <f t="shared" ca="1" si="22"/>
        <v>16.76764121524149</v>
      </c>
      <c r="P43" s="38">
        <f t="shared" ca="1" si="22"/>
        <v>18.057255927076337</v>
      </c>
      <c r="Q43" s="38">
        <f t="shared" ca="1" si="22"/>
        <v>19.25281517115824</v>
      </c>
      <c r="R43" s="38">
        <f t="shared" ca="1" si="22"/>
        <v>20.355120196028558</v>
      </c>
      <c r="S43" s="38">
        <f t="shared" ca="1" si="22"/>
        <v>21.440472654942852</v>
      </c>
      <c r="T43" s="38">
        <f t="shared" ca="1" si="22"/>
        <v>22.476956205899512</v>
      </c>
    </row>
    <row r="44" spans="1:20" ht="15" x14ac:dyDescent="0.25">
      <c r="A44" s="27" t="s">
        <v>675</v>
      </c>
      <c r="D44" s="6" t="str">
        <f>IF(ROUND(D$37-SUM(D$175,D$207,D$219,D$222,D$227,D$233,D$242,D$250,D$254,D$258,D$265,D$272,D$276,D$280,D$284,D$288,D$292,D$516-D$514),3)=0,"OK","ERROR")</f>
        <v>OK</v>
      </c>
      <c r="E44" s="6" t="str">
        <f>IF(ROUND(E$37-SUM(E$175,E$207,E$219,E$222,E$227,E$233,E$242,E$250,E$254,E$258,E$265,E$272,E$276,E$280,E$284,E$288,E$292,E$516-E$514),3)=0,"OK","ERROR")</f>
        <v>OK</v>
      </c>
      <c r="F44" s="6" t="str">
        <f t="shared" ref="F44:T44" si="23">IF(ROUND(F$37-SUM(F$175,F$207,F$219,F$222,F$227,F$233,F$242,F$250,F$254,F$258,F$265,F$272,F$276,F$280,F$284,F$288,F$292,F$516-F$514),3)=0,"OK","ERROR")</f>
        <v>OK</v>
      </c>
      <c r="G44" s="6" t="str">
        <f t="shared" si="23"/>
        <v>OK</v>
      </c>
      <c r="H44" s="6" t="str">
        <f t="shared" si="23"/>
        <v>OK</v>
      </c>
      <c r="I44" s="6" t="str">
        <f t="shared" si="23"/>
        <v>OK</v>
      </c>
      <c r="J44" s="6" t="str">
        <f t="shared" si="23"/>
        <v>OK</v>
      </c>
      <c r="K44" s="6" t="str">
        <f t="shared" ca="1" si="23"/>
        <v>OK</v>
      </c>
      <c r="L44" s="6" t="str">
        <f t="shared" ca="1" si="23"/>
        <v>OK</v>
      </c>
      <c r="M44" s="6" t="str">
        <f t="shared" ca="1" si="23"/>
        <v>OK</v>
      </c>
      <c r="N44" s="6" t="str">
        <f t="shared" ca="1" si="23"/>
        <v>OK</v>
      </c>
      <c r="O44" s="6" t="str">
        <f t="shared" ca="1" si="23"/>
        <v>OK</v>
      </c>
      <c r="P44" s="6" t="str">
        <f t="shared" ca="1" si="23"/>
        <v>OK</v>
      </c>
      <c r="Q44" s="6" t="str">
        <f t="shared" ca="1" si="23"/>
        <v>OK</v>
      </c>
      <c r="R44" s="6" t="str">
        <f t="shared" ca="1" si="23"/>
        <v>OK</v>
      </c>
      <c r="S44" s="6" t="str">
        <f t="shared" ca="1" si="23"/>
        <v>OK</v>
      </c>
      <c r="T44" s="6" t="str">
        <f t="shared" ca="1" si="23"/>
        <v>OK</v>
      </c>
    </row>
    <row r="45" spans="1:20" ht="15" x14ac:dyDescent="0.25">
      <c r="A45" s="1" t="s">
        <v>671</v>
      </c>
      <c r="D45" s="40">
        <f>SUM(D$131,D$134,D$140,D$147,D$154,D$511)</f>
        <v>72.212999999999994</v>
      </c>
      <c r="E45" s="40">
        <f>SUM(E$131,E$134,E$140,E$147,E$154,E$511)</f>
        <v>76.120999999999995</v>
      </c>
      <c r="F45" s="39">
        <f>SUM(F$131,F$134,F$140,F$147,F$154,F$511)</f>
        <v>81.843000000000018</v>
      </c>
      <c r="G45" s="39">
        <f t="shared" ref="G45:T45" si="24">SUM(G$131,G$134,G$140,G$147,G$154,G$511)</f>
        <v>84.553000000000011</v>
      </c>
      <c r="H45" s="39">
        <f t="shared" si="24"/>
        <v>87.76100000000001</v>
      </c>
      <c r="I45" s="39">
        <f t="shared" si="24"/>
        <v>92.433000000000007</v>
      </c>
      <c r="J45" s="39">
        <f t="shared" si="24"/>
        <v>96.660000000000011</v>
      </c>
      <c r="K45" s="8">
        <f t="shared" ca="1" si="24"/>
        <v>101.25397056611122</v>
      </c>
      <c r="L45" s="8">
        <f t="shared" ca="1" si="24"/>
        <v>106.44640864768741</v>
      </c>
      <c r="M45" s="8">
        <f t="shared" ca="1" si="24"/>
        <v>111.68305135926342</v>
      </c>
      <c r="N45" s="8">
        <f t="shared" ca="1" si="24"/>
        <v>116.98066653756162</v>
      </c>
      <c r="O45" s="8">
        <f t="shared" ca="1" si="24"/>
        <v>122.67661520075194</v>
      </c>
      <c r="P45" s="8">
        <f t="shared" ca="1" si="24"/>
        <v>128.60742290115596</v>
      </c>
      <c r="Q45" s="8">
        <f t="shared" ca="1" si="24"/>
        <v>134.71446342543092</v>
      </c>
      <c r="R45" s="8">
        <f t="shared" ca="1" si="24"/>
        <v>140.65745181970405</v>
      </c>
      <c r="S45" s="8">
        <f t="shared" ca="1" si="24"/>
        <v>146.71225293679194</v>
      </c>
      <c r="T45" s="8">
        <f t="shared" ca="1" si="24"/>
        <v>152.86339578288411</v>
      </c>
    </row>
    <row r="46" spans="1:20" ht="15" x14ac:dyDescent="0.25">
      <c r="A46" s="1" t="s">
        <v>672</v>
      </c>
      <c r="D46" s="40">
        <f>SUM(D$170,D$183,D$190,D$196,D$203,D$211,D$219,D$222,D$510-D$507)</f>
        <v>72.363</v>
      </c>
      <c r="E46" s="40">
        <f>SUM(E$170,E$183,E$190,E$196,E$203,E$211,E$219,E$222,E$510-E$507)</f>
        <v>73.929000000000002</v>
      </c>
      <c r="F46" s="39">
        <f>SUM(F$170,F$183,F$190,F$196,F$203,F$211,F$219,F$222,F$510-F$507)</f>
        <v>76.84</v>
      </c>
      <c r="G46" s="39">
        <f t="shared" ref="G46:T46" si="25">SUM(G$170,G$183,G$190,G$196,G$203,G$211,G$219,G$222,G$510-G$507)</f>
        <v>80.984999999999999</v>
      </c>
      <c r="H46" s="39">
        <f t="shared" si="25"/>
        <v>83.673000000000016</v>
      </c>
      <c r="I46" s="39">
        <f t="shared" si="25"/>
        <v>86.120999999999995</v>
      </c>
      <c r="J46" s="39">
        <f t="shared" si="25"/>
        <v>89.463999999999999</v>
      </c>
      <c r="K46" s="8">
        <f t="shared" ca="1" si="25"/>
        <v>92.178037940751651</v>
      </c>
      <c r="L46" s="8">
        <f t="shared" ca="1" si="25"/>
        <v>96.259768431088034</v>
      </c>
      <c r="M46" s="8">
        <f t="shared" ca="1" si="25"/>
        <v>100.47858825825509</v>
      </c>
      <c r="N46" s="8">
        <f t="shared" ca="1" si="25"/>
        <v>104.82931875076106</v>
      </c>
      <c r="O46" s="8">
        <f t="shared" ca="1" si="25"/>
        <v>109.65159862885689</v>
      </c>
      <c r="P46" s="8">
        <f t="shared" ca="1" si="25"/>
        <v>114.69887447596624</v>
      </c>
      <c r="Q46" s="8">
        <f t="shared" ca="1" si="25"/>
        <v>119.92957929471129</v>
      </c>
      <c r="R46" s="8">
        <f t="shared" ca="1" si="25"/>
        <v>125.11671021923833</v>
      </c>
      <c r="S46" s="8">
        <f t="shared" ca="1" si="25"/>
        <v>130.42648122451808</v>
      </c>
      <c r="T46" s="8">
        <f t="shared" ca="1" si="25"/>
        <v>135.90121237269679</v>
      </c>
    </row>
    <row r="47" spans="1:20" ht="15" x14ac:dyDescent="0.25">
      <c r="A47" s="1" t="s">
        <v>269</v>
      </c>
      <c r="D47" s="40">
        <f t="shared" ref="D47:T47" si="26">SUM(D$45,-D$46,D$305,D$312)</f>
        <v>3.8789999999999947</v>
      </c>
      <c r="E47" s="40">
        <f t="shared" si="26"/>
        <v>-0.91200000000000681</v>
      </c>
      <c r="F47" s="39">
        <f t="shared" si="26"/>
        <v>11.610000000000015</v>
      </c>
      <c r="G47" s="39">
        <f t="shared" si="26"/>
        <v>6.0700000000000118</v>
      </c>
      <c r="H47" s="39">
        <f t="shared" si="26"/>
        <v>6.872999999999994</v>
      </c>
      <c r="I47" s="39">
        <f t="shared" si="26"/>
        <v>9.3170000000000126</v>
      </c>
      <c r="J47" s="39">
        <f t="shared" si="26"/>
        <v>10.407000000000012</v>
      </c>
      <c r="K47" s="8">
        <f t="shared" ca="1" si="26"/>
        <v>11.939742927048398</v>
      </c>
      <c r="L47" s="8">
        <f t="shared" ca="1" si="26"/>
        <v>13.389752309464626</v>
      </c>
      <c r="M47" s="8">
        <f t="shared" ca="1" si="26"/>
        <v>14.768533457570413</v>
      </c>
      <c r="N47" s="8">
        <f t="shared" ca="1" si="26"/>
        <v>16.09748919396451</v>
      </c>
      <c r="O47" s="8">
        <f t="shared" ca="1" si="26"/>
        <v>17.373747253781591</v>
      </c>
      <c r="P47" s="8">
        <f t="shared" ca="1" si="26"/>
        <v>18.651098004058444</v>
      </c>
      <c r="Q47" s="8">
        <f t="shared" ca="1" si="26"/>
        <v>19.844545913180642</v>
      </c>
      <c r="R47" s="8">
        <f t="shared" ca="1" si="26"/>
        <v>20.914695976333132</v>
      </c>
      <c r="S47" s="8">
        <f t="shared" ca="1" si="26"/>
        <v>21.972356625710781</v>
      </c>
      <c r="T47" s="8">
        <f t="shared" ca="1" si="26"/>
        <v>22.960868575273103</v>
      </c>
    </row>
    <row r="48" spans="1:20" ht="15" x14ac:dyDescent="0.25">
      <c r="A48" s="1" t="s">
        <v>676</v>
      </c>
      <c r="B48" s="4"/>
      <c r="D48" s="40">
        <f>SUM(D$45-D$147-D$511)-SUM(D$46-D$203-(D$510-D$507))</f>
        <v>1.1809999999999974</v>
      </c>
      <c r="E48" s="40">
        <f>SUM(E$45-E$147-E$511)-SUM(E$46-E$203-(E$510-E$507))</f>
        <v>3.3930000000000007</v>
      </c>
      <c r="F48" s="39">
        <f>SUM(F$45-F$147-F$511)-SUM(F$46-F$203-(F$510-F$507))</f>
        <v>5.9170000000000158</v>
      </c>
      <c r="G48" s="39">
        <f t="shared" ref="G48:T48" si="27">SUM(G$45-G$147-G$511)-SUM(G$46-G$203-(G$510-G$507))</f>
        <v>4.5010000000000048</v>
      </c>
      <c r="H48" s="39">
        <f t="shared" si="27"/>
        <v>4.9119999999999919</v>
      </c>
      <c r="I48" s="39">
        <f t="shared" si="27"/>
        <v>7.0080000000000098</v>
      </c>
      <c r="J48" s="39">
        <f t="shared" si="27"/>
        <v>7.7200000000000131</v>
      </c>
      <c r="K48" s="8">
        <f t="shared" ca="1" si="27"/>
        <v>9.8771811047849383</v>
      </c>
      <c r="L48" s="8">
        <f t="shared" ca="1" si="27"/>
        <v>10.822952931523488</v>
      </c>
      <c r="M48" s="8">
        <f t="shared" ca="1" si="27"/>
        <v>11.65129468417787</v>
      </c>
      <c r="N48" s="8">
        <f t="shared" ca="1" si="27"/>
        <v>12.377766306054966</v>
      </c>
      <c r="O48" s="8">
        <f t="shared" ca="1" si="27"/>
        <v>13.001362450293016</v>
      </c>
      <c r="P48" s="8">
        <f t="shared" ca="1" si="27"/>
        <v>13.619585537590979</v>
      </c>
      <c r="Q48" s="8">
        <f t="shared" ca="1" si="27"/>
        <v>14.249321336049064</v>
      </c>
      <c r="R48" s="8">
        <f t="shared" ca="1" si="27"/>
        <v>14.70672096584299</v>
      </c>
      <c r="S48" s="8">
        <f t="shared" ca="1" si="27"/>
        <v>15.200415103601799</v>
      </c>
      <c r="T48" s="8">
        <f t="shared" ca="1" si="27"/>
        <v>15.695004136026938</v>
      </c>
    </row>
    <row r="49" spans="1:20" ht="15" x14ac:dyDescent="0.25">
      <c r="A49" s="1" t="s">
        <v>677</v>
      </c>
      <c r="B49" s="4"/>
      <c r="D49" s="40">
        <f t="shared" ref="D49:T49" si="28">D$470</f>
        <v>-1.8270000000000151</v>
      </c>
      <c r="E49" s="40">
        <f t="shared" si="28"/>
        <v>-1.3220000000000134</v>
      </c>
      <c r="F49" s="39">
        <f t="shared" ca="1" si="28"/>
        <v>1.4970000000000017</v>
      </c>
      <c r="G49" s="39">
        <f t="shared" ca="1" si="28"/>
        <v>-1.3559999999999732</v>
      </c>
      <c r="H49" s="39">
        <f t="shared" ca="1" si="28"/>
        <v>-1.3649999999999913</v>
      </c>
      <c r="I49" s="39">
        <f t="shared" ca="1" si="28"/>
        <v>1.7079999999999975</v>
      </c>
      <c r="J49" s="39">
        <f t="shared" ca="1" si="28"/>
        <v>1.0739999999999776</v>
      </c>
      <c r="K49" s="8">
        <f t="shared" ca="1" si="28"/>
        <v>4.4158063744872633</v>
      </c>
      <c r="L49" s="8">
        <f t="shared" ca="1" si="28"/>
        <v>3.50193182126403</v>
      </c>
      <c r="M49" s="8">
        <f t="shared" ca="1" si="28"/>
        <v>3.735118032539722</v>
      </c>
      <c r="N49" s="8">
        <f t="shared" ca="1" si="28"/>
        <v>3.8953636445270661</v>
      </c>
      <c r="O49" s="8">
        <f t="shared" ca="1" si="28"/>
        <v>4.0518349416561783</v>
      </c>
      <c r="P49" s="8">
        <f t="shared" ca="1" si="28"/>
        <v>4.0330995535362515</v>
      </c>
      <c r="Q49" s="8">
        <f t="shared" ca="1" si="28"/>
        <v>3.8105774831358872</v>
      </c>
      <c r="R49" s="8">
        <f t="shared" ca="1" si="28"/>
        <v>3.1418838050942455</v>
      </c>
      <c r="S49" s="8">
        <f t="shared" ca="1" si="28"/>
        <v>2.0877087150690805</v>
      </c>
      <c r="T49" s="8">
        <f t="shared" ca="1" si="28"/>
        <v>0.55731088765566028</v>
      </c>
    </row>
    <row r="50" spans="1:20" ht="15" x14ac:dyDescent="0.25">
      <c r="A50" s="27" t="s">
        <v>678</v>
      </c>
      <c r="D50" s="6" t="str">
        <f>IF(ROUND(D$46-SUM(D$172,D$203,D$219,D$222,D$226,D$230,D$239,D$249,D$253,D$257,D$261,D$271,D$275,D$279,D$283,D$287,D$291,D$510-D$507),3)=0,"OK","ERROR")</f>
        <v>OK</v>
      </c>
      <c r="E50" s="6" t="str">
        <f>IF(ROUND(E$46-SUM(E$172,E$203,E$219,E$222,E$226,E$230,E$239,E$249,E$253,E$257,E$261,E$271,E$275,E$279,E$283,E$287,E$291,E$510-E$507),3)=0,"OK","ERROR")</f>
        <v>OK</v>
      </c>
      <c r="F50" s="6" t="str">
        <f t="shared" ref="F50:T50" si="29">IF(ROUND(F$46-SUM(F$172,F$203,F$219,F$222,F$226,F$230,F$239,F$249,F$253,F$257,F$261,F$271,F$275,F$279,F$283,F$287,F$291,F$510-F$507),3)=0,"OK","ERROR")</f>
        <v>OK</v>
      </c>
      <c r="G50" s="6" t="str">
        <f t="shared" si="29"/>
        <v>OK</v>
      </c>
      <c r="H50" s="6" t="str">
        <f t="shared" si="29"/>
        <v>OK</v>
      </c>
      <c r="I50" s="6" t="str">
        <f t="shared" si="29"/>
        <v>OK</v>
      </c>
      <c r="J50" s="6" t="str">
        <f t="shared" si="29"/>
        <v>OK</v>
      </c>
      <c r="K50" s="6" t="str">
        <f t="shared" ca="1" si="29"/>
        <v>OK</v>
      </c>
      <c r="L50" s="6" t="str">
        <f t="shared" ca="1" si="29"/>
        <v>OK</v>
      </c>
      <c r="M50" s="6" t="str">
        <f t="shared" ca="1" si="29"/>
        <v>OK</v>
      </c>
      <c r="N50" s="6" t="str">
        <f t="shared" ca="1" si="29"/>
        <v>OK</v>
      </c>
      <c r="O50" s="6" t="str">
        <f t="shared" ca="1" si="29"/>
        <v>OK</v>
      </c>
      <c r="P50" s="6" t="str">
        <f t="shared" ca="1" si="29"/>
        <v>OK</v>
      </c>
      <c r="Q50" s="6" t="str">
        <f t="shared" ca="1" si="29"/>
        <v>OK</v>
      </c>
      <c r="R50" s="6" t="str">
        <f t="shared" ca="1" si="29"/>
        <v>OK</v>
      </c>
      <c r="S50" s="6" t="str">
        <f t="shared" ca="1" si="29"/>
        <v>OK</v>
      </c>
      <c r="T50" s="6" t="str">
        <f t="shared" ca="1" si="29"/>
        <v>OK</v>
      </c>
    </row>
    <row r="51" spans="1:20" ht="15" x14ac:dyDescent="0.25">
      <c r="A51" s="27"/>
      <c r="D51" s="6"/>
      <c r="E51" s="6"/>
      <c r="F51" s="6"/>
      <c r="G51" s="6"/>
      <c r="H51" s="6"/>
      <c r="I51" s="6"/>
      <c r="J51" s="6"/>
      <c r="K51" s="6"/>
      <c r="L51" s="6"/>
      <c r="M51" s="6"/>
      <c r="N51" s="6"/>
      <c r="O51" s="6"/>
      <c r="P51" s="6"/>
      <c r="Q51" s="6"/>
      <c r="R51" s="6"/>
      <c r="S51" s="6"/>
      <c r="T51" s="6"/>
    </row>
    <row r="52" spans="1:20" x14ac:dyDescent="0.2">
      <c r="A52" s="19" t="s">
        <v>218</v>
      </c>
    </row>
    <row r="53" spans="1:20" x14ac:dyDescent="0.2">
      <c r="A53" s="1" t="s">
        <v>679</v>
      </c>
      <c r="D53" s="15">
        <f ca="1">SUM(D$319,D$326,D$335,D$344,D$367,D$380,D$384,D$392,D$404,D$410,IF(OFFSET(Assumptions!$B$64,0,$C$1)="Yes",0,SUM(D$422,D$423)),D$509)</f>
        <v>278.70300000000003</v>
      </c>
      <c r="E53" s="15">
        <f ca="1">SUM(E$319,E$326,E$335,E$344,E$367,E$380,E$384,E$392,E$404,E$410,IF(OFFSET(Assumptions!$B$64,0,$C$1)="Yes",0,SUM(E$422,E$423)),E$509)</f>
        <v>292.67900000000003</v>
      </c>
      <c r="F53" s="16">
        <f ca="1">SUM(F$319,F$326,F$335,F$344,F$367,F$380,F$384,F$392,F$404,F$410,IF(OFFSET(Assumptions!$B$64,0,$C$1)="Yes",0,SUM(F$422,F$423)),F$509)</f>
        <v>312.20999999999998</v>
      </c>
      <c r="G53" s="16">
        <f ca="1">SUM(G$319,G$326,G$335,G$344,G$367,G$380,G$384,G$392,G$404,G$410,IF(OFFSET(Assumptions!$B$64,0,$C$1)="Yes",0,SUM(G$422,G$423)),G$509)</f>
        <v>312.25</v>
      </c>
      <c r="H53" s="16">
        <f ca="1">SUM(H$319,H$326,H$335,H$344,H$367,H$380,H$384,H$392,H$404,H$410,IF(OFFSET(Assumptions!$B$64,0,$C$1)="Yes",0,SUM(H$422,H$423)),H$509)</f>
        <v>322.05599999999998</v>
      </c>
      <c r="I53" s="16">
        <f ca="1">SUM(I$319,I$326,I$335,I$344,I$367,I$380,I$384,I$392,I$404,I$410,IF(OFFSET(Assumptions!$B$64,0,$C$1)="Yes",0,SUM(I$422,I$423)),I$509)</f>
        <v>332.87299999999993</v>
      </c>
      <c r="J53" s="16">
        <f ca="1">SUM(J$319,J$326,J$335,J$344,J$367,J$380,J$384,J$392,J$404,J$410,IF(OFFSET(Assumptions!$B$64,0,$C$1)="Yes",0,SUM(J$422,J$423)),J$509)</f>
        <v>339.97699999999998</v>
      </c>
      <c r="K53" s="7">
        <f ca="1">SUM(K$319,K$326,K$335,K$344,K$367,K$380,K$384,K$392,K$404,K$410,IF(OFFSET(Assumptions!$B$64,0,$C$1)="Yes",0,SUM(K$422,K$423)),K$509)</f>
        <v>352.92977049997143</v>
      </c>
      <c r="L53" s="7">
        <f ca="1">SUM(L$319,L$326,L$335,L$344,L$367,L$380,L$384,L$392,L$404,L$410,IF(OFFSET(Assumptions!$B$64,0,$C$1)="Yes",0,SUM(L$422,L$423)),L$509)</f>
        <v>368.72785404094157</v>
      </c>
      <c r="M53" s="7">
        <f ca="1">SUM(M$319,M$326,M$335,M$344,M$367,M$380,M$384,M$392,M$404,M$410,IF(OFFSET(Assumptions!$B$64,0,$C$1)="Yes",0,SUM(M$422,M$423)),M$509)</f>
        <v>385.69304318972905</v>
      </c>
      <c r="N53" s="7">
        <f ca="1">SUM(N$319,N$326,N$335,N$344,N$367,N$380,N$384,N$392,N$404,N$410,IF(OFFSET(Assumptions!$B$64,0,$C$1)="Yes",0,SUM(N$422,N$423)),N$509)</f>
        <v>403.85790681490397</v>
      </c>
      <c r="O53" s="7">
        <f ca="1">SUM(O$319,O$326,O$335,O$344,O$367,O$380,O$384,O$392,O$404,O$410,IF(OFFSET(Assumptions!$B$64,0,$C$1)="Yes",0,SUM(O$422,O$423)),O$509)</f>
        <v>428.81183701464579</v>
      </c>
      <c r="P53" s="7">
        <f ca="1">SUM(P$319,P$326,P$335,P$344,P$367,P$380,P$384,P$392,P$404,P$410,IF(OFFSET(Assumptions!$B$64,0,$C$1)="Yes",0,SUM(P$422,P$423)),P$509)</f>
        <v>455.41726389819576</v>
      </c>
      <c r="Q53" s="7">
        <f ca="1">SUM(Q$319,Q$326,Q$335,Q$344,Q$367,Q$380,Q$384,Q$392,Q$404,Q$410,IF(OFFSET(Assumptions!$B$64,0,$C$1)="Yes",0,SUM(Q$422,Q$423)),Q$509)</f>
        <v>483.50655447077037</v>
      </c>
      <c r="R53" s="7">
        <f ca="1">SUM(R$319,R$326,R$335,R$344,R$367,R$380,R$384,R$392,R$404,R$410,IF(OFFSET(Assumptions!$B$64,0,$C$1)="Yes",0,SUM(R$422,R$423)),R$509)</f>
        <v>512.94451473028198</v>
      </c>
      <c r="S53" s="7">
        <f ca="1">SUM(S$319,S$326,S$335,S$344,S$367,S$380,S$384,S$392,S$404,S$410,IF(OFFSET(Assumptions!$B$64,0,$C$1)="Yes",0,SUM(S$422,S$423)),S$509)</f>
        <v>543.74330523548235</v>
      </c>
      <c r="T53" s="7">
        <f ca="1">SUM(T$319,T$326,T$335,T$344,T$367,T$380,T$384,T$392,T$404,T$410,IF(OFFSET(Assumptions!$B$64,0,$C$1)="Yes",0,SUM(T$422,T$423)),T$509)</f>
        <v>575.83551754155019</v>
      </c>
    </row>
    <row r="54" spans="1:20" x14ac:dyDescent="0.2">
      <c r="A54" s="1" t="s">
        <v>683</v>
      </c>
      <c r="D54" s="15">
        <f t="shared" ref="D54:T54" si="30">SUM(D$68,D$426,D$433,D$437,D$443,D$448,D$452)</f>
        <v>186.46700000000001</v>
      </c>
      <c r="E54" s="15">
        <f t="shared" si="30"/>
        <v>197.15800000000002</v>
      </c>
      <c r="F54" s="16">
        <f t="shared" si="30"/>
        <v>197.499</v>
      </c>
      <c r="G54" s="16">
        <f t="shared" si="30"/>
        <v>191.89999999999998</v>
      </c>
      <c r="H54" s="16">
        <f t="shared" si="30"/>
        <v>195.13800000000003</v>
      </c>
      <c r="I54" s="16">
        <f t="shared" si="30"/>
        <v>196.804</v>
      </c>
      <c r="J54" s="16">
        <f t="shared" si="30"/>
        <v>193.78500000000003</v>
      </c>
      <c r="K54" s="7">
        <f t="shared" ca="1" si="30"/>
        <v>195.28271777225115</v>
      </c>
      <c r="L54" s="7">
        <f t="shared" ca="1" si="30"/>
        <v>198.23362207621116</v>
      </c>
      <c r="M54" s="7">
        <f t="shared" ca="1" si="30"/>
        <v>201.01852652821989</v>
      </c>
      <c r="N54" s="7">
        <f t="shared" ca="1" si="30"/>
        <v>203.6809666881326</v>
      </c>
      <c r="O54" s="7">
        <f t="shared" ca="1" si="30"/>
        <v>211.86725567263301</v>
      </c>
      <c r="P54" s="7">
        <f t="shared" ca="1" si="30"/>
        <v>220.41542662910655</v>
      </c>
      <c r="Q54" s="7">
        <f t="shared" ca="1" si="30"/>
        <v>229.25190203052293</v>
      </c>
      <c r="R54" s="7">
        <f t="shared" ca="1" si="30"/>
        <v>238.33474209400595</v>
      </c>
      <c r="S54" s="7">
        <f t="shared" ca="1" si="30"/>
        <v>247.69305994426355</v>
      </c>
      <c r="T54" s="7">
        <f t="shared" ca="1" si="30"/>
        <v>257.30831604443176</v>
      </c>
    </row>
    <row r="55" spans="1:20" ht="15" x14ac:dyDescent="0.25">
      <c r="A55" s="2" t="s">
        <v>684</v>
      </c>
      <c r="B55" s="4"/>
      <c r="D55" s="35">
        <f ca="1">SUM(D$53,-D$54)</f>
        <v>92.236000000000018</v>
      </c>
      <c r="E55" s="35">
        <f ca="1">SUM(E$53,-E$54)</f>
        <v>95.521000000000015</v>
      </c>
      <c r="F55" s="34">
        <f ca="1">SUM(F$53,-F$54)</f>
        <v>114.71099999999998</v>
      </c>
      <c r="G55" s="34">
        <f t="shared" ref="G55:T55" ca="1" si="31">SUM(G$53,-G$54)</f>
        <v>120.35000000000002</v>
      </c>
      <c r="H55" s="34">
        <f t="shared" ca="1" si="31"/>
        <v>126.91799999999995</v>
      </c>
      <c r="I55" s="34">
        <f t="shared" ca="1" si="31"/>
        <v>136.06899999999993</v>
      </c>
      <c r="J55" s="34">
        <f t="shared" ca="1" si="31"/>
        <v>146.19199999999995</v>
      </c>
      <c r="K55" s="38">
        <f t="shared" ca="1" si="31"/>
        <v>157.64705272772028</v>
      </c>
      <c r="L55" s="38">
        <f t="shared" ca="1" si="31"/>
        <v>170.4942319647304</v>
      </c>
      <c r="M55" s="38">
        <f t="shared" ca="1" si="31"/>
        <v>184.67451666150916</v>
      </c>
      <c r="N55" s="38">
        <f t="shared" ca="1" si="31"/>
        <v>200.17694012677137</v>
      </c>
      <c r="O55" s="38">
        <f t="shared" ca="1" si="31"/>
        <v>216.94458134201278</v>
      </c>
      <c r="P55" s="38">
        <f t="shared" ca="1" si="31"/>
        <v>235.00183726908921</v>
      </c>
      <c r="Q55" s="38">
        <f t="shared" ca="1" si="31"/>
        <v>254.25465244024744</v>
      </c>
      <c r="R55" s="38">
        <f t="shared" ca="1" si="31"/>
        <v>274.60977263627603</v>
      </c>
      <c r="S55" s="38">
        <f t="shared" ca="1" si="31"/>
        <v>296.0502452912188</v>
      </c>
      <c r="T55" s="38">
        <f t="shared" ca="1" si="31"/>
        <v>318.52720149711843</v>
      </c>
    </row>
    <row r="56" spans="1:20" x14ac:dyDescent="0.2">
      <c r="A56" s="1" t="s">
        <v>295</v>
      </c>
      <c r="B56" s="4" t="str">
        <f>$B$38</f>
        <v>From Fiscal</v>
      </c>
      <c r="D56" s="15">
        <f>'Fiscal Forecasts'!D$138</f>
        <v>5.782</v>
      </c>
      <c r="E56" s="15">
        <f>'Fiscal Forecasts'!E$138</f>
        <v>6.1550000000000002</v>
      </c>
      <c r="F56" s="16">
        <f>'Fiscal Forecasts'!F$138</f>
        <v>5.8330000000000002</v>
      </c>
      <c r="G56" s="16">
        <f>'Fiscal Forecasts'!G$138</f>
        <v>5.8380000000000001</v>
      </c>
      <c r="H56" s="16">
        <f>'Fiscal Forecasts'!H$138</f>
        <v>5.7629999999999999</v>
      </c>
      <c r="I56" s="16">
        <f>'Fiscal Forecasts'!I$138</f>
        <v>5.6909999999999998</v>
      </c>
      <c r="J56" s="16">
        <f>'Fiscal Forecasts'!J$138</f>
        <v>5.6230000000000002</v>
      </c>
      <c r="K56" s="7">
        <f ca="1">IF(K$6=OFFSET(Assumptions!$B$8,0,$C$1),AVERAGE(H$56/H$391,I$56/I$391,J$56/J$391),J$56/J$391)*K$391</f>
        <v>5.8290428062815458</v>
      </c>
      <c r="L56" s="7">
        <f ca="1">IF(L$6=OFFSET(Assumptions!$B$8,0,$C$1),AVERAGE(I$56/I$391,J$56/J$391,K$56/K$391),K$56/K$391)*L$391</f>
        <v>5.907900741416146</v>
      </c>
      <c r="M56" s="7">
        <f ca="1">IF(M$6=OFFSET(Assumptions!$B$8,0,$C$1),AVERAGE(J$56/J$391,K$56/K$391,L$56/L$391),L$56/L$391)*M$391</f>
        <v>5.9910932754530313</v>
      </c>
      <c r="N56" s="7">
        <f ca="1">IF(N$6=OFFSET(Assumptions!$B$8,0,$C$1),AVERAGE(K$56/K$391,L$56/L$391,M$56/M$391),M$56/M$391)*N$391</f>
        <v>6.0779173731429132</v>
      </c>
      <c r="O56" s="7">
        <f ca="1">IF(O$6=OFFSET(Assumptions!$B$8,0,$C$1),AVERAGE(L$56/L$391,M$56/M$391,N$56/N$391),N$56/N$391)*O$391</f>
        <v>6.1684937963539355</v>
      </c>
      <c r="P56" s="7">
        <f ca="1">IF(P$6=OFFSET(Assumptions!$B$8,0,$C$1),AVERAGE(M$56/M$391,N$56/N$391,O$56/O$391),O$56/O$391)*P$391</f>
        <v>6.2629581266374617</v>
      </c>
      <c r="Q56" s="7">
        <f ca="1">IF(Q$6=OFFSET(Assumptions!$B$8,0,$C$1),AVERAGE(N$56/N$391,O$56/O$391,P$56/P$391),P$56/P$391)*Q$391</f>
        <v>6.3614399322568662</v>
      </c>
      <c r="R56" s="7">
        <f ca="1">IF(R$6=OFFSET(Assumptions!$B$8,0,$C$1),AVERAGE(O$56/O$391,P$56/P$391,Q$56/Q$391),Q$56/Q$391)*R$391</f>
        <v>6.4640643016438197</v>
      </c>
      <c r="S56" s="7">
        <f ca="1">IF(S$6=OFFSET(Assumptions!$B$8,0,$C$1),AVERAGE(P$56/P$391,Q$56/Q$391,R$56/R$391),R$56/R$391)*S$391</f>
        <v>6.5709751273444628</v>
      </c>
      <c r="T56" s="7">
        <f ca="1">IF(T$6=OFFSET(Assumptions!$B$8,0,$C$1),AVERAGE(Q$56/Q$391,R$56/R$391,S$56/S$391),S$56/S$391)*T$391</f>
        <v>6.6823096451688908</v>
      </c>
    </row>
    <row r="57" spans="1:20" ht="15" x14ac:dyDescent="0.25">
      <c r="A57" s="2" t="s">
        <v>680</v>
      </c>
      <c r="D57" s="35">
        <f ca="1">SUM(D$55,-D$56)</f>
        <v>86.454000000000022</v>
      </c>
      <c r="E57" s="35">
        <f ca="1">SUM(E$55,-E$56)</f>
        <v>89.366000000000014</v>
      </c>
      <c r="F57" s="34">
        <f ca="1">SUM(F$55,-F$56)</f>
        <v>108.87799999999999</v>
      </c>
      <c r="G57" s="34">
        <f t="shared" ref="G57:T57" ca="1" si="32">SUM(G$55,-G$56)</f>
        <v>114.51200000000003</v>
      </c>
      <c r="H57" s="34">
        <f t="shared" ca="1" si="32"/>
        <v>121.15499999999994</v>
      </c>
      <c r="I57" s="34">
        <f t="shared" ca="1" si="32"/>
        <v>130.37799999999993</v>
      </c>
      <c r="J57" s="34">
        <f t="shared" ca="1" si="32"/>
        <v>140.56899999999996</v>
      </c>
      <c r="K57" s="38">
        <f t="shared" ca="1" si="32"/>
        <v>151.81800992143874</v>
      </c>
      <c r="L57" s="38">
        <f t="shared" ca="1" si="32"/>
        <v>164.58633122331426</v>
      </c>
      <c r="M57" s="38">
        <f t="shared" ca="1" si="32"/>
        <v>178.68342338605612</v>
      </c>
      <c r="N57" s="38">
        <f t="shared" ca="1" si="32"/>
        <v>194.09902275362845</v>
      </c>
      <c r="O57" s="38">
        <f t="shared" ca="1" si="32"/>
        <v>210.77608754565884</v>
      </c>
      <c r="P57" s="38">
        <f t="shared" ca="1" si="32"/>
        <v>228.73887914245174</v>
      </c>
      <c r="Q57" s="38">
        <f t="shared" ca="1" si="32"/>
        <v>247.89321250799057</v>
      </c>
      <c r="R57" s="38">
        <f t="shared" ca="1" si="32"/>
        <v>268.14570833463222</v>
      </c>
      <c r="S57" s="38">
        <f t="shared" ca="1" si="32"/>
        <v>289.47927016387433</v>
      </c>
      <c r="T57" s="38">
        <f t="shared" ca="1" si="32"/>
        <v>311.84489185194951</v>
      </c>
    </row>
    <row r="58" spans="1:20" ht="15" x14ac:dyDescent="0.25">
      <c r="A58" s="27" t="s">
        <v>681</v>
      </c>
      <c r="B58" s="4" t="s">
        <v>752</v>
      </c>
      <c r="D58" s="6" t="str">
        <f ca="1">IF(ROUND('Fiscal Forecasts'!D$136-D$55,3)=0,"OK","ERROR")</f>
        <v>OK</v>
      </c>
      <c r="E58" s="6" t="str">
        <f ca="1">IF(ROUND('Fiscal Forecasts'!E$136-E$55,3)=0,"OK","ERROR")</f>
        <v>OK</v>
      </c>
      <c r="F58" s="6" t="str">
        <f ca="1">IF(ROUND('Fiscal Forecasts'!F$136-F$55,3)=0,"OK","ERROR")</f>
        <v>OK</v>
      </c>
      <c r="G58" s="6" t="str">
        <f ca="1">IF(ROUND('Fiscal Forecasts'!G$136-G$55,3)=0,"OK","ERROR")</f>
        <v>OK</v>
      </c>
      <c r="H58" s="6" t="str">
        <f ca="1">IF(ROUND('Fiscal Forecasts'!H$136-H$55,3)=0,"OK","ERROR")</f>
        <v>OK</v>
      </c>
      <c r="I58" s="6" t="str">
        <f ca="1">IF(ROUND('Fiscal Forecasts'!I$136-I$55,3)=0,"OK","ERROR")</f>
        <v>OK</v>
      </c>
      <c r="J58" s="6" t="str">
        <f ca="1">IF(ROUND('Fiscal Forecasts'!J$136-J$55,3)=0,"OK","ERROR")</f>
        <v>OK</v>
      </c>
      <c r="K58" s="53"/>
      <c r="L58" s="53"/>
      <c r="M58" s="53"/>
      <c r="N58" s="53"/>
      <c r="O58" s="53"/>
      <c r="P58" s="53"/>
      <c r="Q58" s="53"/>
      <c r="R58" s="53"/>
      <c r="S58" s="53"/>
      <c r="T58" s="53"/>
    </row>
    <row r="59" spans="1:20" ht="15" x14ac:dyDescent="0.25">
      <c r="A59" s="27" t="s">
        <v>682</v>
      </c>
      <c r="B59" s="4" t="s">
        <v>296</v>
      </c>
      <c r="K59" s="6" t="str">
        <f t="shared" ref="K59:T59" ca="1" si="33">IF(ROUND(K$43-(K$55-J$55),3)=0,"OK","ERROR")</f>
        <v>OK</v>
      </c>
      <c r="L59" s="6" t="str">
        <f t="shared" ca="1" si="33"/>
        <v>OK</v>
      </c>
      <c r="M59" s="6" t="str">
        <f t="shared" ca="1" si="33"/>
        <v>OK</v>
      </c>
      <c r="N59" s="6" t="str">
        <f t="shared" ca="1" si="33"/>
        <v>OK</v>
      </c>
      <c r="O59" s="6" t="str">
        <f t="shared" ca="1" si="33"/>
        <v>OK</v>
      </c>
      <c r="P59" s="6" t="str">
        <f t="shared" ca="1" si="33"/>
        <v>OK</v>
      </c>
      <c r="Q59" s="6" t="str">
        <f t="shared" ca="1" si="33"/>
        <v>OK</v>
      </c>
      <c r="R59" s="6" t="str">
        <f t="shared" ca="1" si="33"/>
        <v>OK</v>
      </c>
      <c r="S59" s="6" t="str">
        <f t="shared" ca="1" si="33"/>
        <v>OK</v>
      </c>
      <c r="T59" s="6" t="str">
        <f t="shared" ca="1" si="33"/>
        <v>OK</v>
      </c>
    </row>
    <row r="60" spans="1:20" x14ac:dyDescent="0.2">
      <c r="A60" s="1" t="s">
        <v>272</v>
      </c>
      <c r="D60" s="15">
        <f ca="1">SUM(D$318,D$325,D$331,D$340,D$364,D$379,D$383,D$389,D$403,D$407,D$422,D$423,D$509)</f>
        <v>158.71300000000002</v>
      </c>
      <c r="E60" s="15">
        <f ca="1">SUM(E$318,E$325,E$331,E$340,E$364,E$379,E$383,E$389,E$403,E$407,E$422,E$423,E$509)</f>
        <v>165.17</v>
      </c>
      <c r="F60" s="16">
        <f ca="1">SUM(F$318,F$325,F$331,F$340,F$364,F$379,F$383,F$389,F$403,F$407,IF(OFFSET(Assumptions!$B$64,0,$C$1)="Yes",0,SUM(F$422,F$423)),F$509)</f>
        <v>179.53700000000001</v>
      </c>
      <c r="G60" s="16">
        <f ca="1">SUM(G$318,G$325,G$331,G$340,G$364,G$379,G$383,G$389,G$403,G$407,IF(OFFSET(Assumptions!$B$64,0,$C$1)="Yes",0,SUM(G$422,G$423)),G$509)</f>
        <v>178.994</v>
      </c>
      <c r="H60" s="16">
        <f ca="1">SUM(H$318,H$325,H$331,H$340,H$364,H$379,H$383,H$389,H$403,H$407,IF(OFFSET(Assumptions!$B$64,0,$C$1)="Yes",0,SUM(H$422,H$423)),H$509)</f>
        <v>185.77699999999999</v>
      </c>
      <c r="I60" s="16">
        <f ca="1">SUM(I$318,I$325,I$331,I$340,I$364,I$379,I$383,I$389,I$403,I$407,IF(OFFSET(Assumptions!$B$64,0,$C$1)="Yes",0,SUM(I$422,I$423)),I$509)</f>
        <v>194.041</v>
      </c>
      <c r="J60" s="16">
        <f ca="1">SUM(J$318,J$325,J$331,J$340,J$364,J$379,J$383,J$389,J$403,J$407,IF(OFFSET(Assumptions!$B$64,0,$C$1)="Yes",0,SUM(J$422,J$423)),J$509)</f>
        <v>198.98100000000002</v>
      </c>
      <c r="K60" s="7">
        <f ca="1">SUM(K$318,K$325,K$331,K$340,K$364,K$379,K$383,K$389,K$403,K$407,IF(OFFSET(Assumptions!$B$64,0,$C$1)="Yes",0,SUM(K$422,K$423)),K$509)</f>
        <v>209.85762221283457</v>
      </c>
      <c r="L60" s="7">
        <f ca="1">SUM(L$318,L$325,L$331,L$340,L$364,L$379,L$383,L$389,L$403,L$407,IF(OFFSET(Assumptions!$B$64,0,$C$1)="Yes",0,SUM(L$422,L$423)),L$509)</f>
        <v>222.78655496836319</v>
      </c>
      <c r="M60" s="7">
        <f ca="1">SUM(M$318,M$325,M$331,M$340,M$364,M$379,M$383,M$389,M$403,M$407,IF(OFFSET(Assumptions!$B$64,0,$C$1)="Yes",0,SUM(M$422,M$423)),M$509)</f>
        <v>236.77837671036028</v>
      </c>
      <c r="N60" s="7">
        <f ca="1">SUM(N$318,N$325,N$331,N$340,N$364,N$379,N$383,N$389,N$403,N$407,IF(OFFSET(Assumptions!$B$64,0,$C$1)="Yes",0,SUM(N$422,N$423)),N$509)</f>
        <v>251.84203768500552</v>
      </c>
      <c r="O60" s="7">
        <f ca="1">SUM(O$318,O$325,O$331,O$340,O$364,O$379,O$383,O$389,O$403,O$407,IF(OFFSET(Assumptions!$B$64,0,$C$1)="Yes",0,SUM(O$422,O$423)),O$509)</f>
        <v>273.53944739456961</v>
      </c>
      <c r="P60" s="7">
        <f ca="1">SUM(P$318,P$325,P$331,P$340,P$364,P$379,P$383,P$389,P$403,P$407,IF(OFFSET(Assumptions!$B$64,0,$C$1)="Yes",0,SUM(P$422,P$423)),P$509)</f>
        <v>296.7745322243465</v>
      </c>
      <c r="Q60" s="7">
        <f ca="1">SUM(Q$318,Q$325,Q$331,Q$340,Q$364,Q$379,Q$383,Q$389,Q$403,Q$407,IF(OFFSET(Assumptions!$B$64,0,$C$1)="Yes",0,SUM(Q$422,Q$423)),Q$509)</f>
        <v>321.36828317458708</v>
      </c>
      <c r="R60" s="7">
        <f ca="1">SUM(R$318,R$325,R$331,R$340,R$364,R$379,R$383,R$389,R$403,R$407,IF(OFFSET(Assumptions!$B$64,0,$C$1)="Yes",0,SUM(R$422,R$423)),R$509)</f>
        <v>347.178835631715</v>
      </c>
      <c r="S60" s="7">
        <f ca="1">SUM(S$318,S$325,S$331,S$340,S$364,S$379,S$383,S$389,S$403,S$407,IF(OFFSET(Assumptions!$B$64,0,$C$1)="Yes",0,SUM(S$422,S$423)),S$509)</f>
        <v>374.21526698359111</v>
      </c>
      <c r="T60" s="7">
        <f ca="1">SUM(T$318,T$325,T$331,T$340,T$364,T$379,T$383,T$389,T$403,T$407,IF(OFFSET(Assumptions!$B$64,0,$C$1)="Yes",0,SUM(T$422,T$423)),T$509)</f>
        <v>402.40177718805177</v>
      </c>
    </row>
    <row r="61" spans="1:20" x14ac:dyDescent="0.2">
      <c r="A61" s="1" t="s">
        <v>685</v>
      </c>
      <c r="B61" s="4" t="str">
        <f>$B$38</f>
        <v>From Fiscal</v>
      </c>
      <c r="D61" s="15">
        <f>'Fiscal Forecasts'!D$179</f>
        <v>95.549000000000007</v>
      </c>
      <c r="E61" s="15">
        <f>'Fiscal Forecasts'!E$179</f>
        <v>95.036000000000001</v>
      </c>
      <c r="F61" s="16">
        <f>'Fiscal Forecasts'!F$179</f>
        <v>94.477999999999994</v>
      </c>
      <c r="G61" s="16">
        <f>'Fiscal Forecasts'!G$179</f>
        <v>91.134</v>
      </c>
      <c r="H61" s="16">
        <f>'Fiscal Forecasts'!H$179</f>
        <v>91.754000000000005</v>
      </c>
      <c r="I61" s="16">
        <f>'Fiscal Forecasts'!I$179</f>
        <v>91.415999999999997</v>
      </c>
      <c r="J61" s="16">
        <f>'Fiscal Forecasts'!J$179</f>
        <v>86.225999999999999</v>
      </c>
      <c r="K61" s="7">
        <f t="shared" ref="K61:T61" ca="1" si="34">K$69</f>
        <v>84.372753988040486</v>
      </c>
      <c r="L61" s="7">
        <f t="shared" ca="1" si="34"/>
        <v>83.034925753418108</v>
      </c>
      <c r="M61" s="7">
        <f t="shared" ca="1" si="34"/>
        <v>81.367424542687957</v>
      </c>
      <c r="N61" s="7">
        <f t="shared" ca="1" si="34"/>
        <v>79.42400306032664</v>
      </c>
      <c r="O61" s="7">
        <f t="shared" ca="1" si="34"/>
        <v>82.822829068108533</v>
      </c>
      <c r="P61" s="7">
        <f t="shared" ca="1" si="34"/>
        <v>86.472461404129902</v>
      </c>
      <c r="Q61" s="7">
        <f t="shared" ca="1" si="34"/>
        <v>90.237635486787397</v>
      </c>
      <c r="R61" s="7">
        <f t="shared" ca="1" si="34"/>
        <v>94.110705041253198</v>
      </c>
      <c r="S61" s="7">
        <f t="shared" ca="1" si="34"/>
        <v>98.108151391056708</v>
      </c>
      <c r="T61" s="7">
        <f t="shared" ca="1" si="34"/>
        <v>102.22565571359536</v>
      </c>
    </row>
    <row r="62" spans="1:20" x14ac:dyDescent="0.2">
      <c r="A62" s="1" t="s">
        <v>1303</v>
      </c>
      <c r="D62" s="15">
        <f t="shared" ref="D62:T62" si="35">SUM(D$426,D$432,D$436,D$440,D$446,D$451)</f>
        <v>29.762</v>
      </c>
      <c r="E62" s="15">
        <f t="shared" si="35"/>
        <v>33.515000000000001</v>
      </c>
      <c r="F62" s="16">
        <f t="shared" si="35"/>
        <v>34.094999999999999</v>
      </c>
      <c r="G62" s="16">
        <f t="shared" si="35"/>
        <v>30.798999999999999</v>
      </c>
      <c r="H62" s="16">
        <f t="shared" si="35"/>
        <v>30.057000000000002</v>
      </c>
      <c r="I62" s="16">
        <f t="shared" si="35"/>
        <v>29.303000000000001</v>
      </c>
      <c r="J62" s="16">
        <f t="shared" si="35"/>
        <v>28.981999999999999</v>
      </c>
      <c r="K62" s="7">
        <f t="shared" ca="1" si="35"/>
        <v>29.772125297745717</v>
      </c>
      <c r="L62" s="7">
        <f t="shared" ca="1" si="35"/>
        <v>30.649133978432062</v>
      </c>
      <c r="M62" s="7">
        <f t="shared" ca="1" si="35"/>
        <v>31.539923473588939</v>
      </c>
      <c r="N62" s="7">
        <f t="shared" ca="1" si="35"/>
        <v>32.449516736630962</v>
      </c>
      <c r="O62" s="7">
        <f t="shared" ca="1" si="35"/>
        <v>33.374353184631566</v>
      </c>
      <c r="P62" s="7">
        <f t="shared" ca="1" si="35"/>
        <v>34.308707674328566</v>
      </c>
      <c r="Q62" s="7">
        <f t="shared" ca="1" si="35"/>
        <v>35.292738628731058</v>
      </c>
      <c r="R62" s="7">
        <f t="shared" ca="1" si="35"/>
        <v>36.315525555060105</v>
      </c>
      <c r="S62" s="7">
        <f t="shared" ca="1" si="35"/>
        <v>37.382153931421961</v>
      </c>
      <c r="T62" s="7">
        <f t="shared" ca="1" si="35"/>
        <v>38.490291238070853</v>
      </c>
    </row>
    <row r="63" spans="1:20" ht="15" x14ac:dyDescent="0.25">
      <c r="A63" s="2" t="s">
        <v>347</v>
      </c>
      <c r="B63" s="4"/>
      <c r="D63" s="35">
        <f ca="1">SUM(D$60,-D$61,-D$62)</f>
        <v>33.402000000000015</v>
      </c>
      <c r="E63" s="35">
        <f ca="1">SUM(E$60,-E$61,-E$62)</f>
        <v>36.618999999999986</v>
      </c>
      <c r="F63" s="34">
        <f ca="1">SUM(F$60,-F$61,-F$62)</f>
        <v>50.964000000000013</v>
      </c>
      <c r="G63" s="34">
        <f t="shared" ref="G63:T63" ca="1" si="36">SUM(G$60,-G$61,-G$62)</f>
        <v>57.061</v>
      </c>
      <c r="H63" s="34">
        <f t="shared" ca="1" si="36"/>
        <v>63.96599999999998</v>
      </c>
      <c r="I63" s="34">
        <f t="shared" ca="1" si="36"/>
        <v>73.322000000000003</v>
      </c>
      <c r="J63" s="34">
        <f t="shared" ca="1" si="36"/>
        <v>83.773000000000025</v>
      </c>
      <c r="K63" s="38">
        <f t="shared" ca="1" si="36"/>
        <v>95.712742927048367</v>
      </c>
      <c r="L63" s="38">
        <f t="shared" ca="1" si="36"/>
        <v>109.10249523651301</v>
      </c>
      <c r="M63" s="38">
        <f t="shared" ca="1" si="36"/>
        <v>123.87102869408338</v>
      </c>
      <c r="N63" s="38">
        <f t="shared" ca="1" si="36"/>
        <v>139.96851788804793</v>
      </c>
      <c r="O63" s="38">
        <f t="shared" ca="1" si="36"/>
        <v>157.3422651418295</v>
      </c>
      <c r="P63" s="38">
        <f t="shared" ca="1" si="36"/>
        <v>175.99336314588805</v>
      </c>
      <c r="Q63" s="38">
        <f t="shared" ca="1" si="36"/>
        <v>195.83790905906864</v>
      </c>
      <c r="R63" s="38">
        <f t="shared" ca="1" si="36"/>
        <v>216.7526050354017</v>
      </c>
      <c r="S63" s="38">
        <f t="shared" ca="1" si="36"/>
        <v>238.72496166111245</v>
      </c>
      <c r="T63" s="38">
        <f t="shared" ca="1" si="36"/>
        <v>261.68583023638553</v>
      </c>
    </row>
    <row r="64" spans="1:20" ht="15" x14ac:dyDescent="0.25">
      <c r="A64" s="27" t="s">
        <v>348</v>
      </c>
      <c r="B64" s="4" t="str">
        <f>$B$58</f>
        <v>History &amp; Forecast only</v>
      </c>
      <c r="D64" s="6" t="str">
        <f ca="1">IF(ROUND('Fiscal Forecasts'!D$187-D$63,3)=0,"OK","ERROR")</f>
        <v>OK</v>
      </c>
      <c r="E64" s="6" t="str">
        <f ca="1">IF(ROUND('Fiscal Forecasts'!E$187-E$63,3)=0,"OK","ERROR")</f>
        <v>OK</v>
      </c>
      <c r="F64" s="6" t="str">
        <f ca="1">IF(ROUND('Fiscal Forecasts'!F$187-F$63,3)=0,"OK","ERROR")</f>
        <v>OK</v>
      </c>
      <c r="G64" s="6" t="str">
        <f ca="1">IF(ROUND('Fiscal Forecasts'!G$187-G$63,3)=0,"OK","ERROR")</f>
        <v>OK</v>
      </c>
      <c r="H64" s="6" t="str">
        <f ca="1">IF(ROUND('Fiscal Forecasts'!H$187-H$63,3)=0,"OK","ERROR")</f>
        <v>OK</v>
      </c>
      <c r="I64" s="6" t="str">
        <f ca="1">IF(ROUND('Fiscal Forecasts'!I$187-I$63,3)=0,"OK","ERROR")</f>
        <v>OK</v>
      </c>
      <c r="J64" s="6" t="str">
        <f ca="1">IF(ROUND('Fiscal Forecasts'!J$187-J$63,3)=0,"OK","ERROR")</f>
        <v>OK</v>
      </c>
    </row>
    <row r="65" spans="1:20" ht="15" x14ac:dyDescent="0.25">
      <c r="A65" s="27" t="s">
        <v>349</v>
      </c>
      <c r="B65" s="4" t="str">
        <f>$B$59</f>
        <v>Projected Years only</v>
      </c>
      <c r="K65" s="6" t="str">
        <f t="shared" ref="K65:T65" ca="1" si="37">IF(ROUND(K$47-(K$63-J$63)-(J$69-J$61),3)=0,"OK","ERROR")</f>
        <v>OK</v>
      </c>
      <c r="L65" s="6" t="str">
        <f t="shared" ca="1" si="37"/>
        <v>OK</v>
      </c>
      <c r="M65" s="6" t="str">
        <f t="shared" ca="1" si="37"/>
        <v>OK</v>
      </c>
      <c r="N65" s="6" t="str">
        <f t="shared" ca="1" si="37"/>
        <v>OK</v>
      </c>
      <c r="O65" s="6" t="str">
        <f t="shared" ca="1" si="37"/>
        <v>OK</v>
      </c>
      <c r="P65" s="6" t="str">
        <f t="shared" ca="1" si="37"/>
        <v>OK</v>
      </c>
      <c r="Q65" s="6" t="str">
        <f t="shared" ca="1" si="37"/>
        <v>OK</v>
      </c>
      <c r="R65" s="6" t="str">
        <f t="shared" ca="1" si="37"/>
        <v>OK</v>
      </c>
      <c r="S65" s="6" t="str">
        <f t="shared" ca="1" si="37"/>
        <v>OK</v>
      </c>
      <c r="T65" s="6" t="str">
        <f t="shared" ca="1" si="37"/>
        <v>OK</v>
      </c>
    </row>
    <row r="66" spans="1:20" ht="15" x14ac:dyDescent="0.25">
      <c r="A66" s="27"/>
      <c r="B66" s="4"/>
      <c r="K66" s="6"/>
      <c r="L66" s="6"/>
      <c r="M66" s="6"/>
      <c r="N66" s="6"/>
      <c r="O66" s="6"/>
      <c r="P66" s="6"/>
      <c r="Q66" s="6"/>
      <c r="R66" s="6"/>
      <c r="S66" s="6"/>
      <c r="T66" s="6"/>
    </row>
    <row r="67" spans="1:20" ht="15" x14ac:dyDescent="0.25">
      <c r="A67" s="19" t="s">
        <v>243</v>
      </c>
      <c r="K67" s="53"/>
    </row>
    <row r="68" spans="1:20" x14ac:dyDescent="0.2">
      <c r="A68" s="1" t="s">
        <v>294</v>
      </c>
      <c r="B68" s="4" t="str">
        <f>$B$38</f>
        <v>From Fiscal</v>
      </c>
      <c r="D68" s="15">
        <f>D$515</f>
        <v>112.58</v>
      </c>
      <c r="E68" s="15">
        <f t="shared" ref="E68:J68" si="38">E$515</f>
        <v>113.956</v>
      </c>
      <c r="F68" s="16">
        <f t="shared" si="38"/>
        <v>112.962</v>
      </c>
      <c r="G68" s="16">
        <f t="shared" si="38"/>
        <v>110.59399999999999</v>
      </c>
      <c r="H68" s="16">
        <f t="shared" si="38"/>
        <v>113.185</v>
      </c>
      <c r="I68" s="16">
        <f t="shared" si="38"/>
        <v>113.94</v>
      </c>
      <c r="J68" s="16">
        <f t="shared" si="38"/>
        <v>109.46599999999999</v>
      </c>
      <c r="K68" s="7">
        <f ca="1">K$515</f>
        <v>107.77562742820098</v>
      </c>
      <c r="L68" s="7">
        <f t="shared" ref="L68:T68" ca="1" si="39">L$515</f>
        <v>107.35980477831401</v>
      </c>
      <c r="M68" s="7">
        <f t="shared" ca="1" si="39"/>
        <v>106.69411526972127</v>
      </c>
      <c r="N68" s="7">
        <f t="shared" ca="1" si="39"/>
        <v>105.77724777720067</v>
      </c>
      <c r="O68" s="7">
        <f t="shared" ca="1" si="39"/>
        <v>110.36537963306924</v>
      </c>
      <c r="P68" s="7">
        <f t="shared" ca="1" si="39"/>
        <v>115.2359313027394</v>
      </c>
      <c r="Q68" s="7">
        <f t="shared" ca="1" si="39"/>
        <v>120.27482371160617</v>
      </c>
      <c r="R68" s="7">
        <f t="shared" ca="1" si="39"/>
        <v>125.44583823618035</v>
      </c>
      <c r="S68" s="7">
        <f t="shared" ca="1" si="39"/>
        <v>130.74366462127804</v>
      </c>
      <c r="T68" s="7">
        <f t="shared" ca="1" si="39"/>
        <v>136.1483663128902</v>
      </c>
    </row>
    <row r="69" spans="1:20" x14ac:dyDescent="0.2">
      <c r="A69" s="1" t="s">
        <v>350</v>
      </c>
      <c r="B69" s="4"/>
      <c r="D69" s="15">
        <f t="shared" ref="D69:I69" si="40">D$508</f>
        <v>95.649000000000001</v>
      </c>
      <c r="E69" s="15">
        <f t="shared" si="40"/>
        <v>95.037000000000006</v>
      </c>
      <c r="F69" s="16">
        <f t="shared" si="40"/>
        <v>94.478999999999999</v>
      </c>
      <c r="G69" s="16">
        <f t="shared" si="40"/>
        <v>91.134</v>
      </c>
      <c r="H69" s="16">
        <f t="shared" si="40"/>
        <v>91.754000000000005</v>
      </c>
      <c r="I69" s="16">
        <f t="shared" si="40"/>
        <v>91.415999999999997</v>
      </c>
      <c r="J69" s="16">
        <f>J$508</f>
        <v>86.225999999999999</v>
      </c>
      <c r="K69" s="7">
        <f ca="1">K$508</f>
        <v>84.372753988040486</v>
      </c>
      <c r="L69" s="7">
        <f t="shared" ref="L69:T69" ca="1" si="41">L$508</f>
        <v>83.034925753418108</v>
      </c>
      <c r="M69" s="7">
        <f t="shared" ca="1" si="41"/>
        <v>81.367424542687957</v>
      </c>
      <c r="N69" s="7">
        <f t="shared" ca="1" si="41"/>
        <v>79.42400306032664</v>
      </c>
      <c r="O69" s="7">
        <f t="shared" ca="1" si="41"/>
        <v>82.822829068108533</v>
      </c>
      <c r="P69" s="7">
        <f t="shared" ca="1" si="41"/>
        <v>86.472461404129902</v>
      </c>
      <c r="Q69" s="7">
        <f t="shared" ca="1" si="41"/>
        <v>90.237635486787397</v>
      </c>
      <c r="R69" s="7">
        <f t="shared" ca="1" si="41"/>
        <v>94.110705041253198</v>
      </c>
      <c r="S69" s="7">
        <f t="shared" ca="1" si="41"/>
        <v>98.108151391056708</v>
      </c>
      <c r="T69" s="7">
        <f t="shared" ca="1" si="41"/>
        <v>102.22565571359536</v>
      </c>
    </row>
    <row r="70" spans="1:20" x14ac:dyDescent="0.2">
      <c r="A70" s="1" t="s">
        <v>715</v>
      </c>
      <c r="B70" s="4" t="str">
        <f>$B$38</f>
        <v>From Fiscal</v>
      </c>
      <c r="D70" s="15">
        <f>'Fiscal Forecasts'!D$141</f>
        <v>2.4929999999999999</v>
      </c>
      <c r="E70" s="15">
        <f>'Fiscal Forecasts'!E$141</f>
        <v>1.754</v>
      </c>
      <c r="F70" s="16">
        <f>'Fiscal Forecasts'!F$141</f>
        <v>1.4370000000000001</v>
      </c>
      <c r="G70" s="16">
        <f>'Fiscal Forecasts'!G$141</f>
        <v>1.4450000000000001</v>
      </c>
      <c r="H70" s="16">
        <f>'Fiscal Forecasts'!H$141</f>
        <v>1.4570000000000001</v>
      </c>
      <c r="I70" s="16">
        <f>'Fiscal Forecasts'!I$141</f>
        <v>1.466</v>
      </c>
      <c r="J70" s="16">
        <f>'Fiscal Forecasts'!J$141</f>
        <v>1.4690000000000001</v>
      </c>
      <c r="K70" s="7">
        <f ca="1">OFFSET(Assumptions!$B$74,0,$C$1)*J$329</f>
        <v>2.0192369999999999</v>
      </c>
      <c r="L70" s="7">
        <f ca="1">OFFSET(Assumptions!$B$74,0,$C$1)*K$329</f>
        <v>2.2244517911377728</v>
      </c>
      <c r="M70" s="7">
        <f ca="1">OFFSET(Assumptions!$B$74,0,$C$1)*L$329</f>
        <v>2.4298637203221132</v>
      </c>
      <c r="N70" s="7">
        <f ca="1">OFFSET(Assumptions!$B$74,0,$C$1)*M$329</f>
        <v>2.6394913610141386</v>
      </c>
      <c r="O70" s="7">
        <f ca="1">OFFSET(Assumptions!$B$74,0,$C$1)*N$329</f>
        <v>2.8535731479807023</v>
      </c>
      <c r="P70" s="7">
        <f ca="1">OFFSET(Assumptions!$B$74,0,$C$1)*O$329</f>
        <v>3.0706010086594766</v>
      </c>
      <c r="Q70" s="7">
        <f ca="1">OFFSET(Assumptions!$B$74,0,$C$1)*P$329</f>
        <v>3.2887757519943466</v>
      </c>
      <c r="R70" s="7">
        <f ca="1">OFFSET(Assumptions!$B$74,0,$C$1)*Q$329</f>
        <v>3.5044063135263368</v>
      </c>
      <c r="S70" s="7">
        <f ca="1">OFFSET(Assumptions!$B$74,0,$C$1)*R$329</f>
        <v>3.7173720028243267</v>
      </c>
      <c r="T70" s="7">
        <f ca="1">OFFSET(Assumptions!$B$74,0,$C$1)*S$329</f>
        <v>3.929231180436783</v>
      </c>
    </row>
    <row r="71" spans="1:20" ht="15" x14ac:dyDescent="0.25">
      <c r="A71" s="2" t="s">
        <v>351</v>
      </c>
      <c r="D71" s="35">
        <f>SUM(D$69,-D$70)</f>
        <v>93.156000000000006</v>
      </c>
      <c r="E71" s="35">
        <f>SUM(E$69,-E$70)</f>
        <v>93.283000000000001</v>
      </c>
      <c r="F71" s="34">
        <f>SUM(F$69,-F$70)</f>
        <v>93.042000000000002</v>
      </c>
      <c r="G71" s="34">
        <f t="shared" ref="G71:T71" si="42">SUM(G$69,-G$70)</f>
        <v>89.689000000000007</v>
      </c>
      <c r="H71" s="34">
        <f t="shared" si="42"/>
        <v>90.297000000000011</v>
      </c>
      <c r="I71" s="34">
        <f t="shared" si="42"/>
        <v>89.95</v>
      </c>
      <c r="J71" s="34">
        <f t="shared" si="42"/>
        <v>84.757000000000005</v>
      </c>
      <c r="K71" s="38">
        <f t="shared" ca="1" si="42"/>
        <v>82.353516988040482</v>
      </c>
      <c r="L71" s="38">
        <f t="shared" ca="1" si="42"/>
        <v>80.810473962280341</v>
      </c>
      <c r="M71" s="38">
        <f t="shared" ca="1" si="42"/>
        <v>78.937560822365839</v>
      </c>
      <c r="N71" s="38">
        <f t="shared" ca="1" si="42"/>
        <v>76.784511699312503</v>
      </c>
      <c r="O71" s="38">
        <f t="shared" ca="1" si="42"/>
        <v>79.969255920127836</v>
      </c>
      <c r="P71" s="38">
        <f t="shared" ca="1" si="42"/>
        <v>83.401860395470422</v>
      </c>
      <c r="Q71" s="38">
        <f t="shared" ca="1" si="42"/>
        <v>86.948859734793047</v>
      </c>
      <c r="R71" s="38">
        <f t="shared" ca="1" si="42"/>
        <v>90.606298727726866</v>
      </c>
      <c r="S71" s="38">
        <f t="shared" ca="1" si="42"/>
        <v>94.390779388232374</v>
      </c>
      <c r="T71" s="38">
        <f t="shared" ca="1" si="42"/>
        <v>98.296424533158572</v>
      </c>
    </row>
    <row r="72" spans="1:20" x14ac:dyDescent="0.2">
      <c r="A72" s="1" t="s">
        <v>352</v>
      </c>
      <c r="B72" s="4" t="str">
        <f>$B$38</f>
        <v>From Fiscal</v>
      </c>
      <c r="D72" s="15">
        <f>SUM('Fiscal Forecasts'!D$143,D$509)</f>
        <v>76.433999999999997</v>
      </c>
      <c r="E72" s="15">
        <f>SUM('Fiscal Forecasts'!E$143,E$509)</f>
        <v>75.793000000000006</v>
      </c>
      <c r="F72" s="16">
        <f>SUM('Fiscal Forecasts'!F$143,F$509)</f>
        <v>80.343000000000004</v>
      </c>
      <c r="G72" s="16">
        <f>SUM('Fiscal Forecasts'!G$143,G$509)</f>
        <v>76.272999999999996</v>
      </c>
      <c r="H72" s="16">
        <f>SUM('Fiscal Forecasts'!H$143,H$509)</f>
        <v>77.998999999999995</v>
      </c>
      <c r="I72" s="16">
        <f>SUM('Fiscal Forecasts'!I$143,I$509)</f>
        <v>81.927999999999997</v>
      </c>
      <c r="J72" s="16">
        <f>SUM('Fiscal Forecasts'!J$143,J$509)</f>
        <v>82.801000000000002</v>
      </c>
      <c r="K72" s="7">
        <f ca="1">SUM(K$318,K$331,K$340,K$364,K$509)</f>
        <v>89.280215699603346</v>
      </c>
      <c r="L72" s="7">
        <f t="shared" ref="L72:T72" ca="1" si="43">SUM(L$318,L$331,L$340,L$364,L$509)</f>
        <v>96.265156885923318</v>
      </c>
      <c r="M72" s="7">
        <f t="shared" ca="1" si="43"/>
        <v>103.22261891427715</v>
      </c>
      <c r="N72" s="7">
        <f t="shared" ca="1" si="43"/>
        <v>110.13352457740299</v>
      </c>
      <c r="O72" s="7">
        <f t="shared" ca="1" si="43"/>
        <v>122.57385290650981</v>
      </c>
      <c r="P72" s="7">
        <f t="shared" ca="1" si="43"/>
        <v>135.2523642140676</v>
      </c>
      <c r="Q72" s="7">
        <f t="shared" ca="1" si="43"/>
        <v>147.74241821367937</v>
      </c>
      <c r="R72" s="7">
        <f t="shared" ca="1" si="43"/>
        <v>159.61848958107919</v>
      </c>
      <c r="S72" s="7">
        <f t="shared" ca="1" si="43"/>
        <v>170.54440647498669</v>
      </c>
      <c r="T72" s="7">
        <f t="shared" ca="1" si="43"/>
        <v>180.0350115315224</v>
      </c>
    </row>
    <row r="73" spans="1:20" ht="15" x14ac:dyDescent="0.25">
      <c r="A73" s="2" t="s">
        <v>248</v>
      </c>
      <c r="D73" s="35">
        <f>SUM(D$71,-D$72)</f>
        <v>16.722000000000008</v>
      </c>
      <c r="E73" s="35">
        <f>SUM(E$71,-E$72)</f>
        <v>17.489999999999995</v>
      </c>
      <c r="F73" s="34">
        <f>SUM(F$71,-F$72)</f>
        <v>12.698999999999998</v>
      </c>
      <c r="G73" s="34">
        <f t="shared" ref="G73:T73" si="44">SUM(G$71,-G$72)</f>
        <v>13.416000000000011</v>
      </c>
      <c r="H73" s="34">
        <f t="shared" si="44"/>
        <v>12.298000000000016</v>
      </c>
      <c r="I73" s="34">
        <f t="shared" si="44"/>
        <v>8.0220000000000056</v>
      </c>
      <c r="J73" s="34">
        <f t="shared" si="44"/>
        <v>1.9560000000000031</v>
      </c>
      <c r="K73" s="38">
        <f t="shared" ca="1" si="44"/>
        <v>-6.9266987115628638</v>
      </c>
      <c r="L73" s="38">
        <f t="shared" ca="1" si="44"/>
        <v>-15.454682923642977</v>
      </c>
      <c r="M73" s="38">
        <f t="shared" ca="1" si="44"/>
        <v>-24.28505809191131</v>
      </c>
      <c r="N73" s="38">
        <f t="shared" ca="1" si="44"/>
        <v>-33.349012878090491</v>
      </c>
      <c r="O73" s="38">
        <f t="shared" ca="1" si="44"/>
        <v>-42.604596986381978</v>
      </c>
      <c r="P73" s="38">
        <f t="shared" ca="1" si="44"/>
        <v>-51.850503818597176</v>
      </c>
      <c r="Q73" s="38">
        <f t="shared" ca="1" si="44"/>
        <v>-60.793558478886325</v>
      </c>
      <c r="R73" s="38">
        <f t="shared" ca="1" si="44"/>
        <v>-69.012190853352323</v>
      </c>
      <c r="S73" s="38">
        <f t="shared" ca="1" si="44"/>
        <v>-76.153627086754312</v>
      </c>
      <c r="T73" s="38">
        <f t="shared" ca="1" si="44"/>
        <v>-81.738586998363829</v>
      </c>
    </row>
    <row r="74" spans="1:20" x14ac:dyDescent="0.2">
      <c r="A74" s="1" t="s">
        <v>353</v>
      </c>
      <c r="B74" s="4" t="str">
        <f>$B$38</f>
        <v>From Fiscal</v>
      </c>
      <c r="D74" s="15">
        <f>'Fiscal Forecasts'!D$145</f>
        <v>14.14</v>
      </c>
      <c r="E74" s="15">
        <f>'Fiscal Forecasts'!E$145</f>
        <v>14.612</v>
      </c>
      <c r="F74" s="16">
        <f>'Fiscal Forecasts'!F$145</f>
        <v>12.04</v>
      </c>
      <c r="G74" s="16">
        <f>'Fiscal Forecasts'!G$145</f>
        <v>12.285</v>
      </c>
      <c r="H74" s="16">
        <f>'Fiscal Forecasts'!H$145</f>
        <v>12.433999999999999</v>
      </c>
      <c r="I74" s="16">
        <f>'Fiscal Forecasts'!I$145</f>
        <v>12.368</v>
      </c>
      <c r="J74" s="16">
        <f>'Fiscal Forecasts'!J$145</f>
        <v>12.292</v>
      </c>
      <c r="K74" s="7">
        <f t="shared" ref="K74:T74" ca="1" si="45">SUM(K$362,K$363)</f>
        <v>12.4265061641674</v>
      </c>
      <c r="L74" s="7">
        <f t="shared" ca="1" si="45"/>
        <v>12.596028097739417</v>
      </c>
      <c r="M74" s="7">
        <f t="shared" ca="1" si="45"/>
        <v>12.767539886318565</v>
      </c>
      <c r="N74" s="7">
        <f t="shared" ca="1" si="45"/>
        <v>12.939541499444214</v>
      </c>
      <c r="O74" s="7">
        <f t="shared" ca="1" si="45"/>
        <v>13.111481428996221</v>
      </c>
      <c r="P74" s="7">
        <f t="shared" ca="1" si="45"/>
        <v>13.296805225058339</v>
      </c>
      <c r="Q74" s="7">
        <f t="shared" ca="1" si="45"/>
        <v>13.484305115859907</v>
      </c>
      <c r="R74" s="7">
        <f t="shared" ca="1" si="45"/>
        <v>13.679767562496274</v>
      </c>
      <c r="S74" s="7">
        <f t="shared" ca="1" si="45"/>
        <v>13.879088895515146</v>
      </c>
      <c r="T74" s="7">
        <f t="shared" ca="1" si="45"/>
        <v>14.078951810112102</v>
      </c>
    </row>
    <row r="75" spans="1:20" x14ac:dyDescent="0.2">
      <c r="A75" s="1" t="s">
        <v>354</v>
      </c>
      <c r="B75" s="4" t="str">
        <f>$B$38</f>
        <v>From Fiscal</v>
      </c>
      <c r="D75" s="15">
        <f>'Fiscal Forecasts'!D$146</f>
        <v>29.768999999999998</v>
      </c>
      <c r="E75" s="15">
        <f>'Fiscal Forecasts'!E$146</f>
        <v>29.777999999999999</v>
      </c>
      <c r="F75" s="16">
        <f>'Fiscal Forecasts'!F$146</f>
        <v>35.820999999999998</v>
      </c>
      <c r="G75" s="16">
        <f>'Fiscal Forecasts'!G$146</f>
        <v>36.537999999999997</v>
      </c>
      <c r="H75" s="16">
        <f>'Fiscal Forecasts'!H$146</f>
        <v>38.981999999999999</v>
      </c>
      <c r="I75" s="16">
        <f>'Fiscal Forecasts'!I$146</f>
        <v>41.588000000000001</v>
      </c>
      <c r="J75" s="16">
        <f>'Fiscal Forecasts'!J$146</f>
        <v>46.558999999999997</v>
      </c>
      <c r="K75" s="7">
        <f t="shared" ref="K75:T75" ca="1" si="46">SUM(K$316,K$329,K$338,K$361)</f>
        <v>50.696808263139943</v>
      </c>
      <c r="L75" s="7">
        <f t="shared" ca="1" si="46"/>
        <v>55.378289439899319</v>
      </c>
      <c r="M75" s="7">
        <f t="shared" ca="1" si="46"/>
        <v>60.155849623112928</v>
      </c>
      <c r="N75" s="7">
        <f t="shared" ca="1" si="46"/>
        <v>65.034922907467163</v>
      </c>
      <c r="O75" s="7">
        <f t="shared" ca="1" si="46"/>
        <v>69.981139267122956</v>
      </c>
      <c r="P75" s="7">
        <f t="shared" ca="1" si="46"/>
        <v>74.953493882661846</v>
      </c>
      <c r="Q75" s="7">
        <f t="shared" ca="1" si="46"/>
        <v>79.867864819902564</v>
      </c>
      <c r="R75" s="7">
        <f t="shared" ca="1" si="46"/>
        <v>84.721501459717217</v>
      </c>
      <c r="S75" s="7">
        <f t="shared" ca="1" si="46"/>
        <v>89.549919926233656</v>
      </c>
      <c r="T75" s="7">
        <f t="shared" ca="1" si="46"/>
        <v>94.35452217208676</v>
      </c>
    </row>
    <row r="76" spans="1:20" ht="15" x14ac:dyDescent="0.25">
      <c r="A76" s="2" t="s">
        <v>355</v>
      </c>
      <c r="D76" s="35">
        <f t="shared" ref="D76:T76" si="47">SUM(D$73:D$75)</f>
        <v>60.631000000000007</v>
      </c>
      <c r="E76" s="35">
        <f t="shared" si="47"/>
        <v>61.879999999999995</v>
      </c>
      <c r="F76" s="34">
        <f t="shared" si="47"/>
        <v>60.559999999999995</v>
      </c>
      <c r="G76" s="34">
        <f t="shared" si="47"/>
        <v>62.239000000000004</v>
      </c>
      <c r="H76" s="34">
        <f t="shared" si="47"/>
        <v>63.714000000000013</v>
      </c>
      <c r="I76" s="34">
        <f t="shared" si="47"/>
        <v>61.978000000000009</v>
      </c>
      <c r="J76" s="34">
        <f t="shared" si="47"/>
        <v>60.807000000000002</v>
      </c>
      <c r="K76" s="38">
        <f t="shared" ca="1" si="47"/>
        <v>56.196615715744478</v>
      </c>
      <c r="L76" s="38">
        <f t="shared" ca="1" si="47"/>
        <v>52.519634613995763</v>
      </c>
      <c r="M76" s="38">
        <f t="shared" ca="1" si="47"/>
        <v>48.638331417520185</v>
      </c>
      <c r="N76" s="38">
        <f t="shared" ca="1" si="47"/>
        <v>44.625451528820889</v>
      </c>
      <c r="O76" s="38">
        <f t="shared" ca="1" si="47"/>
        <v>40.488023709737199</v>
      </c>
      <c r="P76" s="38">
        <f t="shared" ca="1" si="47"/>
        <v>36.399795289123006</v>
      </c>
      <c r="Q76" s="38">
        <f t="shared" ca="1" si="47"/>
        <v>32.55861145687615</v>
      </c>
      <c r="R76" s="38">
        <f t="shared" ca="1" si="47"/>
        <v>29.389078168861168</v>
      </c>
      <c r="S76" s="38">
        <f t="shared" ca="1" si="47"/>
        <v>27.27538173499449</v>
      </c>
      <c r="T76" s="38">
        <f t="shared" ca="1" si="47"/>
        <v>26.694886983835033</v>
      </c>
    </row>
    <row r="77" spans="1:20" ht="15" x14ac:dyDescent="0.25">
      <c r="A77" s="27" t="s">
        <v>1301</v>
      </c>
      <c r="B77" s="4" t="str">
        <f>$B$58</f>
        <v>History &amp; Forecast only</v>
      </c>
      <c r="D77" s="6" t="str">
        <f>IF(ROUND('Fiscal Forecasts'!D$147-D$76,3)=0,"OK","ERROR")</f>
        <v>OK</v>
      </c>
      <c r="E77" s="6" t="str">
        <f>IF(ROUND('Fiscal Forecasts'!E$147-E$76,3)=0,"OK","ERROR")</f>
        <v>OK</v>
      </c>
      <c r="F77" s="6" t="str">
        <f>IF(ROUND('Fiscal Forecasts'!F$147-F$76,3)=0,"OK","ERROR")</f>
        <v>OK</v>
      </c>
      <c r="G77" s="6" t="str">
        <f>IF(ROUND('Fiscal Forecasts'!G$147-G$76,3)=0,"OK","ERROR")</f>
        <v>OK</v>
      </c>
      <c r="H77" s="6" t="str">
        <f>IF(ROUND('Fiscal Forecasts'!H$147-H$76,3)=0,"OK","ERROR")</f>
        <v>OK</v>
      </c>
      <c r="I77" s="6" t="str">
        <f>IF(ROUND('Fiscal Forecasts'!I$147-I$76,3)=0,"OK","ERROR")</f>
        <v>OK</v>
      </c>
      <c r="J77" s="6" t="str">
        <f>IF(ROUND('Fiscal Forecasts'!J$147-J$76,3)=0,"OK","ERROR")</f>
        <v>OK</v>
      </c>
    </row>
    <row r="78" spans="1:20" ht="15" x14ac:dyDescent="0.25">
      <c r="A78" s="27"/>
      <c r="B78" s="4"/>
      <c r="D78" s="6"/>
      <c r="E78" s="6"/>
      <c r="F78" s="6"/>
      <c r="G78" s="6"/>
      <c r="H78" s="6"/>
      <c r="I78" s="6"/>
      <c r="J78" s="6"/>
    </row>
    <row r="79" spans="1:20" x14ac:dyDescent="0.2">
      <c r="A79" s="19" t="s">
        <v>180</v>
      </c>
    </row>
    <row r="80" spans="1:20" x14ac:dyDescent="0.2">
      <c r="A80" s="1" t="s">
        <v>181</v>
      </c>
      <c r="B80" s="4" t="str">
        <f>$B$38</f>
        <v>From Fiscal</v>
      </c>
      <c r="D80" s="15">
        <f>'Fiscal Forecasts'!D$70</f>
        <v>64.944999999999993</v>
      </c>
      <c r="E80" s="15">
        <f>'Fiscal Forecasts'!E$70</f>
        <v>69.027000000000001</v>
      </c>
      <c r="F80" s="16">
        <f>'Fiscal Forecasts'!F$70</f>
        <v>73.177999999999997</v>
      </c>
      <c r="G80" s="16">
        <f>'Fiscal Forecasts'!G$70</f>
        <v>76.364000000000004</v>
      </c>
      <c r="H80" s="16">
        <f>'Fiscal Forecasts'!H$70</f>
        <v>79.557000000000002</v>
      </c>
      <c r="I80" s="16">
        <f>'Fiscal Forecasts'!I$70</f>
        <v>84.019000000000005</v>
      </c>
      <c r="J80" s="16">
        <f>'Fiscal Forecasts'!J$70</f>
        <v>87.903999999999996</v>
      </c>
      <c r="K80" s="7">
        <f t="shared" ref="K80:T80" ca="1" si="48">SUM(K$455-K$348,K$130)</f>
        <v>92.194179779019819</v>
      </c>
      <c r="L80" s="7">
        <f t="shared" ca="1" si="48"/>
        <v>96.759470156637775</v>
      </c>
      <c r="M80" s="7">
        <f t="shared" ca="1" si="48"/>
        <v>101.40080871292959</v>
      </c>
      <c r="N80" s="7">
        <f t="shared" ca="1" si="48"/>
        <v>106.08188279350539</v>
      </c>
      <c r="O80" s="7">
        <f t="shared" ca="1" si="48"/>
        <v>110.86388603815099</v>
      </c>
      <c r="P80" s="7">
        <f t="shared" ca="1" si="48"/>
        <v>115.82848983119915</v>
      </c>
      <c r="Q80" s="7">
        <f t="shared" ca="1" si="48"/>
        <v>120.9691942710834</v>
      </c>
      <c r="R80" s="7">
        <f t="shared" ca="1" si="48"/>
        <v>126.07735188400598</v>
      </c>
      <c r="S80" s="7">
        <f t="shared" ca="1" si="48"/>
        <v>131.34340188971885</v>
      </c>
      <c r="T80" s="7">
        <f t="shared" ca="1" si="48"/>
        <v>136.7780505199496</v>
      </c>
    </row>
    <row r="81" spans="1:20" x14ac:dyDescent="0.2">
      <c r="A81" s="1" t="s">
        <v>182</v>
      </c>
      <c r="B81" s="4" t="str">
        <f t="shared" ref="B81:B87" si="49">$B$38</f>
        <v>From Fiscal</v>
      </c>
      <c r="D81" s="15">
        <f>'Fiscal Forecasts'!D$71</f>
        <v>4.7309999999999999</v>
      </c>
      <c r="E81" s="15">
        <f>'Fiscal Forecasts'!E$71</f>
        <v>4.6849999999999996</v>
      </c>
      <c r="F81" s="16">
        <f>'Fiscal Forecasts'!F$71</f>
        <v>4.4800000000000004</v>
      </c>
      <c r="G81" s="16">
        <f>'Fiscal Forecasts'!G$71</f>
        <v>4.431</v>
      </c>
      <c r="H81" s="16">
        <f>'Fiscal Forecasts'!H$71</f>
        <v>4.5410000000000004</v>
      </c>
      <c r="I81" s="16">
        <f>'Fiscal Forecasts'!I$71</f>
        <v>5.0590000000000002</v>
      </c>
      <c r="J81" s="16">
        <f>'Fiscal Forecasts'!J$71</f>
        <v>5.2050000000000001</v>
      </c>
      <c r="K81" s="7">
        <f ca="1">SUM(K$456,IF(K$6=OFFSET(Assumptions!$B$8,0,$C$1),AVERAGE((H$81-H$456)/SUM(H$135,H$136),(I$81-I$456)/SUM(I$135,I$136),(J$81-J$456)/SUM(J$135,J$136)),(J$81-J$456)/SUM(J$135,J$136))*SUM(K$135,K$136))</f>
        <v>5.4834820713986421</v>
      </c>
      <c r="L81" s="7">
        <f ca="1">SUM(L$456,IF(L$6=OFFSET(Assumptions!$B$8,0,$C$1),AVERAGE((I$81-I$456)/SUM(I$135,I$136),(J$81-J$456)/SUM(J$135,J$136),(K$81-K$456)/SUM(K$135,K$136)),(K$81-K$456)/SUM(K$135,K$136))*SUM(L$135,L$136))</f>
        <v>5.7386730714173853</v>
      </c>
      <c r="M81" s="7">
        <f ca="1">SUM(M$456,IF(M$6=OFFSET(Assumptions!$B$8,0,$C$1),AVERAGE((J$81-J$456)/SUM(J$135,J$136),(K$81-K$456)/SUM(K$135,K$136),(L$81-L$456)/SUM(L$135,L$136)),(L$81-L$456)/SUM(L$135,L$136))*SUM(M$135,M$136))</f>
        <v>5.9931182320678582</v>
      </c>
      <c r="N81" s="7">
        <f ca="1">SUM(N$456,IF(N$6=OFFSET(Assumptions!$B$8,0,$C$1),AVERAGE((K$81-K$456)/SUM(K$135,K$136),(L$81-L$456)/SUM(L$135,L$136),(M$81-M$456)/SUM(M$135,M$136)),(M$81-M$456)/SUM(M$135,M$136))*SUM(N$135,N$136))</f>
        <v>6.2608662671189004</v>
      </c>
      <c r="O81" s="7">
        <f ca="1">SUM(O$456,IF(O$6=OFFSET(Assumptions!$B$8,0,$C$1),AVERAGE((L$81-L$456)/SUM(L$135,L$136),(M$81-M$456)/SUM(M$135,M$136),(N$81-N$456)/SUM(N$135,N$136)),(N$81-N$456)/SUM(N$135,N$136))*SUM(O$135,O$136))</f>
        <v>6.538303755104228</v>
      </c>
      <c r="P81" s="7">
        <f ca="1">SUM(P$456,IF(P$6=OFFSET(Assumptions!$B$8,0,$C$1),AVERAGE((M$81-M$456)/SUM(M$135,M$136),(N$81-N$456)/SUM(N$135,N$136),(O$81-O$456)/SUM(O$135,O$136)),(O$81-O$456)/SUM(O$135,O$136))*SUM(P$135,P$136))</f>
        <v>6.832434270577612</v>
      </c>
      <c r="Q81" s="7">
        <f ca="1">SUM(Q$456,IF(Q$6=OFFSET(Assumptions!$B$8,0,$C$1),AVERAGE((N$81-N$456)/SUM(N$135,N$136),(O$81-O$456)/SUM(O$135,O$136),(P$81-P$456)/SUM(P$135,P$136)),(P$81-P$456)/SUM(P$135,P$136))*SUM(Q$135,Q$136))</f>
        <v>7.1181397877274337</v>
      </c>
      <c r="R81" s="7">
        <f ca="1">SUM(R$456,IF(R$6=OFFSET(Assumptions!$B$8,0,$C$1),AVERAGE((O$81-O$456)/SUM(O$135,O$136),(P$81-P$456)/SUM(P$135,P$136),(Q$81-Q$456)/SUM(Q$135,Q$136)),(Q$81-Q$456)/SUM(Q$135,Q$136))*SUM(R$135,R$136))</f>
        <v>7.4246511557374824</v>
      </c>
      <c r="S81" s="7">
        <f ca="1">SUM(S$456,IF(S$6=OFFSET(Assumptions!$B$8,0,$C$1),AVERAGE((P$81-P$456)/SUM(P$135,P$136),(Q$81-Q$456)/SUM(Q$135,Q$136),(R$81-R$456)/SUM(R$135,R$136)),(R$81-R$456)/SUM(R$135,R$136))*SUM(S$135,S$136))</f>
        <v>7.7336447407068292</v>
      </c>
      <c r="T81" s="7">
        <f ca="1">SUM(T$456,IF(T$6=OFFSET(Assumptions!$B$8,0,$C$1),AVERAGE((Q$81-Q$456)/SUM(Q$135,Q$136),(R$81-R$456)/SUM(R$135,R$136),(S$81-S$456)/SUM(S$135,S$136)),(S$81-S$456)/SUM(S$135,S$136))*SUM(T$135,T$136))</f>
        <v>8.0685820202312204</v>
      </c>
    </row>
    <row r="82" spans="1:20" x14ac:dyDescent="0.2">
      <c r="A82" s="1" t="s">
        <v>145</v>
      </c>
      <c r="B82" s="4" t="str">
        <f t="shared" si="49"/>
        <v>From Fiscal</v>
      </c>
      <c r="D82" s="15">
        <f>'Fiscal Forecasts'!D$72</f>
        <v>17.231999999999999</v>
      </c>
      <c r="E82" s="15">
        <f>'Fiscal Forecasts'!E$72</f>
        <v>17.074000000000002</v>
      </c>
      <c r="F82" s="16">
        <f>'Fiscal Forecasts'!F$72</f>
        <v>16.54</v>
      </c>
      <c r="G82" s="16">
        <f>'Fiscal Forecasts'!G$72</f>
        <v>17.666</v>
      </c>
      <c r="H82" s="16">
        <f>'Fiscal Forecasts'!H$72</f>
        <v>18.298999999999999</v>
      </c>
      <c r="I82" s="16">
        <f>'Fiscal Forecasts'!I$72</f>
        <v>18.863</v>
      </c>
      <c r="J82" s="16">
        <f>'Fiscal Forecasts'!J$72</f>
        <v>19.268000000000001</v>
      </c>
      <c r="K82" s="7">
        <f ca="1">IF(K$6=OFFSET(Assumptions!$B$8,0,$C$1),AVERAGE(H$82/SUM(H$82,H$84),I$82/SUM(I$82,I$84),J$82/SUM(J$82,J$84)),J$82/SUM(J$82,J$84))*SUM(K$457,IF(K$6=OFFSET(Assumptions!$B$8,0,$C$1),AVERAGE(SUM(H$82,H$84,-H$457)/SUM(H$141-H$140,H$155-H$154),SUM(I$82,I$84,-I$457)/SUM(I$141-I$140,I$155-I$154),SUM(J$82,J$84,-J$457)/SUM(J$141-J$140,J$155-J$154)),SUM(J$82,J$84,-J$457)/SUM(J$141-J$140,J$155-J$154))*SUM(K$141-K$140,K$155-K$154))</f>
        <v>20.456233693756538</v>
      </c>
      <c r="L82" s="7">
        <f ca="1">IF(L$6=OFFSET(Assumptions!$B$8,0,$C$1),AVERAGE(I$82/SUM(I$82,I$84),J$82/SUM(J$82,J$84),K$82/SUM(K$82,K$84)),K$82/SUM(K$82,K$84))*SUM(L$457,IF(L$6=OFFSET(Assumptions!$B$8,0,$C$1),AVERAGE(SUM(I$82,I$84,-I$457)/SUM(I$141-I$140,I$155-I$154),SUM(J$82,J$84,-J$457)/SUM(J$141-J$140,J$155-J$154),SUM(K$82,K$84,-K$457)/SUM(K$141-K$140,K$155-K$154)),SUM(K$82,K$84,-K$457)/SUM(K$141-K$140,K$155-K$154))*SUM(L$141-L$140,L$155-L$154))</f>
        <v>21.353718841077956</v>
      </c>
      <c r="M82" s="7">
        <f ca="1">IF(M$6=OFFSET(Assumptions!$B$8,0,$C$1),AVERAGE(J$82/SUM(J$82,J$84),K$82/SUM(K$82,K$84),L$82/SUM(L$82,L$84)),L$82/SUM(L$82,L$84))*SUM(M$457,IF(M$6=OFFSET(Assumptions!$B$8,0,$C$1),AVERAGE(SUM(J$82,J$84,-J$457)/SUM(J$141-J$140,J$155-J$154),SUM(K$82,K$84,-K$457)/SUM(K$141-K$140,K$155-K$154),SUM(L$82,L$84,-L$457)/SUM(L$141-L$140,L$155-L$154)),SUM(L$82,L$84,-L$457)/SUM(L$141-L$140,L$155-L$154))*SUM(M$141-M$140,M$155-M$154))</f>
        <v>22.286872016454723</v>
      </c>
      <c r="N82" s="7">
        <f ca="1">IF(N$6=OFFSET(Assumptions!$B$8,0,$C$1),AVERAGE(K$82/SUM(K$82,K$84),L$82/SUM(L$82,L$84),M$82/SUM(M$82,M$84)),M$82/SUM(M$82,M$84))*SUM(N$457,IF(N$6=OFFSET(Assumptions!$B$8,0,$C$1),AVERAGE(SUM(K$82,K$84,-K$457)/SUM(K$141-K$140,K$155-K$154),SUM(L$82,L$84,-L$457)/SUM(L$141-L$140,L$155-L$154),SUM(M$82,M$84,-M$457)/SUM(M$141-M$140,M$155-M$154)),SUM(M$82,M$84,-M$457)/SUM(M$141-M$140,M$155-M$154))*SUM(N$141-N$140,N$155-N$154))</f>
        <v>23.259750115324916</v>
      </c>
      <c r="O82" s="7">
        <f ca="1">IF(O$6=OFFSET(Assumptions!$B$8,0,$C$1),AVERAGE(L$82/SUM(L$82,L$84),M$82/SUM(M$82,M$84),N$82/SUM(N$82,N$84)),N$82/SUM(N$82,N$84))*SUM(O$457,IF(O$6=OFFSET(Assumptions!$B$8,0,$C$1),AVERAGE(SUM(L$82,L$84,-L$457)/SUM(L$141-L$140,L$155-L$154),SUM(M$82,M$84,-M$457)/SUM(M$141-M$140,M$155-M$154),SUM(N$82,N$84,-N$457)/SUM(N$141-N$140,N$155-N$154)),SUM(N$82,N$84,-N$457)/SUM(N$141-N$140,N$155-N$154))*SUM(O$141-O$140,O$155-O$154))</f>
        <v>24.264979726634127</v>
      </c>
      <c r="P82" s="7">
        <f ca="1">IF(P$6=OFFSET(Assumptions!$B$8,0,$C$1),AVERAGE(M$82/SUM(M$82,M$84),N$82/SUM(N$82,N$84),O$82/SUM(O$82,O$84)),O$82/SUM(O$82,O$84))*SUM(P$457,IF(P$6=OFFSET(Assumptions!$B$8,0,$C$1),AVERAGE(SUM(M$82,M$84,-M$457)/SUM(M$141-M$140,M$155-M$154),SUM(N$82,N$84,-N$457)/SUM(N$141-N$140,N$155-N$154),SUM(O$82,O$84,-O$457)/SUM(O$141-O$140,O$155-O$154)),SUM(O$82,O$84,-O$457)/SUM(O$141-O$140,O$155-O$154))*SUM(P$141-P$140,P$155-P$154))</f>
        <v>25.306530970863939</v>
      </c>
      <c r="Q82" s="7">
        <f ca="1">IF(Q$6=OFFSET(Assumptions!$B$8,0,$C$1),AVERAGE(N$82/SUM(N$82,N$84),O$82/SUM(O$82,O$84),P$82/SUM(P$82,P$84)),P$82/SUM(P$82,P$84))*SUM(Q$457,IF(Q$6=OFFSET(Assumptions!$B$8,0,$C$1),AVERAGE(SUM(N$82,N$84,-N$457)/SUM(N$141-N$140,N$155-N$154),SUM(O$82,O$84,-O$457)/SUM(O$141-O$140,O$155-O$154),SUM(P$82,P$84,-P$457)/SUM(P$141-P$140,P$155-P$154)),SUM(P$82,P$84,-P$457)/SUM(P$141-P$140,P$155-P$154))*SUM(Q$141-Q$140,Q$155-Q$154))</f>
        <v>26.382792917642728</v>
      </c>
      <c r="R82" s="7">
        <f ca="1">IF(R$6=OFFSET(Assumptions!$B$8,0,$C$1),AVERAGE(O$82/SUM(O$82,O$84),P$82/SUM(P$82,P$84),Q$82/SUM(Q$82,Q$84)),Q$82/SUM(Q$82,Q$84))*SUM(R$457,IF(R$6=OFFSET(Assumptions!$B$8,0,$C$1),AVERAGE(SUM(O$82,O$84,-O$457)/SUM(O$141-O$140,O$155-O$154),SUM(P$82,P$84,-P$457)/SUM(P$141-P$140,P$155-P$154),SUM(Q$82,Q$84,-Q$457)/SUM(Q$141-Q$140,Q$155-Q$154)),SUM(Q$82,Q$84,-Q$457)/SUM(Q$141-Q$140,Q$155-Q$154))*SUM(R$141-R$140,R$155-R$154))</f>
        <v>27.492565442018595</v>
      </c>
      <c r="S82" s="7">
        <f ca="1">IF(S$6=OFFSET(Assumptions!$B$8,0,$C$1),AVERAGE(P$82/SUM(P$82,P$84),Q$82/SUM(Q$82,Q$84),R$82/SUM(R$82,R$84)),R$82/SUM(R$82,R$84))*SUM(S$457,IF(S$6=OFFSET(Assumptions!$B$8,0,$C$1),AVERAGE(SUM(P$82,P$84,-P$457)/SUM(P$141-P$140,P$155-P$154),SUM(Q$82,Q$84,-Q$457)/SUM(Q$141-Q$140,Q$155-Q$154),SUM(R$82,R$84,-R$457)/SUM(R$141-R$140,R$155-R$154)),SUM(R$82,R$84,-R$457)/SUM(R$141-R$140,R$155-R$154))*SUM(S$141-S$140,S$155-S$154))</f>
        <v>28.640886074071549</v>
      </c>
      <c r="T82" s="7">
        <f ca="1">IF(T$6=OFFSET(Assumptions!$B$8,0,$C$1),AVERAGE(Q$82/SUM(Q$82,Q$84),R$82/SUM(R$82,R$84),S$82/SUM(S$82,S$84)),S$82/SUM(S$82,S$84))*SUM(T$457,IF(T$6=OFFSET(Assumptions!$B$8,0,$C$1),AVERAGE(SUM(Q$82,Q$84,-Q$457)/SUM(Q$141-Q$140,Q$155-Q$154),SUM(R$82,R$84,-R$457)/SUM(R$141-R$140,R$155-R$154),SUM(S$82,S$84,-S$457)/SUM(S$141-S$140,S$155-S$154)),SUM(S$82,S$84,-S$457)/SUM(S$141-S$140,S$155-S$154))*SUM(T$141-T$140,T$155-T$154))</f>
        <v>29.825971506849815</v>
      </c>
    </row>
    <row r="83" spans="1:20" x14ac:dyDescent="0.2">
      <c r="A83" s="1" t="s">
        <v>183</v>
      </c>
      <c r="B83" s="4" t="str">
        <f t="shared" si="49"/>
        <v>From Fiscal</v>
      </c>
      <c r="D83" s="15">
        <f>'Fiscal Forecasts'!D$73</f>
        <v>3.3639999999999999</v>
      </c>
      <c r="E83" s="15">
        <f>'Fiscal Forecasts'!E$73</f>
        <v>3.43</v>
      </c>
      <c r="F83" s="16">
        <f>'Fiscal Forecasts'!F$73</f>
        <v>3.3130000000000002</v>
      </c>
      <c r="G83" s="16">
        <f>'Fiscal Forecasts'!G$73</f>
        <v>3.2879999999999998</v>
      </c>
      <c r="H83" s="16">
        <f>'Fiscal Forecasts'!H$73</f>
        <v>3.47</v>
      </c>
      <c r="I83" s="16">
        <f>'Fiscal Forecasts'!I$73</f>
        <v>3.7</v>
      </c>
      <c r="J83" s="16">
        <f>'Fiscal Forecasts'!J$73</f>
        <v>3.9279999999999999</v>
      </c>
      <c r="K83" s="7">
        <f ca="1">SUM(K$458,K$145-(K$322-J$322),IF(K$6=OFFSET(Assumptions!$B$8,0,$C$1),AVERAGE((H$83-SUM(H$458,H$145-(H$322-G$322)))/SUM(H$148:H$150),(I$83-SUM(I$458,I$145-(I$322-H$322)))/SUM(I$148:I$150),(J$83-SUM(J$458,J$145-(J$322-I$322)))/SUM(J$148:J$150)),(J$83-SUM(J$458,J$145-(J$322-I$322)))/SUM(J$148:J$150))*SUM(K$148:K$150))</f>
        <v>3.6366289709335859</v>
      </c>
      <c r="L83" s="7">
        <f ca="1">SUM(L$458,L$145-(L$322-K$322),IF(L$6=OFFSET(Assumptions!$B$8,0,$C$1),AVERAGE((I$83-SUM(I$458,I$145-(I$322-H$322)))/SUM(I$148:I$150),(J$83-SUM(J$458,J$145-(J$322-I$322)))/SUM(J$148:J$150),(K$83-SUM(K$458,K$145-(K$322-J$322)))/SUM(K$148:K$150)),(K$83-SUM(K$458,K$145-(K$322-J$322)))/SUM(K$148:K$150))*SUM(L$148:L$150))</f>
        <v>4.0097672143755894</v>
      </c>
      <c r="M83" s="7">
        <f ca="1">SUM(M$458,M$145-(M$322-L$322),IF(M$6=OFFSET(Assumptions!$B$8,0,$C$1),AVERAGE((J$83-SUM(J$458,J$145-(J$322-I$322)))/SUM(J$148:J$150),(K$83-SUM(K$458,K$145-(K$322-J$322)))/SUM(K$148:K$150),(L$83-SUM(L$458,L$145-(L$322-K$322)))/SUM(L$148:L$150)),(L$83-SUM(L$458,L$145-(L$322-K$322)))/SUM(L$148:L$150))*SUM(M$148:M$150))</f>
        <v>4.4038236323151736</v>
      </c>
      <c r="N83" s="7">
        <f ca="1">SUM(N$458,N$145-(N$322-M$322),IF(N$6=OFFSET(Assumptions!$B$8,0,$C$1),AVERAGE((K$83-SUM(K$458,K$145-(K$322-J$322)))/SUM(K$148:K$150),(L$83-SUM(L$458,L$145-(L$322-K$322)))/SUM(L$148:L$150),(M$83-SUM(M$458,M$145-(M$322-L$322)))/SUM(M$148:M$150)),(M$83-SUM(M$458,M$145-(M$322-L$322)))/SUM(M$148:M$150))*SUM(N$148:N$150))</f>
        <v>4.8123760841881289</v>
      </c>
      <c r="O83" s="7">
        <f ca="1">SUM(O$458,O$145-(O$322-N$322),IF(O$6=OFFSET(Assumptions!$B$8,0,$C$1),AVERAGE((L$83-SUM(L$458,L$145-(L$322-K$322)))/SUM(L$148:L$150),(M$83-SUM(M$458,M$145-(M$322-L$322)))/SUM(M$148:M$150),(N$83-SUM(N$458,N$145-(N$322-M$322)))/SUM(N$148:N$150)),(N$83-SUM(N$458,N$145-(N$322-M$322)))/SUM(N$148:N$150))*SUM(O$148:O$150))</f>
        <v>5.2339989454628197</v>
      </c>
      <c r="P83" s="7">
        <f ca="1">SUM(P$458,P$145-(P$322-O$322),IF(P$6=OFFSET(Assumptions!$B$8,0,$C$1),AVERAGE((M$83-SUM(M$458,M$145-(M$322-L$322)))/SUM(M$148:M$150),(N$83-SUM(N$458,N$145-(N$322-M$322)))/SUM(N$148:N$150),(O$83-SUM(O$458,O$145-(O$322-N$322)))/SUM(O$148:O$150)),(O$83-SUM(O$458,O$145-(O$322-N$322)))/SUM(O$148:O$150))*SUM(P$148:P$150))</f>
        <v>5.6603748319371432</v>
      </c>
      <c r="Q83" s="7">
        <f ca="1">SUM(Q$458,Q$145-(Q$322-P$322),IF(Q$6=OFFSET(Assumptions!$B$8,0,$C$1),AVERAGE((N$83-SUM(N$458,N$145-(N$322-M$322)))/SUM(N$148:N$150),(O$83-SUM(O$458,O$145-(O$322-N$322)))/SUM(O$148:O$150),(P$83-SUM(P$458,P$145-(P$322-O$322)))/SUM(P$148:P$150)),(P$83-SUM(P$458,P$145-(P$322-O$322)))/SUM(P$148:P$150))*SUM(Q$148:Q$150))</f>
        <v>6.080043313447475</v>
      </c>
      <c r="R83" s="7">
        <f ca="1">SUM(R$458,R$145-(R$322-Q$322),IF(R$6=OFFSET(Assumptions!$B$8,0,$C$1),AVERAGE((O$83-SUM(O$458,O$145-(O$322-N$322)))/SUM(O$148:O$150),(P$83-SUM(P$458,P$145-(P$322-O$322)))/SUM(P$148:P$150),(Q$83-SUM(Q$458,Q$145-(Q$322-P$322)))/SUM(Q$148:Q$150)),(Q$83-SUM(Q$458,Q$145-(Q$322-P$322)))/SUM(Q$148:Q$150))*SUM(R$148:R$150))</f>
        <v>6.3659334143949851</v>
      </c>
      <c r="S83" s="7">
        <f ca="1">SUM(S$458,S$145-(S$322-R$322),IF(S$6=OFFSET(Assumptions!$B$8,0,$C$1),AVERAGE((P$83-SUM(P$458,P$145-(P$322-O$322)))/SUM(P$148:P$150),(Q$83-SUM(Q$458,Q$145-(Q$322-P$322)))/SUM(Q$148:Q$150),(R$83-SUM(R$458,R$145-(R$322-Q$322)))/SUM(R$148:R$150)),(R$83-SUM(R$458,R$145-(R$322-Q$322)))/SUM(R$148:R$150))*SUM(S$148:S$150))</f>
        <v>6.6585207575551619</v>
      </c>
      <c r="T83" s="7">
        <f ca="1">SUM(T$458,T$145-(T$322-S$322),IF(T$6=OFFSET(Assumptions!$B$8,0,$C$1),AVERAGE((Q$83-SUM(Q$458,Q$145-(Q$322-P$322)))/SUM(Q$148:Q$150),(R$83-SUM(R$458,R$145-(R$322-Q$322)))/SUM(R$148:R$150),(S$83-SUM(S$458,S$145-(S$322-R$322)))/SUM(S$148:S$150)),(S$83-SUM(S$458,S$145-(S$322-R$322)))/SUM(S$148:S$150))*SUM(T$148:T$150))</f>
        <v>6.9585497010486748</v>
      </c>
    </row>
    <row r="84" spans="1:20" x14ac:dyDescent="0.2">
      <c r="A84" s="1" t="s">
        <v>184</v>
      </c>
      <c r="B84" s="4" t="str">
        <f t="shared" si="49"/>
        <v>From Fiscal</v>
      </c>
      <c r="D84" s="15">
        <f>'Fiscal Forecasts'!D$74</f>
        <v>3.823</v>
      </c>
      <c r="E84" s="15">
        <f>'Fiscal Forecasts'!E$74</f>
        <v>4.1310000000000002</v>
      </c>
      <c r="F84" s="16">
        <f>'Fiscal Forecasts'!F$74</f>
        <v>3.8759999999999999</v>
      </c>
      <c r="G84" s="16">
        <f>'Fiscal Forecasts'!G$74</f>
        <v>3.8319999999999999</v>
      </c>
      <c r="H84" s="16">
        <f>'Fiscal Forecasts'!H$74</f>
        <v>3.7370000000000001</v>
      </c>
      <c r="I84" s="16">
        <f>'Fiscal Forecasts'!I$74</f>
        <v>3.7989999999999999</v>
      </c>
      <c r="J84" s="16">
        <f>'Fiscal Forecasts'!J$74</f>
        <v>3.8439999999999999</v>
      </c>
      <c r="K84" s="7">
        <f ca="1">SUM(-K$82,K$457,IF(K$6=OFFSET(Assumptions!$B$8,0,$C$1),AVERAGE(SUM(H$82,H$84,-H$457)/SUM(H$141-H$140,H$155-H$154),SUM(I$82,I$84,-I$457)/SUM(I$141-I$140,I$155-I$154),SUM(J$82,J$84,-J$457)/SUM(J$141-J$140,J$155-J$154)),SUM(J$82,J$84,-J$457)/SUM(J$141-J$140,J$155-J$154))*SUM(K$141-K$140,K$155-K$154))</f>
        <v>4.1260957570347863</v>
      </c>
      <c r="L84" s="7">
        <f ca="1">SUM(-L$82,L$457,IF(L$6=OFFSET(Assumptions!$B$8,0,$C$1),AVERAGE(SUM(I$82,I$84,-I$457)/SUM(I$141-I$140,I$155-I$154),SUM(J$82,J$84,-J$457)/SUM(J$141-J$140,J$155-J$154),SUM(K$82,K$84,-K$457)/SUM(K$141-K$140,K$155-K$154)),SUM(K$82,K$84,-K$457)/SUM(K$141-K$140,K$155-K$154))*SUM(L$141-L$140,L$155-L$154))</f>
        <v>4.3071217324808373</v>
      </c>
      <c r="M84" s="7">
        <f ca="1">SUM(-M$82,M$457,IF(M$6=OFFSET(Assumptions!$B$8,0,$C$1),AVERAGE(SUM(J$82,J$84,-J$457)/SUM(J$141-J$140,J$155-J$154),SUM(K$82,K$84,-K$457)/SUM(K$141-K$140,K$155-K$154),SUM(L$82,L$84,-L$457)/SUM(L$141-L$140,L$155-L$154)),SUM(L$82,L$84,-L$457)/SUM(L$141-L$140,L$155-L$154))*SUM(M$141-M$140,M$155-M$154))</f>
        <v>4.4953420772044517</v>
      </c>
      <c r="N84" s="7">
        <f ca="1">SUM(-N$82,N$457,IF(N$6=OFFSET(Assumptions!$B$8,0,$C$1),AVERAGE(SUM(K$82,K$84,-K$457)/SUM(K$141-K$140,K$155-K$154),SUM(L$82,L$84,-L$457)/SUM(L$141-L$140,L$155-L$154),SUM(M$82,M$84,-M$457)/SUM(M$141-M$140,M$155-M$154)),SUM(M$82,M$84,-M$457)/SUM(M$141-M$140,M$155-M$154))*SUM(N$141-N$140,N$155-N$154))</f>
        <v>4.6915750815763957</v>
      </c>
      <c r="O84" s="7">
        <f ca="1">SUM(-O$82,O$457,IF(O$6=OFFSET(Assumptions!$B$8,0,$C$1),AVERAGE(SUM(L$82,L$84,-L$457)/SUM(L$141-L$140,L$155-L$154),SUM(M$82,M$84,-M$457)/SUM(M$141-M$140,M$155-M$154),SUM(N$82,N$84,-N$457)/SUM(N$141-N$140,N$155-N$154)),SUM(N$82,N$84,-N$457)/SUM(N$141-N$140,N$155-N$154))*SUM(O$141-O$140,O$155-O$154))</f>
        <v>4.894333502122528</v>
      </c>
      <c r="P84" s="7">
        <f ca="1">SUM(-P$82,P$457,IF(P$6=OFFSET(Assumptions!$B$8,0,$C$1),AVERAGE(SUM(M$82,M$84,-M$457)/SUM(M$141-M$140,M$155-M$154),SUM(N$82,N$84,-N$457)/SUM(N$141-N$140,N$155-N$154),SUM(O$82,O$84,-O$457)/SUM(O$141-O$140,O$155-O$154)),SUM(O$82,O$84,-O$457)/SUM(O$141-O$140,O$155-O$154))*SUM(P$141-P$140,P$155-P$154))</f>
        <v>5.1044181263934476</v>
      </c>
      <c r="Q84" s="7">
        <f ca="1">SUM(-Q$82,Q$457,IF(Q$6=OFFSET(Assumptions!$B$8,0,$C$1),AVERAGE(SUM(N$82,N$84,-N$457)/SUM(N$141-N$140,N$155-N$154),SUM(O$82,O$84,-O$457)/SUM(O$141-O$140,O$155-O$154),SUM(P$82,P$84,-P$457)/SUM(P$141-P$140,P$155-P$154)),SUM(P$82,P$84,-P$457)/SUM(P$141-P$140,P$155-P$154))*SUM(Q$141-Q$140,Q$155-Q$154))</f>
        <v>5.3215040239512845</v>
      </c>
      <c r="R84" s="7">
        <f ca="1">SUM(-R$82,R$457,IF(R$6=OFFSET(Assumptions!$B$8,0,$C$1),AVERAGE(SUM(O$82,O$84,-O$457)/SUM(O$141-O$140,O$155-O$154),SUM(P$82,P$84,-P$457)/SUM(P$141-P$140,P$155-P$154),SUM(Q$82,Q$84,-Q$457)/SUM(Q$141-Q$140,Q$155-Q$154)),SUM(Q$82,Q$84,-Q$457)/SUM(Q$141-Q$140,Q$155-Q$154))*SUM(R$141-R$140,R$155-R$154))</f>
        <v>5.5453491252857852</v>
      </c>
      <c r="S84" s="7">
        <f ca="1">SUM(-S$82,S$457,IF(S$6=OFFSET(Assumptions!$B$8,0,$C$1),AVERAGE(SUM(P$82,P$84,-P$457)/SUM(P$141-P$140,P$155-P$154),SUM(Q$82,Q$84,-Q$457)/SUM(Q$141-Q$140,Q$155-Q$154),SUM(R$82,R$84,-R$457)/SUM(R$141-R$140,R$155-R$154)),SUM(R$82,R$84,-R$457)/SUM(R$141-R$140,R$155-R$154))*SUM(S$141-S$140,S$155-S$154))</f>
        <v>5.7769695182946599</v>
      </c>
      <c r="T84" s="7">
        <f ca="1">SUM(-T$82,T$457,IF(T$6=OFFSET(Assumptions!$B$8,0,$C$1),AVERAGE(SUM(Q$82,Q$84,-Q$457)/SUM(Q$141-Q$140,Q$155-Q$154),SUM(R$82,R$84,-R$457)/SUM(R$141-R$140,R$155-R$154),SUM(S$82,S$84,-S$457)/SUM(S$141-S$140,S$155-S$154)),SUM(S$82,S$84,-S$457)/SUM(S$141-S$140,S$155-S$154))*SUM(T$141-T$140,T$155-T$154))</f>
        <v>6.0160055035651361</v>
      </c>
    </row>
    <row r="85" spans="1:20" ht="15" x14ac:dyDescent="0.25">
      <c r="A85" s="2" t="s">
        <v>185</v>
      </c>
      <c r="D85" s="35">
        <f t="shared" ref="D85:T85" si="50">SUM(D$80:D$84)</f>
        <v>94.094999999999985</v>
      </c>
      <c r="E85" s="35">
        <f t="shared" si="50"/>
        <v>98.347000000000008</v>
      </c>
      <c r="F85" s="34">
        <f t="shared" si="50"/>
        <v>101.38700000000001</v>
      </c>
      <c r="G85" s="34">
        <f t="shared" si="50"/>
        <v>105.58099999999999</v>
      </c>
      <c r="H85" s="34">
        <f t="shared" si="50"/>
        <v>109.60399999999998</v>
      </c>
      <c r="I85" s="34">
        <f t="shared" si="50"/>
        <v>115.44000000000001</v>
      </c>
      <c r="J85" s="34">
        <f t="shared" si="50"/>
        <v>120.14899999999999</v>
      </c>
      <c r="K85" s="38">
        <f t="shared" ca="1" si="50"/>
        <v>125.89662027214338</v>
      </c>
      <c r="L85" s="38">
        <f t="shared" ca="1" si="50"/>
        <v>132.16875101598953</v>
      </c>
      <c r="M85" s="38">
        <f t="shared" ca="1" si="50"/>
        <v>138.5799646709718</v>
      </c>
      <c r="N85" s="38">
        <f t="shared" ca="1" si="50"/>
        <v>145.1064503417137</v>
      </c>
      <c r="O85" s="38">
        <f t="shared" ca="1" si="50"/>
        <v>151.79550196747468</v>
      </c>
      <c r="P85" s="38">
        <f t="shared" ca="1" si="50"/>
        <v>158.73224803097128</v>
      </c>
      <c r="Q85" s="38">
        <f t="shared" ca="1" si="50"/>
        <v>165.87167431385231</v>
      </c>
      <c r="R85" s="38">
        <f t="shared" ca="1" si="50"/>
        <v>172.90585102144283</v>
      </c>
      <c r="S85" s="38">
        <f t="shared" ca="1" si="50"/>
        <v>180.15342298034705</v>
      </c>
      <c r="T85" s="38">
        <f t="shared" ca="1" si="50"/>
        <v>187.64715925164444</v>
      </c>
    </row>
    <row r="86" spans="1:20" x14ac:dyDescent="0.2">
      <c r="A86" s="1" t="s">
        <v>149</v>
      </c>
      <c r="B86" s="4" t="str">
        <f t="shared" si="49"/>
        <v>From Fiscal</v>
      </c>
      <c r="D86" s="15">
        <f>'Fiscal Forecasts'!D$76</f>
        <v>23.896000000000001</v>
      </c>
      <c r="E86" s="15">
        <f>'Fiscal Forecasts'!E$76</f>
        <v>24.338000000000001</v>
      </c>
      <c r="F86" s="16">
        <f>'Fiscal Forecasts'!F$76</f>
        <v>25.31</v>
      </c>
      <c r="G86" s="16">
        <f>'Fiscal Forecasts'!G$76</f>
        <v>26.442</v>
      </c>
      <c r="H86" s="16">
        <f>'Fiscal Forecasts'!H$76</f>
        <v>27.596</v>
      </c>
      <c r="I86" s="16">
        <f>'Fiscal Forecasts'!I$76</f>
        <v>28.518000000000001</v>
      </c>
      <c r="J86" s="16">
        <f>'Fiscal Forecasts'!J$76</f>
        <v>29.484000000000002</v>
      </c>
      <c r="K86" s="7">
        <f t="shared" ref="K86:T86" ca="1" si="51">K$169</f>
        <v>30.816114100763969</v>
      </c>
      <c r="L86" s="7">
        <f t="shared" ca="1" si="51"/>
        <v>32.406834186018116</v>
      </c>
      <c r="M86" s="7">
        <f t="shared" ca="1" si="51"/>
        <v>34.127520653997721</v>
      </c>
      <c r="N86" s="7">
        <f t="shared" ca="1" si="51"/>
        <v>35.939083599751754</v>
      </c>
      <c r="O86" s="7">
        <f t="shared" ca="1" si="51"/>
        <v>37.871092159947054</v>
      </c>
      <c r="P86" s="7">
        <f t="shared" ca="1" si="51"/>
        <v>39.901614631739051</v>
      </c>
      <c r="Q86" s="7">
        <f t="shared" ca="1" si="51"/>
        <v>42.014076392276316</v>
      </c>
      <c r="R86" s="7">
        <f t="shared" ca="1" si="51"/>
        <v>44.180343719805514</v>
      </c>
      <c r="S86" s="7">
        <f t="shared" ca="1" si="51"/>
        <v>46.368714833000674</v>
      </c>
      <c r="T86" s="7">
        <f t="shared" ca="1" si="51"/>
        <v>48.621555198314354</v>
      </c>
    </row>
    <row r="87" spans="1:20" x14ac:dyDescent="0.2">
      <c r="A87" s="1" t="s">
        <v>186</v>
      </c>
      <c r="B87" s="4" t="str">
        <f t="shared" si="49"/>
        <v>From Fiscal</v>
      </c>
      <c r="D87" s="15">
        <f>'Fiscal Forecasts'!D$77</f>
        <v>60.009</v>
      </c>
      <c r="E87" s="15">
        <f>'Fiscal Forecasts'!E$77</f>
        <v>61.16</v>
      </c>
      <c r="F87" s="16">
        <f>'Fiscal Forecasts'!F$77</f>
        <v>62.875999999999998</v>
      </c>
      <c r="G87" s="16">
        <f>'Fiscal Forecasts'!G$77</f>
        <v>67.986000000000004</v>
      </c>
      <c r="H87" s="16">
        <f>'Fiscal Forecasts'!H$77</f>
        <v>67.132000000000005</v>
      </c>
      <c r="I87" s="16">
        <f>'Fiscal Forecasts'!I$77</f>
        <v>67.350999999999999</v>
      </c>
      <c r="J87" s="16">
        <f>'Fiscal Forecasts'!J$77</f>
        <v>67.756</v>
      </c>
      <c r="K87" s="7">
        <f t="shared" ref="K87:T87" ca="1" si="52">SUM(K$187,K$200-(K$137-K$81),K$214)-SUM(K$237,K$247)+SUM(K$380-J$380,K$384-J$384)-SUM(K$433-K$430-(J$433-J$430),K$443-J$443,K$448-J$448,K$452-J$452)</f>
        <v>67.170511795030279</v>
      </c>
      <c r="L87" s="7">
        <f t="shared" ca="1" si="52"/>
        <v>68.31053994960071</v>
      </c>
      <c r="M87" s="7">
        <f t="shared" ca="1" si="52"/>
        <v>69.436541953127815</v>
      </c>
      <c r="N87" s="7">
        <f t="shared" ca="1" si="52"/>
        <v>70.462998370723909</v>
      </c>
      <c r="O87" s="7">
        <f t="shared" ca="1" si="52"/>
        <v>71.600185283101865</v>
      </c>
      <c r="P87" s="7">
        <f t="shared" ca="1" si="52"/>
        <v>72.670897565512206</v>
      </c>
      <c r="Q87" s="7">
        <f t="shared" ca="1" si="52"/>
        <v>73.709700669918689</v>
      </c>
      <c r="R87" s="7">
        <f t="shared" ca="1" si="52"/>
        <v>74.735307717781879</v>
      </c>
      <c r="S87" s="7">
        <f t="shared" ca="1" si="52"/>
        <v>75.71451891146279</v>
      </c>
      <c r="T87" s="7">
        <f t="shared" ca="1" si="52"/>
        <v>76.659352215505308</v>
      </c>
    </row>
    <row r="88" spans="1:20" x14ac:dyDescent="0.2">
      <c r="A88" s="1" t="s">
        <v>187</v>
      </c>
      <c r="B88" s="4"/>
      <c r="D88" s="15">
        <f>D$514</f>
        <v>4.5979999999999999</v>
      </c>
      <c r="E88" s="15">
        <f>E$514</f>
        <v>4.3330000000000002</v>
      </c>
      <c r="F88" s="16">
        <f>F$514</f>
        <v>4.218</v>
      </c>
      <c r="G88" s="16">
        <f t="shared" ref="G88:T88" si="53">G$514</f>
        <v>4.09</v>
      </c>
      <c r="H88" s="16">
        <f t="shared" si="53"/>
        <v>4.077</v>
      </c>
      <c r="I88" s="16">
        <f t="shared" si="53"/>
        <v>4.0860000000000003</v>
      </c>
      <c r="J88" s="16">
        <f t="shared" si="53"/>
        <v>4.1459999999999999</v>
      </c>
      <c r="K88" s="7">
        <f t="shared" ca="1" si="53"/>
        <v>4.4115048236214838</v>
      </c>
      <c r="L88" s="7">
        <f t="shared" ca="1" si="53"/>
        <v>4.5907935921854977</v>
      </c>
      <c r="M88" s="7">
        <f t="shared" ca="1" si="53"/>
        <v>4.7886578648221469</v>
      </c>
      <c r="N88" s="7">
        <f t="shared" ca="1" si="53"/>
        <v>4.9725633223018368</v>
      </c>
      <c r="O88" s="7">
        <f t="shared" ca="1" si="53"/>
        <v>5.1434688466853382</v>
      </c>
      <c r="P88" s="7">
        <f t="shared" ca="1" si="53"/>
        <v>5.3031202344891346</v>
      </c>
      <c r="Q88" s="7">
        <f t="shared" ca="1" si="53"/>
        <v>5.4638039629653008</v>
      </c>
      <c r="R88" s="7">
        <f t="shared" ca="1" si="53"/>
        <v>5.438428055602726</v>
      </c>
      <c r="S88" s="7">
        <f t="shared" ca="1" si="53"/>
        <v>5.462061272228742</v>
      </c>
      <c r="T88" s="7">
        <f t="shared" ca="1" si="53"/>
        <v>5.5567016970271093</v>
      </c>
    </row>
    <row r="89" spans="1:20" x14ac:dyDescent="0.2">
      <c r="A89" s="1" t="s">
        <v>705</v>
      </c>
      <c r="B89" s="4"/>
      <c r="D89" s="15">
        <f t="shared" ref="D89:T89" si="54">SUM(D$219,D$222)</f>
        <v>0</v>
      </c>
      <c r="E89" s="15">
        <f t="shared" si="54"/>
        <v>0</v>
      </c>
      <c r="F89" s="16">
        <f t="shared" si="54"/>
        <v>0</v>
      </c>
      <c r="G89" s="16">
        <f t="shared" si="54"/>
        <v>-0.68300000000000005</v>
      </c>
      <c r="H89" s="16">
        <f t="shared" si="54"/>
        <v>1.464</v>
      </c>
      <c r="I89" s="16">
        <f t="shared" si="54"/>
        <v>3.2210000000000001</v>
      </c>
      <c r="J89" s="16">
        <f t="shared" si="54"/>
        <v>4.9950000000000001</v>
      </c>
      <c r="K89" s="7">
        <f t="shared" ca="1" si="54"/>
        <v>6.9749999999999996</v>
      </c>
      <c r="L89" s="7">
        <f t="shared" ca="1" si="54"/>
        <v>9.0341999999999985</v>
      </c>
      <c r="M89" s="7">
        <f t="shared" ca="1" si="54"/>
        <v>11.175768</v>
      </c>
      <c r="N89" s="7">
        <f t="shared" ca="1" si="54"/>
        <v>13.402998719999999</v>
      </c>
      <c r="O89" s="7">
        <f t="shared" ca="1" si="54"/>
        <v>15.7193186688</v>
      </c>
      <c r="P89" s="7">
        <f t="shared" ca="1" si="54"/>
        <v>18.128291415551999</v>
      </c>
      <c r="Q89" s="7">
        <f t="shared" ca="1" si="54"/>
        <v>20.633623072174082</v>
      </c>
      <c r="R89" s="7">
        <f t="shared" ca="1" si="54"/>
        <v>23.239167995061049</v>
      </c>
      <c r="S89" s="7">
        <f t="shared" ca="1" si="54"/>
        <v>25.948934714863491</v>
      </c>
      <c r="T89" s="7">
        <f t="shared" ca="1" si="54"/>
        <v>28.76709210345803</v>
      </c>
    </row>
    <row r="90" spans="1:20" ht="15" x14ac:dyDescent="0.25">
      <c r="A90" s="2" t="s">
        <v>707</v>
      </c>
      <c r="D90" s="35">
        <f t="shared" ref="D90:T90" si="55">SUM(D$86:D$89)</f>
        <v>88.503</v>
      </c>
      <c r="E90" s="35">
        <f t="shared" si="55"/>
        <v>89.830999999999989</v>
      </c>
      <c r="F90" s="34">
        <f t="shared" si="55"/>
        <v>92.403999999999996</v>
      </c>
      <c r="G90" s="34">
        <f t="shared" si="55"/>
        <v>97.834999999999994</v>
      </c>
      <c r="H90" s="34">
        <f t="shared" si="55"/>
        <v>100.26900000000001</v>
      </c>
      <c r="I90" s="34">
        <f t="shared" si="55"/>
        <v>103.176</v>
      </c>
      <c r="J90" s="34">
        <f t="shared" si="55"/>
        <v>106.38100000000001</v>
      </c>
      <c r="K90" s="38">
        <f t="shared" ca="1" si="55"/>
        <v>109.37313071941573</v>
      </c>
      <c r="L90" s="38">
        <f t="shared" ca="1" si="55"/>
        <v>114.34236772780432</v>
      </c>
      <c r="M90" s="38">
        <f t="shared" ca="1" si="55"/>
        <v>119.52848847194768</v>
      </c>
      <c r="N90" s="38">
        <f t="shared" ca="1" si="55"/>
        <v>124.7776440127775</v>
      </c>
      <c r="O90" s="38">
        <f t="shared" ca="1" si="55"/>
        <v>130.33406495853427</v>
      </c>
      <c r="P90" s="38">
        <f t="shared" ca="1" si="55"/>
        <v>136.00392384729238</v>
      </c>
      <c r="Q90" s="38">
        <f t="shared" ca="1" si="55"/>
        <v>141.8212040973344</v>
      </c>
      <c r="R90" s="38">
        <f t="shared" ca="1" si="55"/>
        <v>147.59324748825117</v>
      </c>
      <c r="S90" s="38">
        <f t="shared" ca="1" si="55"/>
        <v>153.49422973155569</v>
      </c>
      <c r="T90" s="38">
        <f t="shared" ca="1" si="55"/>
        <v>159.60470121430481</v>
      </c>
    </row>
    <row r="91" spans="1:20" ht="15" x14ac:dyDescent="0.25">
      <c r="A91" s="2" t="s">
        <v>356</v>
      </c>
      <c r="D91" s="36">
        <f>SUM(D$85,-D$90)</f>
        <v>5.5919999999999845</v>
      </c>
      <c r="E91" s="36">
        <f>SUM(E$85,-E$90)</f>
        <v>8.5160000000000196</v>
      </c>
      <c r="F91" s="37">
        <f>SUM(F$85,-F$90)</f>
        <v>8.9830000000000183</v>
      </c>
      <c r="G91" s="37">
        <f t="shared" ref="G91:T91" si="56">SUM(G$85,-G$90)</f>
        <v>7.7459999999999951</v>
      </c>
      <c r="H91" s="37">
        <f t="shared" si="56"/>
        <v>9.3349999999999795</v>
      </c>
      <c r="I91" s="37">
        <f t="shared" si="56"/>
        <v>12.26400000000001</v>
      </c>
      <c r="J91" s="37">
        <f t="shared" si="56"/>
        <v>13.767999999999972</v>
      </c>
      <c r="K91" s="28">
        <f t="shared" ca="1" si="56"/>
        <v>16.523489552727654</v>
      </c>
      <c r="L91" s="28">
        <f t="shared" ca="1" si="56"/>
        <v>17.826383288185212</v>
      </c>
      <c r="M91" s="28">
        <f t="shared" ca="1" si="56"/>
        <v>19.051476199024123</v>
      </c>
      <c r="N91" s="28">
        <f t="shared" ca="1" si="56"/>
        <v>20.328806328936196</v>
      </c>
      <c r="O91" s="28">
        <f t="shared" ca="1" si="56"/>
        <v>21.461437008940408</v>
      </c>
      <c r="P91" s="28">
        <f t="shared" ca="1" si="56"/>
        <v>22.728324183678893</v>
      </c>
      <c r="Q91" s="28">
        <f t="shared" ca="1" si="56"/>
        <v>24.050470216517908</v>
      </c>
      <c r="R91" s="28">
        <f t="shared" ca="1" si="56"/>
        <v>25.312603533191663</v>
      </c>
      <c r="S91" s="28">
        <f t="shared" ca="1" si="56"/>
        <v>26.659193248791354</v>
      </c>
      <c r="T91" s="28">
        <f t="shared" ca="1" si="56"/>
        <v>28.042458037339628</v>
      </c>
    </row>
    <row r="92" spans="1:20" x14ac:dyDescent="0.2">
      <c r="A92" s="1" t="s">
        <v>716</v>
      </c>
      <c r="B92" s="4" t="str">
        <f t="shared" ref="B92:B101" si="57">$B$38</f>
        <v>From Fiscal</v>
      </c>
      <c r="D92" s="15">
        <f>-'Fiscal Forecasts'!D$81</f>
        <v>6.1769999999999996</v>
      </c>
      <c r="E92" s="15">
        <f>-'Fiscal Forecasts'!E$81</f>
        <v>6.1980000000000004</v>
      </c>
      <c r="F92" s="16">
        <f>-'Fiscal Forecasts'!F$81</f>
        <v>6.89</v>
      </c>
      <c r="G92" s="16">
        <f>-'Fiscal Forecasts'!G$81</f>
        <v>8.6609999999999996</v>
      </c>
      <c r="H92" s="16">
        <f>-'Fiscal Forecasts'!H$81</f>
        <v>8.2479999999999993</v>
      </c>
      <c r="I92" s="16">
        <f>-'Fiscal Forecasts'!I$81</f>
        <v>7.0640000000000001</v>
      </c>
      <c r="J92" s="16">
        <f>-'Fiscal Forecasts'!J$81</f>
        <v>6.55</v>
      </c>
      <c r="K92" s="7">
        <f ca="1">SUM(K$387-J$387,IF(K$6=OFFSET(Assumptions!$B$8,0,$C$1),AVERAGE(SUM(H$92,-(H$387-G$387))/SUM(H$92,-(H$387-G$387),H$94),SUM(I$92,-(I$387-H$387))/SUM(I$92,-(I$387-H$387),I$94),SUM(J$92,-(J$387-I$387))/SUM(J$92,-(J$387-I$387),J$94)),SUM(J$92,-(J$387-I$387))/SUM(J$92,-(J$387-I$387),J$94))*SUM(K$464,K$390-J$390,K$391-J$391,K$408-J$408,K$409-J$409,K$193-K$190,K$41))</f>
        <v>7.0837172980738252</v>
      </c>
      <c r="L92" s="7">
        <f ca="1">SUM(L$387-K$387,IF(L$6=OFFSET(Assumptions!$B$8,0,$C$1),AVERAGE(SUM(I$92,-(I$387-H$387))/SUM(I$92,-(I$387-H$387),I$94),SUM(J$92,-(J$387-I$387))/SUM(J$92,-(J$387-I$387),J$94),SUM(K$92,-(K$387-J$387))/SUM(K$92,-(K$387-J$387),K$94)),SUM(K$92,-(K$387-J$387))/SUM(K$92,-(K$387-J$387),K$94))*SUM(L$464,L$390-K$390,L$391-K$391,L$408-K$408,L$409-K$409,L$193-L$190,L$41))</f>
        <v>7.3017240841647721</v>
      </c>
      <c r="M92" s="7">
        <f ca="1">SUM(M$387-L$387,IF(M$6=OFFSET(Assumptions!$B$8,0,$C$1),AVERAGE(SUM(J$92,-(J$387-I$387))/SUM(J$92,-(J$387-I$387),J$94),SUM(K$92,-(K$387-J$387))/SUM(K$92,-(K$387-J$387),K$94),SUM(L$92,-(L$387-K$387))/SUM(L$92,-(L$387-K$387),L$94)),SUM(L$92,-(L$387-K$387))/SUM(L$92,-(L$387-K$387),L$94))*SUM(M$464,M$390-L$390,M$391-L$391,M$408-L$408,M$409-L$409,M$193-M$190,M$41))</f>
        <v>7.5597420427304858</v>
      </c>
      <c r="N92" s="7">
        <f ca="1">SUM(N$387-M$387,IF(N$6=OFFSET(Assumptions!$B$8,0,$C$1),AVERAGE(SUM(K$92,-(K$387-J$387))/SUM(K$92,-(K$387-J$387),K$94),SUM(L$92,-(L$387-K$387))/SUM(L$92,-(L$387-K$387),L$94),SUM(M$92,-(M$387-L$387))/SUM(M$92,-(M$387-L$387),M$94)),SUM(M$92,-(M$387-L$387))/SUM(M$92,-(M$387-L$387),M$94))*SUM(N$464,N$390-M$390,N$391-M$391,N$408-M$408,N$409-M$409,N$193-N$190,N$41))</f>
        <v>7.8412923672535726</v>
      </c>
      <c r="O92" s="7">
        <f ca="1">SUM(O$387-N$387,IF(O$6=OFFSET(Assumptions!$B$8,0,$C$1),AVERAGE(SUM(L$92,-(L$387-K$387))/SUM(L$92,-(L$387-K$387),L$94),SUM(M$92,-(M$387-L$387))/SUM(M$92,-(M$387-L$387),M$94),SUM(N$92,-(N$387-M$387))/SUM(N$92,-(N$387-M$387),N$94)),SUM(N$92,-(N$387-M$387))/SUM(N$92,-(N$387-M$387),N$94))*SUM(O$464,O$390-N$390,O$391-N$391,O$408-N$408,O$409-N$409,O$193-O$190,O$41))</f>
        <v>8.159540529503893</v>
      </c>
      <c r="P92" s="7">
        <f ca="1">SUM(P$387-O$387,IF(P$6=OFFSET(Assumptions!$B$8,0,$C$1),AVERAGE(SUM(M$92,-(M$387-L$387))/SUM(M$92,-(M$387-L$387),M$94),SUM(N$92,-(N$387-M$387))/SUM(N$92,-(N$387-M$387),N$94),SUM(O$92,-(O$387-N$387))/SUM(O$92,-(O$387-N$387),O$94)),SUM(O$92,-(O$387-N$387))/SUM(O$92,-(O$387-N$387),O$94))*SUM(P$464,P$390-O$390,P$391-O$391,P$408-O$408,P$409-O$409,P$193-P$190,P$41))</f>
        <v>8.5163944561349769</v>
      </c>
      <c r="Q92" s="7">
        <f ca="1">SUM(Q$387-P$387,IF(Q$6=OFFSET(Assumptions!$B$8,0,$C$1),AVERAGE(SUM(N$92,-(N$387-M$387))/SUM(N$92,-(N$387-M$387),N$94),SUM(O$92,-(O$387-N$387))/SUM(O$92,-(O$387-N$387),O$94),SUM(P$92,-(P$387-O$387))/SUM(P$92,-(P$387-O$387),P$94)),SUM(P$92,-(P$387-O$387))/SUM(P$92,-(P$387-O$387),P$94))*SUM(Q$464,Q$390-P$390,Q$391-P$391,Q$408-P$408,Q$409-P$409,Q$193-Q$190,Q$41))</f>
        <v>8.9379369598174474</v>
      </c>
      <c r="R92" s="7">
        <f ca="1">SUM(R$387-Q$387,IF(R$6=OFFSET(Assumptions!$B$8,0,$C$1),AVERAGE(SUM(O$92,-(O$387-N$387))/SUM(O$92,-(O$387-N$387),O$94),SUM(P$92,-(P$387-O$387))/SUM(P$92,-(P$387-O$387),P$94),SUM(Q$92,-(Q$387-P$387))/SUM(Q$92,-(Q$387-P$387),Q$94)),SUM(Q$92,-(Q$387-P$387))/SUM(Q$92,-(Q$387-P$387),Q$94))*SUM(R$464,R$390-Q$390,R$391-Q$391,R$408-Q$408,R$409-Q$409,R$193-R$190,R$41))</f>
        <v>9.4149246532186552</v>
      </c>
      <c r="S92" s="7">
        <f ca="1">SUM(S$387-R$387,IF(S$6=OFFSET(Assumptions!$B$8,0,$C$1),AVERAGE(SUM(P$92,-(P$387-O$387))/SUM(P$92,-(P$387-O$387),P$94),SUM(Q$92,-(Q$387-P$387))/SUM(Q$92,-(Q$387-P$387),Q$94),SUM(R$92,-(R$387-Q$387))/SUM(R$92,-(R$387-Q$387),R$94)),SUM(R$92,-(R$387-Q$387))/SUM(R$92,-(R$387-Q$387),R$94))*SUM(S$464,S$390-R$390,S$391-R$391,S$408-R$408,S$409-R$409,S$193-S$190,S$41))</f>
        <v>9.9595167013198171</v>
      </c>
      <c r="T92" s="7">
        <f ca="1">SUM(T$387-S$387,IF(T$6=OFFSET(Assumptions!$B$8,0,$C$1),AVERAGE(SUM(Q$92,-(Q$387-P$387))/SUM(Q$92,-(Q$387-P$387),Q$94),SUM(R$92,-(R$387-Q$387))/SUM(R$92,-(R$387-Q$387),R$94),SUM(S$92,-(S$387-R$387))/SUM(S$92,-(S$387-R$387),S$94)),SUM(S$92,-(S$387-R$387))/SUM(S$92,-(S$387-R$387),S$94))*SUM(T$464,T$390-S$390,T$391-S$391,T$408-S$408,T$409-S$409,T$193-T$190,T$41))</f>
        <v>10.581965653942824</v>
      </c>
    </row>
    <row r="93" spans="1:20" x14ac:dyDescent="0.2">
      <c r="A93" s="1" t="s">
        <v>717</v>
      </c>
      <c r="B93" s="4" t="str">
        <f t="shared" si="57"/>
        <v>From Fiscal</v>
      </c>
      <c r="D93" s="15">
        <f>-'Fiscal Forecasts'!D$82</f>
        <v>4.9119999999999999</v>
      </c>
      <c r="E93" s="15">
        <f>-'Fiscal Forecasts'!E$82</f>
        <v>-1.41</v>
      </c>
      <c r="F93" s="16">
        <f>-'Fiscal Forecasts'!F$82</f>
        <v>-1.7230000000000001</v>
      </c>
      <c r="G93" s="16">
        <f>-'Fiscal Forecasts'!G$82</f>
        <v>-2.1970000000000001</v>
      </c>
      <c r="H93" s="16">
        <f>-'Fiscal Forecasts'!H$82</f>
        <v>0.24199999999999999</v>
      </c>
      <c r="I93" s="16">
        <f>-'Fiscal Forecasts'!I$82</f>
        <v>2.5590000000000002</v>
      </c>
      <c r="J93" s="16">
        <f>-'Fiscal Forecasts'!J$82</f>
        <v>-0.65300000000000002</v>
      </c>
      <c r="K93" s="7">
        <f t="shared" ref="K93:T93" ca="1" si="58">SUM(K$335-J$335,K$344-J$344)-SUM(K$309,K$151-K$144-(K$322-J$322)-K$83)</f>
        <v>4.1851763571335088</v>
      </c>
      <c r="L93" s="7">
        <f t="shared" ca="1" si="58"/>
        <v>3.831153387075108</v>
      </c>
      <c r="M93" s="7">
        <f t="shared" ca="1" si="58"/>
        <v>3.5127832737803777</v>
      </c>
      <c r="N93" s="7">
        <f t="shared" ca="1" si="58"/>
        <v>3.1822942055006056</v>
      </c>
      <c r="O93" s="7">
        <f t="shared" ca="1" si="58"/>
        <v>2.8054313409739455</v>
      </c>
      <c r="P93" s="7">
        <f t="shared" ca="1" si="58"/>
        <v>2.3253725484020844</v>
      </c>
      <c r="Q93" s="7">
        <f t="shared" ca="1" si="58"/>
        <v>2.0591350973476974</v>
      </c>
      <c r="R93" s="7">
        <f t="shared" ca="1" si="58"/>
        <v>1.7824724387575888</v>
      </c>
      <c r="S93" s="7">
        <f t="shared" ca="1" si="58"/>
        <v>1.5405074376935142</v>
      </c>
      <c r="T93" s="7">
        <f t="shared" ca="1" si="58"/>
        <v>1.3092185337265025</v>
      </c>
    </row>
    <row r="94" spans="1:20" x14ac:dyDescent="0.2">
      <c r="A94" s="1" t="s">
        <v>718</v>
      </c>
      <c r="B94" s="4" t="str">
        <f t="shared" si="57"/>
        <v>From Fiscal</v>
      </c>
      <c r="D94" s="15">
        <f>-'Fiscal Forecasts'!D$83</f>
        <v>0.63100000000000001</v>
      </c>
      <c r="E94" s="15">
        <f>-'Fiscal Forecasts'!E$83</f>
        <v>0.68700000000000006</v>
      </c>
      <c r="F94" s="16">
        <f>-'Fiscal Forecasts'!F$83</f>
        <v>0.72</v>
      </c>
      <c r="G94" s="16">
        <f>-'Fiscal Forecasts'!G$83</f>
        <v>0.84</v>
      </c>
      <c r="H94" s="16">
        <f>-'Fiscal Forecasts'!H$83</f>
        <v>0.64200000000000002</v>
      </c>
      <c r="I94" s="16">
        <f>-'Fiscal Forecasts'!I$83</f>
        <v>0.57399999999999995</v>
      </c>
      <c r="J94" s="16">
        <f>-'Fiscal Forecasts'!J$83</f>
        <v>0.52100000000000002</v>
      </c>
      <c r="K94" s="7">
        <f ca="1">IF(K$6=OFFSET(Assumptions!$B$8,0,$C$1),AVERAGE(H$94/SUM(H$92,-(H$387-G$387),H$94),I$94/SUM(I$92,-(I$387-H$387),I$94),J$94/SUM(J$92,-(J$387-I$387),J$94)),J$94/SUM(J$92,-(J$387-I$387),J$94))*SUM(K$464,K$390-J$390,K$391-J$391,K$408-J$408,K$409-J$409,K$193-K$190,K$41)</f>
        <v>0.56237413370427003</v>
      </c>
      <c r="L94" s="7">
        <f ca="1">IF(L$6=OFFSET(Assumptions!$B$8,0,$C$1),AVERAGE(I$94/SUM(I$92,-(I$387-H$387),I$94),J$94/SUM(J$92,-(J$387-I$387),J$94),K$94/SUM(K$92,-(K$387-J$387),K$94)),K$94/SUM(K$92,-(K$387-J$387),K$94))*SUM(L$464,L$390-K$390,L$391-K$391,L$408-K$408,L$409-K$409,L$193-L$190,L$41)</f>
        <v>0.57979535571037033</v>
      </c>
      <c r="M94" s="7">
        <f ca="1">IF(M$6=OFFSET(Assumptions!$B$8,0,$C$1),AVERAGE(J$94/SUM(J$92,-(J$387-I$387),J$94),K$94/SUM(K$92,-(K$387-J$387),K$94),L$94/SUM(L$92,-(L$387-K$387),L$94)),L$94/SUM(L$92,-(L$387-K$387),L$94))*SUM(M$464,M$390-L$390,M$391-L$391,M$408-L$408,M$409-L$409,M$193-M$190,M$41)</f>
        <v>0.60033990101006962</v>
      </c>
      <c r="N94" s="7">
        <f ca="1">IF(N$6=OFFSET(Assumptions!$B$8,0,$C$1),AVERAGE(K$94/SUM(K$92,-(K$387-J$387),K$94),L$94/SUM(L$92,-(L$387-K$387),L$94),M$94/SUM(M$92,-(M$387-L$387),M$94)),M$94/SUM(M$92,-(M$387-L$387),M$94))*SUM(N$464,N$390-M$390,N$391-M$391,N$408-M$408,N$409-M$409,N$193-N$190,N$41)</f>
        <v>0.62276091356024732</v>
      </c>
      <c r="O94" s="7">
        <f ca="1">IF(O$6=OFFSET(Assumptions!$B$8,0,$C$1),AVERAGE(L$94/SUM(L$92,-(L$387-K$387),L$94),M$94/SUM(M$92,-(M$387-L$387),M$94),N$94/SUM(N$92,-(N$387-M$387),N$94)),N$94/SUM(N$92,-(N$387-M$387),N$94))*SUM(O$464,O$390-N$390,O$391-N$391,O$408-N$408,O$409-N$409,O$193-O$190,O$41)</f>
        <v>0.64814314959439412</v>
      </c>
      <c r="P94" s="7">
        <f ca="1">IF(P$6=OFFSET(Assumptions!$B$8,0,$C$1),AVERAGE(M$94/SUM(M$92,-(M$387-L$387),M$94),N$94/SUM(N$92,-(N$387-M$387),N$94),O$94/SUM(O$92,-(O$387-N$387),O$94)),O$94/SUM(O$92,-(O$387-N$387),O$94))*SUM(P$464,P$390-O$390,P$391-O$391,P$408-O$408,P$409-O$409,P$193-P$190,P$41)</f>
        <v>0.67664451752003962</v>
      </c>
      <c r="Q94" s="7">
        <f ca="1">IF(Q$6=OFFSET(Assumptions!$B$8,0,$C$1),AVERAGE(N$94/SUM(N$92,-(N$387-M$387),N$94),O$94/SUM(O$92,-(O$387-N$387),O$94),P$94/SUM(P$92,-(P$387-O$387),P$94)),P$94/SUM(P$92,-(P$387-O$387),P$94))*SUM(Q$464,Q$390-P$390,Q$391-P$391,Q$408-P$408,Q$409-P$409,Q$193-Q$190,Q$41)</f>
        <v>0.71038493522150004</v>
      </c>
      <c r="R94" s="7">
        <f ca="1">IF(R$6=OFFSET(Assumptions!$B$8,0,$C$1),AVERAGE(O$94/SUM(O$92,-(O$387-N$387),O$94),P$94/SUM(P$92,-(P$387-O$387),P$94),Q$94/SUM(Q$92,-(Q$387-P$387),Q$94)),Q$94/SUM(Q$92,-(Q$387-P$387),Q$94))*SUM(R$464,R$390-Q$390,R$391-Q$391,R$408-Q$408,R$409-Q$409,R$193-R$190,R$41)</f>
        <v>0.74855922960744314</v>
      </c>
      <c r="S94" s="7">
        <f ca="1">IF(S$6=OFFSET(Assumptions!$B$8,0,$C$1),AVERAGE(P$94/SUM(P$92,-(P$387-O$387),P$94),Q$94/SUM(Q$92,-(Q$387-P$387),Q$94),R$94/SUM(R$92,-(R$387-Q$387),R$94)),R$94/SUM(R$92,-(R$387-Q$387),R$94))*SUM(S$464,S$390-R$390,S$391-R$391,S$408-R$408,S$409-R$409,S$193-S$190,S$41)</f>
        <v>0.79210805053236832</v>
      </c>
      <c r="T94" s="7">
        <f ca="1">IF(T$6=OFFSET(Assumptions!$B$8,0,$C$1),AVERAGE(Q$94/SUM(Q$92,-(Q$387-P$387),Q$94),R$94/SUM(R$92,-(R$387-Q$387),R$94),S$94/SUM(S$92,-(S$387-R$387),S$94)),S$94/SUM(S$92,-(S$387-R$387),S$94))*SUM(T$464,T$390-S$390,T$391-S$391,T$408-S$408,T$409-S$409,T$193-T$190,T$41)</f>
        <v>0.8418786889832155</v>
      </c>
    </row>
    <row r="95" spans="1:20" x14ac:dyDescent="0.2">
      <c r="A95" s="1" t="s">
        <v>719</v>
      </c>
      <c r="B95" s="4" t="str">
        <f t="shared" si="57"/>
        <v>From Fiscal</v>
      </c>
      <c r="D95" s="15">
        <f>-'Fiscal Forecasts'!D$84</f>
        <v>1.6859999999999999</v>
      </c>
      <c r="E95" s="15">
        <f>-'Fiscal Forecasts'!E$84</f>
        <v>1.702</v>
      </c>
      <c r="F95" s="16">
        <f>-'Fiscal Forecasts'!F$84</f>
        <v>0.91100000000000003</v>
      </c>
      <c r="G95" s="16">
        <f>-'Fiscal Forecasts'!G$84</f>
        <v>1.319</v>
      </c>
      <c r="H95" s="16">
        <f>-'Fiscal Forecasts'!H$84</f>
        <v>1.143</v>
      </c>
      <c r="I95" s="16">
        <f>-'Fiscal Forecasts'!I$84</f>
        <v>0.97099999999999997</v>
      </c>
      <c r="J95" s="16">
        <f>-'Fiscal Forecasts'!J$84</f>
        <v>0.95199999999999996</v>
      </c>
      <c r="K95" s="7">
        <f t="shared" ref="K95:T95" ca="1" si="59">SUM(K$367-J$367,-(K$144-K$237))</f>
        <v>0.86023164971343757</v>
      </c>
      <c r="L95" s="7">
        <f t="shared" ca="1" si="59"/>
        <v>1.2748988110428083</v>
      </c>
      <c r="M95" s="7">
        <f t="shared" ca="1" si="59"/>
        <v>1.3286750344780032</v>
      </c>
      <c r="N95" s="7">
        <f t="shared" ca="1" si="59"/>
        <v>1.3862932011101607</v>
      </c>
      <c r="O95" s="7">
        <f t="shared" ca="1" si="59"/>
        <v>1.4323728927725854</v>
      </c>
      <c r="P95" s="7">
        <f t="shared" ca="1" si="59"/>
        <v>1.4982293856401427</v>
      </c>
      <c r="Q95" s="7">
        <f t="shared" ca="1" si="59"/>
        <v>1.5482287011782632</v>
      </c>
      <c r="R95" s="7">
        <f t="shared" ca="1" si="59"/>
        <v>1.5977479884431345</v>
      </c>
      <c r="S95" s="7">
        <f t="shared" ca="1" si="59"/>
        <v>1.649968892866096</v>
      </c>
      <c r="T95" s="7">
        <f t="shared" ca="1" si="59"/>
        <v>1.6991025966941504</v>
      </c>
    </row>
    <row r="96" spans="1:20" x14ac:dyDescent="0.2">
      <c r="A96" s="1" t="s">
        <v>720</v>
      </c>
      <c r="B96" s="4" t="str">
        <f t="shared" si="57"/>
        <v>From Fiscal</v>
      </c>
      <c r="D96" s="15">
        <f>-'Fiscal Forecasts'!D$85</f>
        <v>-0.73199999999999998</v>
      </c>
      <c r="E96" s="15">
        <f>-'Fiscal Forecasts'!E$85</f>
        <v>-0.113</v>
      </c>
      <c r="F96" s="16">
        <f>-'Fiscal Forecasts'!F$85</f>
        <v>1.4999999999999999E-2</v>
      </c>
      <c r="G96" s="16">
        <f>-'Fiscal Forecasts'!G$85</f>
        <v>-5.0000000000000001E-3</v>
      </c>
      <c r="H96" s="16">
        <f>-'Fiscal Forecasts'!H$85</f>
        <v>-0.02</v>
      </c>
      <c r="I96" s="16">
        <f>-'Fiscal Forecasts'!I$85</f>
        <v>-5.5E-2</v>
      </c>
      <c r="J96" s="16">
        <f>-'Fiscal Forecasts'!J$85</f>
        <v>-0.245</v>
      </c>
      <c r="K96" s="7">
        <f ca="1">SUM(K$404-J$404,-K$313)</f>
        <v>0.48688118570851679</v>
      </c>
      <c r="L96" s="7">
        <f t="shared" ref="L96:T96" ca="1" si="60">SUM(L$404-K$404,-L$313)</f>
        <v>0.16698066159820069</v>
      </c>
      <c r="M96" s="7">
        <f t="shared" ca="1" si="60"/>
        <v>0.17966926215815393</v>
      </c>
      <c r="N96" s="7">
        <f t="shared" ca="1" si="60"/>
        <v>0.18751227799567427</v>
      </c>
      <c r="O96" s="7">
        <f t="shared" ca="1" si="60"/>
        <v>0.19561610083945635</v>
      </c>
      <c r="P96" s="7">
        <f t="shared" ca="1" si="60"/>
        <v>0.20401273646479468</v>
      </c>
      <c r="Q96" s="7">
        <f t="shared" ca="1" si="60"/>
        <v>0.21268919809313985</v>
      </c>
      <c r="R96" s="7">
        <f t="shared" ca="1" si="60"/>
        <v>0.22163581072100291</v>
      </c>
      <c r="S96" s="7">
        <f t="shared" ca="1" si="60"/>
        <v>0.23089318522064889</v>
      </c>
      <c r="T96" s="7">
        <f t="shared" ca="1" si="60"/>
        <v>0.24044694517154747</v>
      </c>
    </row>
    <row r="97" spans="1:20" x14ac:dyDescent="0.2">
      <c r="A97" s="1" t="s">
        <v>703</v>
      </c>
      <c r="B97" s="4"/>
      <c r="D97" s="15">
        <f>SUM(D$422-C$422,D$423-C$423)</f>
        <v>0</v>
      </c>
      <c r="E97" s="15">
        <f>SUM(E$422-D$422,E$423-D$423)</f>
        <v>0</v>
      </c>
      <c r="F97" s="16">
        <f>SUM(F$422-E$422,F$423-E$423)</f>
        <v>0</v>
      </c>
      <c r="G97" s="16">
        <f t="shared" ref="G97:J97" si="61">SUM(G$422-F$422,G$423-F$423)</f>
        <v>-0.64400000000000002</v>
      </c>
      <c r="H97" s="16">
        <f t="shared" si="61"/>
        <v>1.2030000000000003</v>
      </c>
      <c r="I97" s="16">
        <f t="shared" si="61"/>
        <v>1.3449999999999998</v>
      </c>
      <c r="J97" s="16">
        <f t="shared" si="61"/>
        <v>1.7350000000000003</v>
      </c>
      <c r="K97" s="7">
        <f ca="1">IF(OFFSET(Assumptions!$B$64,0,$C$1)="Yes",0,SUM(K$422-J$422,K$423-J$423))</f>
        <v>0.83566666666666634</v>
      </c>
      <c r="L97" s="7">
        <f ca="1">IF(OFFSET(Assumptions!$B$64,0,$C$1)="Yes",0,SUM(L$422-K$422,L$423-K$423))</f>
        <v>2.9504666666666663</v>
      </c>
      <c r="M97" s="7">
        <f ca="1">IF(OFFSET(Assumptions!$B$64,0,$C$1)="Yes",0,SUM(M$422-L$422,M$423-L$423))</f>
        <v>3.9002266666666667</v>
      </c>
      <c r="N97" s="7">
        <f ca="1">IF(OFFSET(Assumptions!$B$64,0,$C$1)="Yes",0,SUM(N$422-M$422,N$423-M$423))</f>
        <v>4.8910720000000003</v>
      </c>
      <c r="O97" s="7">
        <f ca="1">IF(OFFSET(Assumptions!$B$64,0,$C$1)="Yes",0,SUM(O$422-N$422,O$423-N$423))</f>
        <v>5.8692863999999982</v>
      </c>
      <c r="P97" s="7">
        <f ca="1">IF(OFFSET(Assumptions!$B$64,0,$C$1)="Yes",0,SUM(P$422-O$422,P$423-O$423))</f>
        <v>7.04314368</v>
      </c>
      <c r="Q97" s="7">
        <f ca="1">IF(OFFSET(Assumptions!$B$64,0,$C$1)="Yes",0,SUM(Q$422-P$422,Q$423-P$423))</f>
        <v>8.4517724159999972</v>
      </c>
      <c r="R97" s="7">
        <f ca="1">IF(OFFSET(Assumptions!$B$64,0,$C$1)="Yes",0,SUM(R$422-Q$422,R$423-Q$423))</f>
        <v>10.142126899199997</v>
      </c>
      <c r="S97" s="7">
        <f ca="1">IF(OFFSET(Assumptions!$B$64,0,$C$1)="Yes",0,SUM(S$422-R$422,S$423-R$423))</f>
        <v>12.170552279040006</v>
      </c>
      <c r="T97" s="7">
        <f ca="1">IF(OFFSET(Assumptions!$B$64,0,$C$1)="Yes",0,SUM(T$422-S$422,T$423-S$423))</f>
        <v>14.604662734847995</v>
      </c>
    </row>
    <row r="98" spans="1:20" ht="15" x14ac:dyDescent="0.25">
      <c r="A98" s="2" t="s">
        <v>708</v>
      </c>
      <c r="D98" s="35">
        <f t="shared" ref="D98:T98" si="62">-SUM(D$92:D$97)</f>
        <v>-12.673999999999999</v>
      </c>
      <c r="E98" s="35">
        <f t="shared" si="62"/>
        <v>-7.0640000000000001</v>
      </c>
      <c r="F98" s="34">
        <f t="shared" si="62"/>
        <v>-6.8129999999999997</v>
      </c>
      <c r="G98" s="34">
        <f t="shared" si="62"/>
        <v>-7.9739999999999984</v>
      </c>
      <c r="H98" s="34">
        <f t="shared" si="62"/>
        <v>-11.457999999999998</v>
      </c>
      <c r="I98" s="34">
        <f t="shared" si="62"/>
        <v>-12.458000000000002</v>
      </c>
      <c r="J98" s="34">
        <f t="shared" si="62"/>
        <v>-8.86</v>
      </c>
      <c r="K98" s="38">
        <f t="shared" ca="1" si="62"/>
        <v>-14.014047291000225</v>
      </c>
      <c r="L98" s="38">
        <f t="shared" ca="1" si="62"/>
        <v>-16.105018966257926</v>
      </c>
      <c r="M98" s="38">
        <f t="shared" ca="1" si="62"/>
        <v>-17.081436180823758</v>
      </c>
      <c r="N98" s="38">
        <f t="shared" ca="1" si="62"/>
        <v>-18.111224965420259</v>
      </c>
      <c r="O98" s="38">
        <f t="shared" ca="1" si="62"/>
        <v>-19.110390413684275</v>
      </c>
      <c r="P98" s="38">
        <f t="shared" ca="1" si="62"/>
        <v>-20.263797324162038</v>
      </c>
      <c r="Q98" s="38">
        <f t="shared" ca="1" si="62"/>
        <v>-21.920147307658045</v>
      </c>
      <c r="R98" s="38">
        <f t="shared" ca="1" si="62"/>
        <v>-23.907467019947823</v>
      </c>
      <c r="S98" s="38">
        <f t="shared" ca="1" si="62"/>
        <v>-26.343546546672449</v>
      </c>
      <c r="T98" s="38">
        <f t="shared" ca="1" si="62"/>
        <v>-29.277275153366233</v>
      </c>
    </row>
    <row r="99" spans="1:20" x14ac:dyDescent="0.2">
      <c r="A99" s="1" t="s">
        <v>195</v>
      </c>
      <c r="B99" s="4" t="str">
        <f t="shared" si="57"/>
        <v>From Fiscal</v>
      </c>
      <c r="D99" s="15">
        <f>'Fiscal Forecasts'!D$88</f>
        <v>0.372</v>
      </c>
      <c r="E99" s="15">
        <f>'Fiscal Forecasts'!E$88</f>
        <v>0.378</v>
      </c>
      <c r="F99" s="16">
        <f>'Fiscal Forecasts'!F$88</f>
        <v>0.30199999999999999</v>
      </c>
      <c r="G99" s="16">
        <f>'Fiscal Forecasts'!G$88</f>
        <v>0.17799999999999999</v>
      </c>
      <c r="H99" s="16">
        <f>'Fiscal Forecasts'!H$88</f>
        <v>0.184</v>
      </c>
      <c r="I99" s="16">
        <f>'Fiscal Forecasts'!I$88</f>
        <v>0.189</v>
      </c>
      <c r="J99" s="16">
        <f>'Fiscal Forecasts'!J$88</f>
        <v>0.19400000000000001</v>
      </c>
      <c r="K99" s="7">
        <f ca="1">K$426-J$426</f>
        <v>0.32040733445139491</v>
      </c>
      <c r="L99" s="7">
        <f t="shared" ref="L99:T99" ca="1" si="63">L$426-K$426</f>
        <v>0.33644036907538499</v>
      </c>
      <c r="M99" s="7">
        <f t="shared" ca="1" si="63"/>
        <v>0.34432795445466802</v>
      </c>
      <c r="N99" s="7">
        <f t="shared" ca="1" si="63"/>
        <v>0.35288507743213948</v>
      </c>
      <c r="O99" s="7">
        <f t="shared" ca="1" si="63"/>
        <v>0.35806036851659684</v>
      </c>
      <c r="P99" s="7">
        <f t="shared" ca="1" si="63"/>
        <v>0.36374361235771424</v>
      </c>
      <c r="Q99" s="7">
        <f t="shared" ca="1" si="63"/>
        <v>0.37586572003372787</v>
      </c>
      <c r="R99" s="7">
        <f t="shared" ca="1" si="63"/>
        <v>0.38756870499474871</v>
      </c>
      <c r="S99" s="7">
        <f t="shared" ca="1" si="63"/>
        <v>0.40103095950569667</v>
      </c>
      <c r="T99" s="7">
        <f t="shared" ca="1" si="63"/>
        <v>0.41387042515611228</v>
      </c>
    </row>
    <row r="100" spans="1:20" x14ac:dyDescent="0.2">
      <c r="A100" s="1" t="s">
        <v>358</v>
      </c>
      <c r="B100" s="4" t="str">
        <f t="shared" si="57"/>
        <v>From Fiscal</v>
      </c>
      <c r="D100" s="15">
        <f>SUM('Fiscal Forecasts'!D$89:D$91)</f>
        <v>6.3040000000000003</v>
      </c>
      <c r="E100" s="15">
        <f>SUM('Fiscal Forecasts'!E$89:E$91)</f>
        <v>2.4990000000000006</v>
      </c>
      <c r="F100" s="16">
        <f>SUM('Fiscal Forecasts'!F$89:F$91)</f>
        <v>1.9510000000000001</v>
      </c>
      <c r="G100" s="16">
        <f>SUM('Fiscal Forecasts'!G$89:G$91)</f>
        <v>-1.9359999999999991</v>
      </c>
      <c r="H100" s="16">
        <f>SUM('Fiscal Forecasts'!H$89:H$91)</f>
        <v>2.387</v>
      </c>
      <c r="I100" s="16">
        <f>SUM('Fiscal Forecasts'!I$89:I$91)</f>
        <v>0.85799999999999998</v>
      </c>
      <c r="J100" s="16">
        <f>SUM('Fiscal Forecasts'!J$89:J$91)</f>
        <v>-4.1260000000000003</v>
      </c>
      <c r="K100" s="7">
        <f ca="1">SUM(K$319-J$319,K$101,-K$91,-K$98,-K$99)</f>
        <v>-1.6903725717990143</v>
      </c>
      <c r="L100" s="7">
        <f t="shared" ref="L100:T100" ca="1" si="64">SUM(L$319-K$319,L$101,-L$91,-L$98,-L$99)</f>
        <v>-0.41582264988696416</v>
      </c>
      <c r="M100" s="7">
        <f t="shared" ca="1" si="64"/>
        <v>-0.66568950859275411</v>
      </c>
      <c r="N100" s="7">
        <f t="shared" ca="1" si="64"/>
        <v>-0.91686749252060018</v>
      </c>
      <c r="O100" s="7">
        <f t="shared" ca="1" si="64"/>
        <v>-1.0639994902294738</v>
      </c>
      <c r="P100" s="7">
        <f t="shared" ca="1" si="64"/>
        <v>-1.1981991519008357</v>
      </c>
      <c r="Q100" s="7">
        <f t="shared" ca="1" si="64"/>
        <v>-0.84881664880859553</v>
      </c>
      <c r="R100" s="7">
        <f t="shared" ca="1" si="64"/>
        <v>-0.10876476109989852</v>
      </c>
      <c r="S100" s="7">
        <f t="shared" ca="1" si="64"/>
        <v>1.0005842564212628</v>
      </c>
      <c r="T100" s="7">
        <f t="shared" ca="1" si="64"/>
        <v>2.5707525284227657</v>
      </c>
    </row>
    <row r="101" spans="1:20" x14ac:dyDescent="0.2">
      <c r="A101" s="1" t="s">
        <v>1314</v>
      </c>
      <c r="B101" s="4" t="str">
        <f t="shared" si="57"/>
        <v>From Fiscal</v>
      </c>
      <c r="D101" s="15">
        <f>-'Fiscal Forecasts'!D$92</f>
        <v>0.47799999999999998</v>
      </c>
      <c r="E101" s="15">
        <f>-'Fiscal Forecasts'!E$92</f>
        <v>0.50900000000000001</v>
      </c>
      <c r="F101" s="16">
        <f>-'Fiscal Forecasts'!F$92</f>
        <v>0.64400000000000002</v>
      </c>
      <c r="G101" s="16">
        <f>-'Fiscal Forecasts'!G$92</f>
        <v>0.41499999999999998</v>
      </c>
      <c r="H101" s="16">
        <f>-'Fiscal Forecasts'!H$92</f>
        <v>0.50600000000000001</v>
      </c>
      <c r="I101" s="16">
        <f>-'Fiscal Forecasts'!I$92</f>
        <v>0.52900000000000003</v>
      </c>
      <c r="J101" s="16">
        <f>-'Fiscal Forecasts'!J$92</f>
        <v>0.54</v>
      </c>
      <c r="K101" s="7">
        <f t="shared" ref="K101:T101" ca="1" si="65">K$38</f>
        <v>0.46333419650311386</v>
      </c>
      <c r="L101" s="7">
        <f t="shared" ca="1" si="65"/>
        <v>0.46960239168159346</v>
      </c>
      <c r="M101" s="7">
        <f t="shared" ca="1" si="65"/>
        <v>0.4762151319194074</v>
      </c>
      <c r="N101" s="7">
        <f t="shared" ca="1" si="65"/>
        <v>0.48311653492452822</v>
      </c>
      <c r="O101" s="7">
        <f t="shared" ca="1" si="65"/>
        <v>0.49031619971775636</v>
      </c>
      <c r="P101" s="7">
        <f t="shared" ca="1" si="65"/>
        <v>0.49782490329477525</v>
      </c>
      <c r="Q101" s="7">
        <f t="shared" ca="1" si="65"/>
        <v>0.50565294467194111</v>
      </c>
      <c r="R101" s="7">
        <f t="shared" ca="1" si="65"/>
        <v>0.5138102667764044</v>
      </c>
      <c r="S101" s="7">
        <f t="shared" ca="1" si="65"/>
        <v>0.5223083072214173</v>
      </c>
      <c r="T101" s="7">
        <f t="shared" ca="1" si="65"/>
        <v>0.53115797449503099</v>
      </c>
    </row>
    <row r="102" spans="1:20" ht="15" x14ac:dyDescent="0.25">
      <c r="A102" s="2" t="s">
        <v>360</v>
      </c>
      <c r="D102" s="35">
        <f>SUM(D$99,D$100,-D$101)</f>
        <v>6.1980000000000004</v>
      </c>
      <c r="E102" s="35">
        <f>SUM(E$99,E$100,-E$101)</f>
        <v>2.3680000000000008</v>
      </c>
      <c r="F102" s="34">
        <f>SUM(F$99,F$100,-F$101)</f>
        <v>1.609</v>
      </c>
      <c r="G102" s="34">
        <f t="shared" ref="G102:J102" si="66">SUM(G$99,G$100,-G$101)</f>
        <v>-2.1729999999999992</v>
      </c>
      <c r="H102" s="34">
        <f t="shared" si="66"/>
        <v>2.0650000000000004</v>
      </c>
      <c r="I102" s="34">
        <f t="shared" si="66"/>
        <v>0.5179999999999999</v>
      </c>
      <c r="J102" s="34">
        <f t="shared" si="66"/>
        <v>-4.4720000000000004</v>
      </c>
      <c r="K102" s="38">
        <f t="shared" ref="K102:T102" ca="1" si="67">SUM(K$99,K$100,-K$101)</f>
        <v>-1.8332994338507334</v>
      </c>
      <c r="L102" s="38">
        <f t="shared" ca="1" si="67"/>
        <v>-0.54898467249317262</v>
      </c>
      <c r="M102" s="38">
        <f t="shared" ca="1" si="67"/>
        <v>-0.79757668605749354</v>
      </c>
      <c r="N102" s="38">
        <f t="shared" ca="1" si="67"/>
        <v>-1.0470989500129888</v>
      </c>
      <c r="O102" s="38">
        <f t="shared" ca="1" si="67"/>
        <v>-1.1962553214306333</v>
      </c>
      <c r="P102" s="38">
        <f t="shared" ca="1" si="67"/>
        <v>-1.3322804428378967</v>
      </c>
      <c r="Q102" s="38">
        <f t="shared" ca="1" si="67"/>
        <v>-0.97860387344680877</v>
      </c>
      <c r="R102" s="38">
        <f t="shared" ca="1" si="67"/>
        <v>-0.23500632288155421</v>
      </c>
      <c r="S102" s="38">
        <f t="shared" ca="1" si="67"/>
        <v>0.87930690870554218</v>
      </c>
      <c r="T102" s="38">
        <f t="shared" ca="1" si="67"/>
        <v>2.4534649790838472</v>
      </c>
    </row>
    <row r="103" spans="1:20" ht="15" x14ac:dyDescent="0.25">
      <c r="A103" s="2" t="s">
        <v>201</v>
      </c>
      <c r="D103" s="36">
        <f t="shared" ref="D103:T103" si="68">SUM(D$91,D$98,D$102)</f>
        <v>-0.88400000000001455</v>
      </c>
      <c r="E103" s="36">
        <f t="shared" si="68"/>
        <v>3.8200000000000203</v>
      </c>
      <c r="F103" s="37">
        <f t="shared" si="68"/>
        <v>3.7790000000000186</v>
      </c>
      <c r="G103" s="37">
        <f t="shared" si="68"/>
        <v>-2.4010000000000025</v>
      </c>
      <c r="H103" s="37">
        <f t="shared" si="68"/>
        <v>-5.8000000000018481E-2</v>
      </c>
      <c r="I103" s="37">
        <f t="shared" si="68"/>
        <v>0.32400000000000795</v>
      </c>
      <c r="J103" s="37">
        <f t="shared" si="68"/>
        <v>0.43599999999997241</v>
      </c>
      <c r="K103" s="28">
        <f t="shared" ca="1" si="68"/>
        <v>0.67614282787669566</v>
      </c>
      <c r="L103" s="28">
        <f t="shared" ca="1" si="68"/>
        <v>1.1723796494341134</v>
      </c>
      <c r="M103" s="28">
        <f t="shared" ca="1" si="68"/>
        <v>1.1724633321428712</v>
      </c>
      <c r="N103" s="28">
        <f t="shared" ca="1" si="68"/>
        <v>1.1704824135029477</v>
      </c>
      <c r="O103" s="28">
        <f t="shared" ca="1" si="68"/>
        <v>1.1547912738254993</v>
      </c>
      <c r="P103" s="28">
        <f t="shared" ca="1" si="68"/>
        <v>1.1322464166789585</v>
      </c>
      <c r="Q103" s="28">
        <f t="shared" ca="1" si="68"/>
        <v>1.1517190354130546</v>
      </c>
      <c r="R103" s="28">
        <f t="shared" ca="1" si="68"/>
        <v>1.1701301903622849</v>
      </c>
      <c r="S103" s="28">
        <f t="shared" ca="1" si="68"/>
        <v>1.1949536108244465</v>
      </c>
      <c r="T103" s="28">
        <f t="shared" ca="1" si="68"/>
        <v>1.2186478630572424</v>
      </c>
    </row>
    <row r="104" spans="1:20" x14ac:dyDescent="0.2">
      <c r="A104" s="19" t="s">
        <v>359</v>
      </c>
    </row>
    <row r="105" spans="1:20" ht="15" x14ac:dyDescent="0.25">
      <c r="A105" s="2" t="s">
        <v>712</v>
      </c>
      <c r="D105" s="35">
        <f t="shared" ref="D105:T105" si="69">SUM(D$309,-D$41)</f>
        <v>4.3289999999999997</v>
      </c>
      <c r="E105" s="35">
        <f t="shared" si="69"/>
        <v>-7.5069999999999997</v>
      </c>
      <c r="F105" s="34">
        <f t="shared" si="69"/>
        <v>7.258</v>
      </c>
      <c r="G105" s="34">
        <f t="shared" si="69"/>
        <v>2.5449999999999999</v>
      </c>
      <c r="H105" s="34">
        <f t="shared" si="69"/>
        <v>2.8380000000000001</v>
      </c>
      <c r="I105" s="34">
        <f t="shared" si="69"/>
        <v>3.1509999999999998</v>
      </c>
      <c r="J105" s="34">
        <f t="shared" si="69"/>
        <v>3.399</v>
      </c>
      <c r="K105" s="38">
        <f t="shared" ca="1" si="69"/>
        <v>3.0426670671989351</v>
      </c>
      <c r="L105" s="38">
        <f t="shared" ca="1" si="69"/>
        <v>3.3911375997657331</v>
      </c>
      <c r="M105" s="38">
        <f t="shared" ca="1" si="69"/>
        <v>3.7615140973850321</v>
      </c>
      <c r="N105" s="38">
        <f t="shared" ca="1" si="69"/>
        <v>4.1529902610146072</v>
      </c>
      <c r="O105" s="38">
        <f t="shared" ca="1" si="69"/>
        <v>4.5652429518073863</v>
      </c>
      <c r="P105" s="38">
        <f t="shared" ca="1" si="69"/>
        <v>4.9693014305896446</v>
      </c>
      <c r="Q105" s="38">
        <f t="shared" ca="1" si="69"/>
        <v>5.2969627511549557</v>
      </c>
      <c r="R105" s="38">
        <f t="shared" ca="1" si="69"/>
        <v>5.6220138644902065</v>
      </c>
      <c r="S105" s="38">
        <f t="shared" ca="1" si="69"/>
        <v>5.9457177286480078</v>
      </c>
      <c r="T105" s="38">
        <f t="shared" ca="1" si="69"/>
        <v>6.2692681841247868</v>
      </c>
    </row>
    <row r="106" spans="1:20" x14ac:dyDescent="0.2">
      <c r="A106" s="1" t="s">
        <v>706</v>
      </c>
      <c r="D106" s="54">
        <f t="shared" ref="D106:T106" si="70">D$193</f>
        <v>4.8420000000000005</v>
      </c>
      <c r="E106" s="54">
        <f t="shared" si="70"/>
        <v>4.875</v>
      </c>
      <c r="F106" s="44">
        <f t="shared" si="70"/>
        <v>5.1630000000000003</v>
      </c>
      <c r="G106" s="44">
        <f t="shared" si="70"/>
        <v>5.327</v>
      </c>
      <c r="H106" s="44">
        <f t="shared" si="70"/>
        <v>5.4909999999999997</v>
      </c>
      <c r="I106" s="44">
        <f t="shared" si="70"/>
        <v>5.5949999999999998</v>
      </c>
      <c r="J106" s="44">
        <f t="shared" si="70"/>
        <v>5.6840000000000002</v>
      </c>
      <c r="K106" s="45">
        <f t="shared" ca="1" si="70"/>
        <v>5.9052354225158226</v>
      </c>
      <c r="L106" s="45">
        <f t="shared" ca="1" si="70"/>
        <v>6.0167131545111614</v>
      </c>
      <c r="M106" s="45">
        <f t="shared" ca="1" si="70"/>
        <v>6.2142712907614115</v>
      </c>
      <c r="N106" s="45">
        <f t="shared" ca="1" si="70"/>
        <v>6.4523657076238079</v>
      </c>
      <c r="O106" s="45">
        <f t="shared" ca="1" si="70"/>
        <v>6.7318570279369405</v>
      </c>
      <c r="P106" s="45">
        <f t="shared" ca="1" si="70"/>
        <v>7.0524992456712923</v>
      </c>
      <c r="Q106" s="45">
        <f t="shared" ca="1" si="70"/>
        <v>7.4217951929001647</v>
      </c>
      <c r="R106" s="45">
        <f t="shared" ca="1" si="70"/>
        <v>7.8487607500116541</v>
      </c>
      <c r="S106" s="45">
        <f t="shared" ca="1" si="70"/>
        <v>8.3444740841012219</v>
      </c>
      <c r="T106" s="45">
        <f t="shared" ca="1" si="70"/>
        <v>8.9218915029806247</v>
      </c>
    </row>
    <row r="107" spans="1:20" x14ac:dyDescent="0.2">
      <c r="A107" s="1" t="s">
        <v>709</v>
      </c>
      <c r="B107" s="4" t="str">
        <f t="shared" ref="B107:B117" si="71">$B$38</f>
        <v>From Fiscal</v>
      </c>
      <c r="D107" s="15">
        <f>-SUM('Fiscal Forecasts'!D$100:D$101)</f>
        <v>1.0009999999999999</v>
      </c>
      <c r="E107" s="15">
        <f>-SUM('Fiscal Forecasts'!E$100:E$101)</f>
        <v>0.91600000000000004</v>
      </c>
      <c r="F107" s="16">
        <f>-SUM('Fiscal Forecasts'!F$100:F$101)</f>
        <v>0.71599999999999997</v>
      </c>
      <c r="G107" s="16">
        <f>-SUM('Fiscal Forecasts'!G$100:G$101)</f>
        <v>1.254</v>
      </c>
      <c r="H107" s="16">
        <f>-SUM('Fiscal Forecasts'!H$100:H$101)</f>
        <v>0.92500000000000004</v>
      </c>
      <c r="I107" s="16">
        <f>-SUM('Fiscal Forecasts'!I$100:I$101)</f>
        <v>0.86099999999999999</v>
      </c>
      <c r="J107" s="16">
        <f>-SUM('Fiscal Forecasts'!J$100:J$101)</f>
        <v>0.84699999999999998</v>
      </c>
      <c r="K107" s="7">
        <f>K$237</f>
        <v>0.66800000000000004</v>
      </c>
      <c r="L107" s="7">
        <f t="shared" ref="L107:T107" si="72">L$237</f>
        <v>0.68799999999999994</v>
      </c>
      <c r="M107" s="7">
        <f t="shared" si="72"/>
        <v>0.70699999999999996</v>
      </c>
      <c r="N107" s="7">
        <f t="shared" si="72"/>
        <v>0.72699999999999998</v>
      </c>
      <c r="O107" s="7">
        <f t="shared" si="72"/>
        <v>0.74399999999999999</v>
      </c>
      <c r="P107" s="7">
        <f t="shared" si="72"/>
        <v>0.76400000000000001</v>
      </c>
      <c r="Q107" s="7">
        <f t="shared" si="72"/>
        <v>0.78400000000000003</v>
      </c>
      <c r="R107" s="7">
        <f t="shared" si="72"/>
        <v>0.8</v>
      </c>
      <c r="S107" s="7">
        <f t="shared" si="72"/>
        <v>0.81599999999999995</v>
      </c>
      <c r="T107" s="7">
        <f t="shared" si="72"/>
        <v>0.83299999999999996</v>
      </c>
    </row>
    <row r="108" spans="1:20" x14ac:dyDescent="0.2">
      <c r="A108" s="1" t="s">
        <v>721</v>
      </c>
      <c r="B108" s="4" t="str">
        <f t="shared" si="71"/>
        <v>From Fiscal</v>
      </c>
      <c r="D108" s="15">
        <f>-'Fiscal Forecasts'!D$102</f>
        <v>-0.373</v>
      </c>
      <c r="E108" s="15">
        <f>-'Fiscal Forecasts'!E$102</f>
        <v>-0.42</v>
      </c>
      <c r="F108" s="16">
        <f>-'Fiscal Forecasts'!F$102</f>
        <v>-0.45500000000000002</v>
      </c>
      <c r="G108" s="16">
        <f>-'Fiscal Forecasts'!G$102</f>
        <v>-0.59</v>
      </c>
      <c r="H108" s="16">
        <f>-'Fiscal Forecasts'!H$102</f>
        <v>-0.54700000000000004</v>
      </c>
      <c r="I108" s="16">
        <f>-'Fiscal Forecasts'!I$102</f>
        <v>-0.53</v>
      </c>
      <c r="J108" s="16">
        <f>-'Fiscal Forecasts'!J$102</f>
        <v>-0.52100000000000002</v>
      </c>
      <c r="K108" s="45">
        <f ca="1">K$448-J$448</f>
        <v>-0.28483113924749581</v>
      </c>
      <c r="L108" s="45">
        <f t="shared" ref="L108:T108" ca="1" si="73">L$448-K$448</f>
        <v>-0.29159970024381643</v>
      </c>
      <c r="M108" s="45">
        <f t="shared" ca="1" si="73"/>
        <v>-0.28776286208271795</v>
      </c>
      <c r="N108" s="45">
        <f t="shared" ca="1" si="73"/>
        <v>-0.28296681438133486</v>
      </c>
      <c r="O108" s="45">
        <f t="shared" ca="1" si="73"/>
        <v>-0.27433392851885507</v>
      </c>
      <c r="P108" s="45">
        <f t="shared" ca="1" si="73"/>
        <v>-0.26857867127720159</v>
      </c>
      <c r="Q108" s="45">
        <f t="shared" ca="1" si="73"/>
        <v>-0.26570104265637262</v>
      </c>
      <c r="R108" s="45">
        <f t="shared" ca="1" si="73"/>
        <v>-0.2724155094383045</v>
      </c>
      <c r="S108" s="45">
        <f t="shared" ca="1" si="73"/>
        <v>-0.27721155713968049</v>
      </c>
      <c r="T108" s="45">
        <f t="shared" ca="1" si="73"/>
        <v>-0.28296681438133753</v>
      </c>
    </row>
    <row r="109" spans="1:20" x14ac:dyDescent="0.2">
      <c r="A109" s="1" t="s">
        <v>722</v>
      </c>
      <c r="B109" s="4" t="str">
        <f t="shared" si="71"/>
        <v>From Fiscal</v>
      </c>
      <c r="D109" s="15">
        <f>-'Fiscal Forecasts'!D$103</f>
        <v>-0.746</v>
      </c>
      <c r="E109" s="15">
        <f>-'Fiscal Forecasts'!E$103</f>
        <v>0.59699999999999998</v>
      </c>
      <c r="F109" s="16">
        <f>-'Fiscal Forecasts'!F$103</f>
        <v>1.1419999999999999</v>
      </c>
      <c r="G109" s="16">
        <f>-'Fiscal Forecasts'!G$103</f>
        <v>-0.125</v>
      </c>
      <c r="H109" s="16">
        <f>-'Fiscal Forecasts'!H$103</f>
        <v>1.0549999999999999</v>
      </c>
      <c r="I109" s="16">
        <f>-'Fiscal Forecasts'!I$103</f>
        <v>1.78</v>
      </c>
      <c r="J109" s="16">
        <f>-'Fiscal Forecasts'!J$103</f>
        <v>1.984</v>
      </c>
      <c r="K109" s="45">
        <f ca="1">K$443-J$443</f>
        <v>2.0272730426751551</v>
      </c>
      <c r="L109" s="45">
        <f t="shared" ref="L109:T109" ca="1" si="74">L$443-K$443</f>
        <v>2.1194430592496118</v>
      </c>
      <c r="M109" s="45">
        <f t="shared" ca="1" si="74"/>
        <v>2.1964272030134637</v>
      </c>
      <c r="N109" s="45">
        <f t="shared" ca="1" si="74"/>
        <v>2.3111650780644695</v>
      </c>
      <c r="O109" s="45">
        <f t="shared" ca="1" si="74"/>
        <v>2.3211558861589197</v>
      </c>
      <c r="P109" s="45">
        <f t="shared" ca="1" si="74"/>
        <v>2.398932720951791</v>
      </c>
      <c r="Q109" s="45">
        <f t="shared" ca="1" si="74"/>
        <v>2.4578152113235205</v>
      </c>
      <c r="R109" s="45">
        <f t="shared" ca="1" si="74"/>
        <v>2.5223030597079585</v>
      </c>
      <c r="S109" s="45">
        <f t="shared" ca="1" si="74"/>
        <v>2.6144506189422003</v>
      </c>
      <c r="T109" s="45">
        <f t="shared" ca="1" si="74"/>
        <v>2.7109247474952554</v>
      </c>
    </row>
    <row r="110" spans="1:20" x14ac:dyDescent="0.2">
      <c r="A110" s="1" t="s">
        <v>723</v>
      </c>
      <c r="B110" s="4" t="str">
        <f t="shared" si="71"/>
        <v>From Fiscal</v>
      </c>
      <c r="D110" s="15">
        <f>-'Fiscal Forecasts'!D$104</f>
        <v>-0.69899999999999995</v>
      </c>
      <c r="E110" s="15">
        <f>-'Fiscal Forecasts'!E$104</f>
        <v>8.5000000000000006E-2</v>
      </c>
      <c r="F110" s="16">
        <f>-'Fiscal Forecasts'!F$104</f>
        <v>-7.9000000000000001E-2</v>
      </c>
      <c r="G110" s="16">
        <f>-'Fiscal Forecasts'!G$104</f>
        <v>0.185</v>
      </c>
      <c r="H110" s="16">
        <f>-'Fiscal Forecasts'!H$104</f>
        <v>0.17799999999999999</v>
      </c>
      <c r="I110" s="16">
        <f>-'Fiscal Forecasts'!I$104</f>
        <v>0.18099999999999999</v>
      </c>
      <c r="J110" s="16">
        <f>-'Fiscal Forecasts'!J$104</f>
        <v>0.17799999999999999</v>
      </c>
      <c r="K110" s="45">
        <f ca="1">SUM(-K$313,K$38)</f>
        <v>0.16489652357158785</v>
      </c>
      <c r="L110" s="45">
        <f t="shared" ref="L110:T110" ca="1" si="75">SUM(-L$313,L$38)</f>
        <v>0.1580712342471523</v>
      </c>
      <c r="M110" s="45">
        <f t="shared" ca="1" si="75"/>
        <v>0.15107012619220334</v>
      </c>
      <c r="N110" s="45">
        <f t="shared" ca="1" si="75"/>
        <v>0.14377813073407308</v>
      </c>
      <c r="O110" s="45">
        <f t="shared" ca="1" si="75"/>
        <v>0.13631241819283396</v>
      </c>
      <c r="P110" s="45">
        <f t="shared" ca="1" si="75"/>
        <v>0.12862584515049391</v>
      </c>
      <c r="Q110" s="45">
        <f t="shared" ca="1" si="75"/>
        <v>0.12075221261886743</v>
      </c>
      <c r="R110" s="45">
        <f t="shared" ca="1" si="75"/>
        <v>0.11271897224656524</v>
      </c>
      <c r="S110" s="45">
        <f t="shared" ca="1" si="75"/>
        <v>0.10446406870689245</v>
      </c>
      <c r="T110" s="45">
        <f t="shared" ca="1" si="75"/>
        <v>9.602442729943933E-2</v>
      </c>
    </row>
    <row r="111" spans="1:20" ht="15" x14ac:dyDescent="0.25">
      <c r="A111" s="2" t="s">
        <v>711</v>
      </c>
      <c r="D111" s="35">
        <f t="shared" ref="D111:T111" si="76">-SUM(D$106:D$110)</f>
        <v>-4.0250000000000004</v>
      </c>
      <c r="E111" s="35">
        <f t="shared" si="76"/>
        <v>-6.0529999999999999</v>
      </c>
      <c r="F111" s="34">
        <f t="shared" si="76"/>
        <v>-6.487000000000001</v>
      </c>
      <c r="G111" s="34">
        <f t="shared" si="76"/>
        <v>-6.0509999999999993</v>
      </c>
      <c r="H111" s="34">
        <f t="shared" si="76"/>
        <v>-7.1019999999999994</v>
      </c>
      <c r="I111" s="34">
        <f t="shared" si="76"/>
        <v>-7.8869999999999996</v>
      </c>
      <c r="J111" s="34">
        <f t="shared" si="76"/>
        <v>-8.1720000000000006</v>
      </c>
      <c r="K111" s="38">
        <f t="shared" ca="1" si="76"/>
        <v>-8.4805738495150713</v>
      </c>
      <c r="L111" s="38">
        <f t="shared" ca="1" si="76"/>
        <v>-8.6906277477641094</v>
      </c>
      <c r="M111" s="38">
        <f t="shared" ca="1" si="76"/>
        <v>-8.9810057578843612</v>
      </c>
      <c r="N111" s="38">
        <f t="shared" ca="1" si="76"/>
        <v>-9.3513421020410163</v>
      </c>
      <c r="O111" s="38">
        <f t="shared" ca="1" si="76"/>
        <v>-9.6589914037698392</v>
      </c>
      <c r="P111" s="38">
        <f t="shared" ca="1" si="76"/>
        <v>-10.075479140496375</v>
      </c>
      <c r="Q111" s="38">
        <f t="shared" ca="1" si="76"/>
        <v>-10.518661574186181</v>
      </c>
      <c r="R111" s="38">
        <f t="shared" ca="1" si="76"/>
        <v>-11.011367272527874</v>
      </c>
      <c r="S111" s="38">
        <f t="shared" ca="1" si="76"/>
        <v>-11.602177214610634</v>
      </c>
      <c r="T111" s="38">
        <f t="shared" ca="1" si="76"/>
        <v>-12.278873863393983</v>
      </c>
    </row>
    <row r="112" spans="1:20" x14ac:dyDescent="0.2">
      <c r="A112" s="1" t="s">
        <v>208</v>
      </c>
      <c r="B112" s="4" t="str">
        <f t="shared" si="71"/>
        <v>From Fiscal</v>
      </c>
      <c r="D112" s="15">
        <f>'Fiscal Forecasts'!D$106</f>
        <v>0.14099999999999999</v>
      </c>
      <c r="E112" s="15">
        <f>'Fiscal Forecasts'!E$106</f>
        <v>-0.53200000000000003</v>
      </c>
      <c r="F112" s="16">
        <f>'Fiscal Forecasts'!F$106</f>
        <v>1.776</v>
      </c>
      <c r="G112" s="16">
        <f>'Fiscal Forecasts'!G$106</f>
        <v>0.22600000000000001</v>
      </c>
      <c r="H112" s="16">
        <f>'Fiscal Forecasts'!H$106</f>
        <v>0.82099999999999995</v>
      </c>
      <c r="I112" s="16">
        <f>'Fiscal Forecasts'!I$106</f>
        <v>0.53900000000000003</v>
      </c>
      <c r="J112" s="16">
        <f>'Fiscal Forecasts'!J$106</f>
        <v>0.751</v>
      </c>
      <c r="K112" s="45">
        <f ca="1">K$326-J$326</f>
        <v>0.87491074535620683</v>
      </c>
      <c r="L112" s="45">
        <f t="shared" ref="L112:T112" ca="1" si="77">L$326-K$326</f>
        <v>0.92699358069436855</v>
      </c>
      <c r="M112" s="45">
        <f t="shared" ca="1" si="77"/>
        <v>0.97748965340713312</v>
      </c>
      <c r="N112" s="45">
        <f t="shared" ca="1" si="77"/>
        <v>1.0293871641880052</v>
      </c>
      <c r="O112" s="45">
        <f t="shared" ca="1" si="77"/>
        <v>1.0816286100461348</v>
      </c>
      <c r="P112" s="45">
        <f t="shared" ca="1" si="77"/>
        <v>1.134407998945953</v>
      </c>
      <c r="Q112" s="45">
        <f t="shared" ca="1" si="77"/>
        <v>1.1890689074916914</v>
      </c>
      <c r="R112" s="45">
        <f t="shared" ca="1" si="77"/>
        <v>1.2433138359027041</v>
      </c>
      <c r="S112" s="45">
        <f t="shared" ca="1" si="77"/>
        <v>1.2990977427295931</v>
      </c>
      <c r="T112" s="45">
        <f t="shared" ca="1" si="77"/>
        <v>1.3557452697684944</v>
      </c>
    </row>
    <row r="113" spans="1:20" x14ac:dyDescent="0.2">
      <c r="A113" s="1" t="s">
        <v>209</v>
      </c>
      <c r="B113" s="4" t="str">
        <f t="shared" si="71"/>
        <v>From Fiscal</v>
      </c>
      <c r="D113" s="15">
        <f>'Fiscal Forecasts'!D$107</f>
        <v>0.19600000000000001</v>
      </c>
      <c r="E113" s="15">
        <f>'Fiscal Forecasts'!E$107</f>
        <v>0.16900000000000001</v>
      </c>
      <c r="F113" s="16">
        <f>'Fiscal Forecasts'!F$107</f>
        <v>0.34300000000000003</v>
      </c>
      <c r="G113" s="16">
        <f>'Fiscal Forecasts'!G$107</f>
        <v>0.35899999999999999</v>
      </c>
      <c r="H113" s="16">
        <f>'Fiscal Forecasts'!H$107</f>
        <v>0.4</v>
      </c>
      <c r="I113" s="16">
        <f>'Fiscal Forecasts'!I$107</f>
        <v>0.35</v>
      </c>
      <c r="J113" s="16">
        <f>'Fiscal Forecasts'!J$107</f>
        <v>0.42199999999999999</v>
      </c>
      <c r="K113" s="45">
        <f ca="1">SUM(K$151,-(K$322-J$322),-K$83)</f>
        <v>0.43275712522248977</v>
      </c>
      <c r="L113" s="45">
        <f t="shared" ref="L113:T113" ca="1" si="78">SUM(L$151,-(L$322-K$322),-L$83)</f>
        <v>0.40186549474252065</v>
      </c>
      <c r="M113" s="45">
        <f t="shared" ca="1" si="78"/>
        <v>0.37242131308627968</v>
      </c>
      <c r="N113" s="45">
        <f t="shared" ca="1" si="78"/>
        <v>0.34268524736086459</v>
      </c>
      <c r="O113" s="45">
        <f t="shared" ca="1" si="78"/>
        <v>0.31356985171156726</v>
      </c>
      <c r="P113" s="45">
        <f t="shared" ca="1" si="78"/>
        <v>0.28642672357591348</v>
      </c>
      <c r="Q113" s="45">
        <f t="shared" ca="1" si="78"/>
        <v>0.26018986362787988</v>
      </c>
      <c r="R113" s="45">
        <f t="shared" ca="1" si="78"/>
        <v>0.25217356375006172</v>
      </c>
      <c r="S113" s="45">
        <f t="shared" ca="1" si="78"/>
        <v>0.24279013901452728</v>
      </c>
      <c r="T113" s="45">
        <f t="shared" ca="1" si="78"/>
        <v>0.23203033464616851</v>
      </c>
    </row>
    <row r="114" spans="1:20" x14ac:dyDescent="0.2">
      <c r="A114" s="1" t="s">
        <v>210</v>
      </c>
      <c r="B114" s="4" t="str">
        <f t="shared" si="71"/>
        <v>From Fiscal</v>
      </c>
      <c r="D114" s="15">
        <f>'Fiscal Forecasts'!D$108</f>
        <v>-0.105</v>
      </c>
      <c r="E114" s="15">
        <f>'Fiscal Forecasts'!E$108</f>
        <v>0.115</v>
      </c>
      <c r="F114" s="16">
        <f>'Fiscal Forecasts'!F$108</f>
        <v>2.4E-2</v>
      </c>
      <c r="G114" s="16">
        <f>'Fiscal Forecasts'!G$108</f>
        <v>-0.108</v>
      </c>
      <c r="H114" s="16">
        <f>'Fiscal Forecasts'!H$108</f>
        <v>-8.9999999999999993E-3</v>
      </c>
      <c r="I114" s="16">
        <f>'Fiscal Forecasts'!I$108</f>
        <v>6.0000000000000001E-3</v>
      </c>
      <c r="J114" s="16">
        <f>'Fiscal Forecasts'!J$108</f>
        <v>2.3E-2</v>
      </c>
      <c r="K114" s="45">
        <f ca="1">K$380-J$380</f>
        <v>5.4296841405646168E-2</v>
      </c>
      <c r="L114" s="45">
        <f t="shared" ref="L114:T114" ca="1" si="79">L$380-K$380</f>
        <v>5.6195945632423472E-2</v>
      </c>
      <c r="M114" s="45">
        <f t="shared" ca="1" si="79"/>
        <v>5.6730401759984339E-2</v>
      </c>
      <c r="N114" s="45">
        <f t="shared" ca="1" si="79"/>
        <v>5.7255129776480951E-2</v>
      </c>
      <c r="O114" s="45">
        <f t="shared" ca="1" si="79"/>
        <v>5.712677106848818E-2</v>
      </c>
      <c r="P114" s="45">
        <f t="shared" ca="1" si="79"/>
        <v>5.6943265450275948E-2</v>
      </c>
      <c r="Q114" s="45">
        <f t="shared" ca="1" si="79"/>
        <v>5.8840954844016302E-2</v>
      </c>
      <c r="R114" s="45">
        <f t="shared" ca="1" si="79"/>
        <v>6.0673031495140251E-2</v>
      </c>
      <c r="S114" s="45">
        <f t="shared" ca="1" si="79"/>
        <v>6.278051793925199E-2</v>
      </c>
      <c r="T114" s="45">
        <f t="shared" ca="1" si="79"/>
        <v>6.4790508151952642E-2</v>
      </c>
    </row>
    <row r="115" spans="1:20" x14ac:dyDescent="0.2">
      <c r="A115" s="1" t="s">
        <v>211</v>
      </c>
      <c r="B115" s="4" t="str">
        <f t="shared" si="71"/>
        <v>From Fiscal</v>
      </c>
      <c r="D115" s="15">
        <f>'Fiscal Forecasts'!D$109</f>
        <v>-1.2E-2</v>
      </c>
      <c r="E115" s="15">
        <f>'Fiscal Forecasts'!E$109</f>
        <v>7.0000000000000007E-2</v>
      </c>
      <c r="F115" s="16">
        <f>'Fiscal Forecasts'!F$109</f>
        <v>-1.7000000000000001E-2</v>
      </c>
      <c r="G115" s="16">
        <f>'Fiscal Forecasts'!G$109</f>
        <v>-1.7000000000000001E-2</v>
      </c>
      <c r="H115" s="16">
        <f>'Fiscal Forecasts'!H$109</f>
        <v>8.0000000000000002E-3</v>
      </c>
      <c r="I115" s="16">
        <f>'Fiscal Forecasts'!I$109</f>
        <v>2E-3</v>
      </c>
      <c r="J115" s="16">
        <f>'Fiscal Forecasts'!J$109</f>
        <v>4.3999999999999997E-2</v>
      </c>
      <c r="K115" s="45">
        <f ca="1">K$384-J$384</f>
        <v>0.1327463514954661</v>
      </c>
      <c r="L115" s="45">
        <f t="shared" ref="L115:T115" ca="1" si="80">L$384-K$384</f>
        <v>0.13767430151981408</v>
      </c>
      <c r="M115" s="45">
        <f t="shared" ca="1" si="80"/>
        <v>0.1392604552167076</v>
      </c>
      <c r="N115" s="45">
        <f t="shared" ca="1" si="80"/>
        <v>0.14086574734503632</v>
      </c>
      <c r="O115" s="45">
        <f t="shared" ca="1" si="80"/>
        <v>0.14090222791253559</v>
      </c>
      <c r="P115" s="45">
        <f t="shared" ca="1" si="80"/>
        <v>0.14085309010309333</v>
      </c>
      <c r="Q115" s="45">
        <f t="shared" ca="1" si="80"/>
        <v>0.14554715555667341</v>
      </c>
      <c r="R115" s="45">
        <f t="shared" ca="1" si="80"/>
        <v>0.15007892337111084</v>
      </c>
      <c r="S115" s="45">
        <f t="shared" ca="1" si="80"/>
        <v>0.15529193628240456</v>
      </c>
      <c r="T115" s="45">
        <f t="shared" ca="1" si="80"/>
        <v>0.16026378554846232</v>
      </c>
    </row>
    <row r="116" spans="1:20" x14ac:dyDescent="0.2">
      <c r="A116" s="1" t="s">
        <v>724</v>
      </c>
      <c r="B116" s="4" t="str">
        <f t="shared" si="71"/>
        <v>From Fiscal</v>
      </c>
      <c r="D116" s="15">
        <f>-'Fiscal Forecasts'!D$110</f>
        <v>0.14899999999999999</v>
      </c>
      <c r="E116" s="15">
        <f>-'Fiscal Forecasts'!E$110</f>
        <v>6.6000000000000003E-2</v>
      </c>
      <c r="F116" s="16">
        <f>-'Fiscal Forecasts'!F$110</f>
        <v>-0.11899999999999999</v>
      </c>
      <c r="G116" s="16">
        <f>-'Fiscal Forecasts'!G$110</f>
        <v>4.8000000000000001E-2</v>
      </c>
      <c r="H116" s="16">
        <f>-'Fiscal Forecasts'!H$110</f>
        <v>7.3999999999999996E-2</v>
      </c>
      <c r="I116" s="16">
        <f>-'Fiscal Forecasts'!I$110</f>
        <v>5.0000000000000001E-3</v>
      </c>
      <c r="J116" s="16">
        <f>-'Fiscal Forecasts'!J$110</f>
        <v>4.3999999999999997E-2</v>
      </c>
      <c r="K116" s="45">
        <f ca="1">K$437-J$437</f>
        <v>0.11778062113662013</v>
      </c>
      <c r="L116" s="45">
        <f t="shared" ref="L116:T116" ca="1" si="81">L$437-K$437</f>
        <v>0.12159365688124302</v>
      </c>
      <c r="M116" s="45">
        <f t="shared" ca="1" si="81"/>
        <v>0.12245238191517638</v>
      </c>
      <c r="N116" s="45">
        <f t="shared" ca="1" si="81"/>
        <v>0.12324384020488832</v>
      </c>
      <c r="O116" s="45">
        <f t="shared" ca="1" si="81"/>
        <v>0.12258864609861941</v>
      </c>
      <c r="P116" s="45">
        <f t="shared" ca="1" si="81"/>
        <v>0.12176090384182592</v>
      </c>
      <c r="Q116" s="45">
        <f t="shared" ca="1" si="81"/>
        <v>0.12581870372326476</v>
      </c>
      <c r="R116" s="45">
        <f t="shared" ca="1" si="81"/>
        <v>0.12973620489191751</v>
      </c>
      <c r="S116" s="45">
        <f t="shared" ca="1" si="81"/>
        <v>0.13424261056149644</v>
      </c>
      <c r="T116" s="45">
        <f t="shared" ca="1" si="81"/>
        <v>0.13854054154730111</v>
      </c>
    </row>
    <row r="117" spans="1:20" x14ac:dyDescent="0.2">
      <c r="A117" s="1" t="s">
        <v>725</v>
      </c>
      <c r="B117" s="4" t="str">
        <f t="shared" si="71"/>
        <v>From Fiscal</v>
      </c>
      <c r="D117" s="15">
        <f>-'Fiscal Forecasts'!D$111</f>
        <v>0.19600000000000001</v>
      </c>
      <c r="E117" s="15">
        <f>-'Fiscal Forecasts'!E$111</f>
        <v>8.1000000000000003E-2</v>
      </c>
      <c r="F117" s="16">
        <f>-'Fiscal Forecasts'!F$111</f>
        <v>0.52300000000000002</v>
      </c>
      <c r="G117" s="16">
        <f>-'Fiscal Forecasts'!G$111</f>
        <v>-0.96799999999999997</v>
      </c>
      <c r="H117" s="16">
        <f>-'Fiscal Forecasts'!H$111</f>
        <v>-0.38100000000000001</v>
      </c>
      <c r="I117" s="16">
        <f>-'Fiscal Forecasts'!I$111</f>
        <v>-0.75800000000000001</v>
      </c>
      <c r="J117" s="16">
        <f>-'Fiscal Forecasts'!J$111</f>
        <v>5.2999999999999999E-2</v>
      </c>
      <c r="K117" s="45">
        <f ca="1">SUM(K$433-J$433,K$452-J$452)</f>
        <v>1.0074604850344882</v>
      </c>
      <c r="L117" s="45">
        <f t="shared" ref="L117:T117" ca="1" si="82">SUM(L$433-K$433,L$452-K$452)</f>
        <v>1.0808495688845383</v>
      </c>
      <c r="M117" s="45">
        <f t="shared" ca="1" si="82"/>
        <v>1.0751492833009149</v>
      </c>
      <c r="N117" s="45">
        <f t="shared" ca="1" si="82"/>
        <v>1.0749804711131254</v>
      </c>
      <c r="O117" s="45">
        <f t="shared" ca="1" si="82"/>
        <v>1.0706861563765688</v>
      </c>
      <c r="P117" s="45">
        <f t="shared" ca="1" si="82"/>
        <v>1.0617607209292501</v>
      </c>
      <c r="Q117" s="45">
        <f t="shared" ca="1" si="82"/>
        <v>1.1037844001254573</v>
      </c>
      <c r="R117" s="45">
        <f t="shared" ca="1" si="82"/>
        <v>1.1446330787525252</v>
      </c>
      <c r="S117" s="45">
        <f t="shared" ca="1" si="82"/>
        <v>1.1879788332901846</v>
      </c>
      <c r="T117" s="45">
        <f t="shared" ca="1" si="82"/>
        <v>1.2301855087387157</v>
      </c>
    </row>
    <row r="118" spans="1:20" ht="15" x14ac:dyDescent="0.25">
      <c r="A118" s="2" t="s">
        <v>214</v>
      </c>
      <c r="D118" s="35">
        <f>SUM(D$112:D$115,-D$116,-D$117)</f>
        <v>-0.12500000000000003</v>
      </c>
      <c r="E118" s="35">
        <f>SUM(E$112:E$115,-E$116,-E$117)</f>
        <v>-0.32500000000000001</v>
      </c>
      <c r="F118" s="34">
        <f>SUM(F$112:F$115,-F$116,-F$117)</f>
        <v>1.722</v>
      </c>
      <c r="G118" s="34">
        <f t="shared" ref="G118:J118" si="83">SUM(G$112:G$115,-G$116,-G$117)</f>
        <v>1.38</v>
      </c>
      <c r="H118" s="34">
        <f t="shared" si="83"/>
        <v>1.5270000000000001</v>
      </c>
      <c r="I118" s="34">
        <f t="shared" si="83"/>
        <v>1.65</v>
      </c>
      <c r="J118" s="34">
        <f t="shared" si="83"/>
        <v>1.143</v>
      </c>
      <c r="K118" s="38">
        <f t="shared" ref="K118:T118" ca="1" si="84">SUM(K$112:K$115,-K$116,-K$117)</f>
        <v>0.36946995730870058</v>
      </c>
      <c r="L118" s="38">
        <f t="shared" ca="1" si="84"/>
        <v>0.32028609682334541</v>
      </c>
      <c r="M118" s="38">
        <f t="shared" ca="1" si="84"/>
        <v>0.3483001582540135</v>
      </c>
      <c r="N118" s="38">
        <f t="shared" ca="1" si="84"/>
        <v>0.37196897735237333</v>
      </c>
      <c r="O118" s="38">
        <f t="shared" ca="1" si="84"/>
        <v>0.39995265826353754</v>
      </c>
      <c r="P118" s="38">
        <f t="shared" ca="1" si="84"/>
        <v>0.43510945330415973</v>
      </c>
      <c r="Q118" s="38">
        <f t="shared" ca="1" si="84"/>
        <v>0.42404377767153889</v>
      </c>
      <c r="R118" s="38">
        <f t="shared" ca="1" si="84"/>
        <v>0.43187007087457419</v>
      </c>
      <c r="S118" s="38">
        <f t="shared" ca="1" si="84"/>
        <v>0.43773889211409589</v>
      </c>
      <c r="T118" s="38">
        <f t="shared" ca="1" si="84"/>
        <v>0.44410384782906109</v>
      </c>
    </row>
    <row r="119" spans="1:20" ht="15" x14ac:dyDescent="0.25">
      <c r="A119" s="2" t="s">
        <v>1342</v>
      </c>
      <c r="D119" s="36">
        <f t="shared" ref="D119:T119" si="85">SUM(D$91,D$105,D$111,D$118)</f>
        <v>5.7709999999999848</v>
      </c>
      <c r="E119" s="36">
        <f t="shared" si="85"/>
        <v>-5.3689999999999802</v>
      </c>
      <c r="F119" s="37">
        <f t="shared" si="85"/>
        <v>11.476000000000015</v>
      </c>
      <c r="G119" s="37">
        <f t="shared" si="85"/>
        <v>5.6199999999999957</v>
      </c>
      <c r="H119" s="37">
        <f t="shared" si="85"/>
        <v>6.5979999999999812</v>
      </c>
      <c r="I119" s="37">
        <f t="shared" si="85"/>
        <v>9.1780000000000097</v>
      </c>
      <c r="J119" s="37">
        <f t="shared" si="85"/>
        <v>10.137999999999973</v>
      </c>
      <c r="K119" s="28">
        <f t="shared" ca="1" si="85"/>
        <v>11.455052727720217</v>
      </c>
      <c r="L119" s="28">
        <f t="shared" ca="1" si="85"/>
        <v>12.847179237010183</v>
      </c>
      <c r="M119" s="28">
        <f t="shared" ca="1" si="85"/>
        <v>14.180284696778806</v>
      </c>
      <c r="N119" s="28">
        <f t="shared" ca="1" si="85"/>
        <v>15.502423465262162</v>
      </c>
      <c r="O119" s="28">
        <f t="shared" ca="1" si="85"/>
        <v>16.76764121524149</v>
      </c>
      <c r="P119" s="28">
        <f t="shared" ca="1" si="85"/>
        <v>18.057255927076323</v>
      </c>
      <c r="Q119" s="28">
        <f t="shared" ca="1" si="85"/>
        <v>19.252815171158222</v>
      </c>
      <c r="R119" s="28">
        <f t="shared" ca="1" si="85"/>
        <v>20.355120196028569</v>
      </c>
      <c r="S119" s="28">
        <f t="shared" ca="1" si="85"/>
        <v>21.440472654942823</v>
      </c>
      <c r="T119" s="28">
        <f t="shared" ca="1" si="85"/>
        <v>22.476956205899491</v>
      </c>
    </row>
    <row r="120" spans="1:20" ht="15" x14ac:dyDescent="0.25">
      <c r="A120" s="27" t="s">
        <v>361</v>
      </c>
      <c r="D120" s="6" t="str">
        <f t="shared" ref="D120:T120" si="86">IF(ROUND(D$43-D$119,3)=0,"OK","ERROR")</f>
        <v>OK</v>
      </c>
      <c r="E120" s="6" t="str">
        <f t="shared" si="86"/>
        <v>OK</v>
      </c>
      <c r="F120" s="6" t="str">
        <f t="shared" si="86"/>
        <v>OK</v>
      </c>
      <c r="G120" s="6" t="str">
        <f t="shared" si="86"/>
        <v>OK</v>
      </c>
      <c r="H120" s="6" t="str">
        <f t="shared" si="86"/>
        <v>OK</v>
      </c>
      <c r="I120" s="6" t="str">
        <f t="shared" si="86"/>
        <v>OK</v>
      </c>
      <c r="J120" s="6" t="str">
        <f t="shared" si="86"/>
        <v>OK</v>
      </c>
      <c r="K120" s="6" t="str">
        <f t="shared" ca="1" si="86"/>
        <v>OK</v>
      </c>
      <c r="L120" s="6" t="str">
        <f t="shared" ca="1" si="86"/>
        <v>OK</v>
      </c>
      <c r="M120" s="6" t="str">
        <f t="shared" ca="1" si="86"/>
        <v>OK</v>
      </c>
      <c r="N120" s="6" t="str">
        <f t="shared" ca="1" si="86"/>
        <v>OK</v>
      </c>
      <c r="O120" s="6" t="str">
        <f t="shared" ca="1" si="86"/>
        <v>OK</v>
      </c>
      <c r="P120" s="6" t="str">
        <f t="shared" ca="1" si="86"/>
        <v>OK</v>
      </c>
      <c r="Q120" s="6" t="str">
        <f t="shared" ca="1" si="86"/>
        <v>OK</v>
      </c>
      <c r="R120" s="6" t="str">
        <f t="shared" ca="1" si="86"/>
        <v>OK</v>
      </c>
      <c r="S120" s="6" t="str">
        <f t="shared" ca="1" si="86"/>
        <v>OK</v>
      </c>
      <c r="T120" s="6" t="str">
        <f t="shared" ca="1" si="86"/>
        <v>OK</v>
      </c>
    </row>
    <row r="121" spans="1:20" ht="15" x14ac:dyDescent="0.25">
      <c r="A121" s="27"/>
      <c r="D121" s="6"/>
      <c r="E121" s="6"/>
      <c r="F121" s="6"/>
      <c r="G121" s="6"/>
      <c r="H121" s="6"/>
      <c r="I121" s="6"/>
      <c r="J121" s="6"/>
      <c r="K121" s="6"/>
      <c r="L121" s="6"/>
      <c r="M121" s="6"/>
      <c r="N121" s="6"/>
      <c r="O121" s="6"/>
      <c r="P121" s="6"/>
      <c r="Q121" s="6"/>
      <c r="R121" s="6"/>
      <c r="S121" s="6"/>
      <c r="T121" s="6"/>
    </row>
    <row r="122" spans="1:20" x14ac:dyDescent="0.2">
      <c r="A122" s="19" t="s">
        <v>255</v>
      </c>
    </row>
    <row r="123" spans="1:20" x14ac:dyDescent="0.2">
      <c r="A123" s="19" t="s">
        <v>256</v>
      </c>
    </row>
    <row r="124" spans="1:20" x14ac:dyDescent="0.2">
      <c r="A124" s="1" t="s">
        <v>427</v>
      </c>
      <c r="B124" s="4" t="str">
        <f t="shared" ref="B124:B130" si="87">$B$38</f>
        <v>From Fiscal</v>
      </c>
      <c r="D124" s="15">
        <f>'Fiscal Forecasts'!D$209</f>
        <v>25.309000000000001</v>
      </c>
      <c r="E124" s="15">
        <f>'Fiscal Forecasts'!E$209</f>
        <v>27.018999999999998</v>
      </c>
      <c r="F124" s="16">
        <f>'Fiscal Forecasts'!F$209</f>
        <v>28.649000000000001</v>
      </c>
      <c r="G124" s="16">
        <f>'Fiscal Forecasts'!G$209</f>
        <v>29.623999999999999</v>
      </c>
      <c r="H124" s="16">
        <f>'Fiscal Forecasts'!H$209</f>
        <v>30.108000000000001</v>
      </c>
      <c r="I124" s="16">
        <f>'Fiscal Forecasts'!I$209</f>
        <v>31.733000000000001</v>
      </c>
      <c r="J124" s="16">
        <f>'Fiscal Forecasts'!J$209</f>
        <v>33.259</v>
      </c>
      <c r="K124" s="7">
        <f ca="1">IF(OFFSET(Assumptions!$B$30,0,$C$1)="Yes",J$124*(1+K$18)*(1+OFFSET(Assumptions!$B$31,0,$C$1)*K$28),(J$124/J$13+MIN(ABS(OFFSET(Assumptions!$B$32,0,$C$1)-J$124/J$13),OFFSET(Assumptions!$B$38,0,$C$1))*SIGN(OFFSET(Assumptions!$B$32,0,$C$1)-J$124/J$13))*K$13)</f>
        <v>34.852040290821044</v>
      </c>
      <c r="L124" s="7">
        <f ca="1">IF(OFFSET(Assumptions!$B$30,0,$C$1)="Yes",K$124*(1+L$18)*(1+OFFSET(Assumptions!$B$31,0,$C$1)*L$28),(K$124/K$13+MIN(ABS(OFFSET(Assumptions!$B$32,0,$C$1)-K$124/K$13),OFFSET(Assumptions!$B$38,0,$C$1))*SIGN(OFFSET(Assumptions!$B$32,0,$C$1)-K$124/K$13))*L$13)</f>
        <v>36.557055643249271</v>
      </c>
      <c r="M124" s="7">
        <f ca="1">IF(OFFSET(Assumptions!$B$30,0,$C$1)="Yes",L$124*(1+M$18)*(1+OFFSET(Assumptions!$B$31,0,$C$1)*M$28),(L$124/L$13+MIN(ABS(OFFSET(Assumptions!$B$32,0,$C$1)-L$124/L$13),OFFSET(Assumptions!$B$38,0,$C$1))*SIGN(OFFSET(Assumptions!$B$32,0,$C$1)-L$124/L$13))*M$13)</f>
        <v>38.338216734932168</v>
      </c>
      <c r="N124" s="7">
        <f ca="1">IF(OFFSET(Assumptions!$B$30,0,$C$1)="Yes",M$124*(1+N$18)*(1+OFFSET(Assumptions!$B$31,0,$C$1)*N$28),(M$124/M$13+MIN(ABS(OFFSET(Assumptions!$B$32,0,$C$1)-M$124/M$13),OFFSET(Assumptions!$B$38,0,$C$1))*SIGN(OFFSET(Assumptions!$B$32,0,$C$1)-M$124/M$13))*N$13)</f>
        <v>40.20341734879041</v>
      </c>
      <c r="O124" s="7">
        <f ca="1">IF(OFFSET(Assumptions!$B$30,0,$C$1)="Yes",N$124*(1+O$18)*(1+OFFSET(Assumptions!$B$31,0,$C$1)*O$28),(N$124/N$13+MIN(ABS(OFFSET(Assumptions!$B$32,0,$C$1)-N$124/N$13),OFFSET(Assumptions!$B$38,0,$C$1))*SIGN(OFFSET(Assumptions!$B$32,0,$C$1)-N$124/N$13))*O$13)</f>
        <v>42.140834029770247</v>
      </c>
      <c r="P124" s="7">
        <f ca="1">IF(OFFSET(Assumptions!$B$30,0,$C$1)="Yes",O$124*(1+P$18)*(1+OFFSET(Assumptions!$B$31,0,$C$1)*P$28),(O$124/O$13+MIN(ABS(OFFSET(Assumptions!$B$32,0,$C$1)-O$124/O$13),OFFSET(Assumptions!$B$38,0,$C$1))*SIGN(OFFSET(Assumptions!$B$32,0,$C$1)-O$124/O$13))*P$13)</f>
        <v>44.158194019237193</v>
      </c>
      <c r="Q124" s="7">
        <f ca="1">IF(OFFSET(Assumptions!$B$30,0,$C$1)="Yes",P$124*(1+Q$18)*(1+OFFSET(Assumptions!$B$31,0,$C$1)*Q$28),(P$124/P$13+MIN(ABS(OFFSET(Assumptions!$B$32,0,$C$1)-P$124/P$13),OFFSET(Assumptions!$B$38,0,$C$1))*SIGN(OFFSET(Assumptions!$B$32,0,$C$1)-P$124/P$13))*Q$13)</f>
        <v>46.253570858987786</v>
      </c>
      <c r="R124" s="7">
        <f ca="1">IF(OFFSET(Assumptions!$B$30,0,$C$1)="Yes",Q$124*(1+R$18)*(1+OFFSET(Assumptions!$B$31,0,$C$1)*R$28),(Q$124/Q$13+MIN(ABS(OFFSET(Assumptions!$B$32,0,$C$1)-Q$124/Q$13),OFFSET(Assumptions!$B$38,0,$C$1))*SIGN(OFFSET(Assumptions!$B$32,0,$C$1)-Q$124/Q$13))*R$13)</f>
        <v>48.425708597148706</v>
      </c>
      <c r="S124" s="7">
        <f ca="1">IF(OFFSET(Assumptions!$B$30,0,$C$1)="Yes",R$124*(1+S$18)*(1+OFFSET(Assumptions!$B$31,0,$C$1)*S$28),(R$124/R$13+MIN(ABS(OFFSET(Assumptions!$B$32,0,$C$1)-R$124/R$13),OFFSET(Assumptions!$B$38,0,$C$1))*SIGN(OFFSET(Assumptions!$B$32,0,$C$1)-R$124/R$13))*S$13)</f>
        <v>50.684350197310913</v>
      </c>
      <c r="T124" s="7">
        <f ca="1">IF(OFFSET(Assumptions!$B$30,0,$C$1)="Yes",S$124*(1+T$18)*(1+OFFSET(Assumptions!$B$31,0,$C$1)*T$28),(S$124/S$13+MIN(ABS(OFFSET(Assumptions!$B$32,0,$C$1)-S$124/S$13),OFFSET(Assumptions!$B$38,0,$C$1))*SIGN(OFFSET(Assumptions!$B$32,0,$C$1)-S$124/S$13))*T$13)</f>
        <v>53.02727794949282</v>
      </c>
    </row>
    <row r="125" spans="1:20" x14ac:dyDescent="0.2">
      <c r="A125" s="1" t="s">
        <v>428</v>
      </c>
      <c r="B125" s="4" t="str">
        <f t="shared" si="87"/>
        <v>From Fiscal</v>
      </c>
      <c r="D125" s="15">
        <f>'Fiscal Forecasts'!D$210</f>
        <v>10.295999999999999</v>
      </c>
      <c r="E125" s="15">
        <f>'Fiscal Forecasts'!E$210</f>
        <v>11.054</v>
      </c>
      <c r="F125" s="16">
        <f>'Fiscal Forecasts'!F$210</f>
        <v>12.686999999999999</v>
      </c>
      <c r="G125" s="16">
        <f>'Fiscal Forecasts'!G$210</f>
        <v>13.045</v>
      </c>
      <c r="H125" s="16">
        <f>'Fiscal Forecasts'!H$210</f>
        <v>13.925000000000001</v>
      </c>
      <c r="I125" s="16">
        <f>'Fiscal Forecasts'!I$210</f>
        <v>14.78</v>
      </c>
      <c r="J125" s="16">
        <f>'Fiscal Forecasts'!J$210</f>
        <v>15.513999999999999</v>
      </c>
      <c r="K125" s="7">
        <f ca="1">(J$125/J$13+MIN(ABS(OFFSET(Assumptions!$B$33,0,$C$1)-J$125/J$13),OFFSET(Assumptions!$B$38,0,$C$1))*SIGN(OFFSET(Assumptions!$B$33,0,$C$1)-J$125/J$13))*K$13</f>
        <v>16.009929388503121</v>
      </c>
      <c r="L125" s="7">
        <f ca="1">(K$125/K$13+MIN(ABS(OFFSET(Assumptions!$B$33,0,$C$1)-K$125/K$13),OFFSET(Assumptions!$B$38,0,$C$1))*SIGN(OFFSET(Assumptions!$B$33,0,$C$1)-K$125/K$13))*L$13</f>
        <v>16.536403128059511</v>
      </c>
      <c r="M125" s="7">
        <f ca="1">(L$125/L$13+MIN(ABS(OFFSET(Assumptions!$B$33,0,$C$1)-L$125/L$13),OFFSET(Assumptions!$B$38,0,$C$1))*SIGN(OFFSET(Assumptions!$B$33,0,$C$1)-L$125/L$13))*M$13</f>
        <v>17.075415398820361</v>
      </c>
      <c r="N125" s="7">
        <f ca="1">(M$125/M$13+MIN(ABS(OFFSET(Assumptions!$B$33,0,$C$1)-M$125/M$13),OFFSET(Assumptions!$B$38,0,$C$1))*SIGN(OFFSET(Assumptions!$B$33,0,$C$1)-M$125/M$13))*N$13</f>
        <v>17.629159401415006</v>
      </c>
      <c r="O125" s="7">
        <f ca="1">(N$125/N$13+MIN(ABS(OFFSET(Assumptions!$B$33,0,$C$1)-N$125/N$13),OFFSET(Assumptions!$B$38,0,$C$1))*SIGN(OFFSET(Assumptions!$B$33,0,$C$1)-N$125/N$13))*O$13</f>
        <v>18.191125489354782</v>
      </c>
      <c r="P125" s="7">
        <f ca="1">(O$125/O$13+MIN(ABS(OFFSET(Assumptions!$B$33,0,$C$1)-O$125/O$13),OFFSET(Assumptions!$B$38,0,$C$1))*SIGN(OFFSET(Assumptions!$B$33,0,$C$1)-O$125/O$13))*P$13</f>
        <v>18.763457649310613</v>
      </c>
      <c r="Q125" s="7">
        <f ca="1">(P$125/P$13+MIN(ABS(OFFSET(Assumptions!$B$33,0,$C$1)-P$125/P$13),OFFSET(Assumptions!$B$38,0,$C$1))*SIGN(OFFSET(Assumptions!$B$33,0,$C$1)-P$125/P$13))*Q$13</f>
        <v>19.344076954479931</v>
      </c>
      <c r="R125" s="7">
        <f ca="1">(Q$125/Q$13+MIN(ABS(OFFSET(Assumptions!$B$33,0,$C$1)-Q$125/Q$13),OFFSET(Assumptions!$B$38,0,$C$1))*SIGN(OFFSET(Assumptions!$B$33,0,$C$1)-Q$125/Q$13))*R$13</f>
        <v>19.931255390096414</v>
      </c>
      <c r="S125" s="7">
        <f ca="1">(R$125/R$13+MIN(ABS(OFFSET(Assumptions!$B$33,0,$C$1)-R$125/R$13),OFFSET(Assumptions!$B$38,0,$C$1))*SIGN(OFFSET(Assumptions!$B$33,0,$C$1)-R$125/R$13))*S$13</f>
        <v>20.527775206448805</v>
      </c>
      <c r="T125" s="7">
        <f ca="1">(S$125/S$13+MIN(ABS(OFFSET(Assumptions!$B$33,0,$C$1)-S$125/S$13),OFFSET(Assumptions!$B$38,0,$C$1))*SIGN(OFFSET(Assumptions!$B$33,0,$C$1)-S$125/S$13))*T$13</f>
        <v>21.131420134836826</v>
      </c>
    </row>
    <row r="126" spans="1:20" x14ac:dyDescent="0.2">
      <c r="A126" s="1" t="s">
        <v>429</v>
      </c>
      <c r="B126" s="4" t="str">
        <f t="shared" si="87"/>
        <v>From Fiscal</v>
      </c>
      <c r="D126" s="15">
        <f>'Fiscal Forecasts'!D$211</f>
        <v>17.169</v>
      </c>
      <c r="E126" s="15">
        <f>'Fiscal Forecasts'!E$211</f>
        <v>18.207999999999998</v>
      </c>
      <c r="F126" s="16">
        <f>'Fiscal Forecasts'!F$211</f>
        <v>19.663</v>
      </c>
      <c r="G126" s="16">
        <f>'Fiscal Forecasts'!G$211</f>
        <v>20.405000000000001</v>
      </c>
      <c r="H126" s="16">
        <f>'Fiscal Forecasts'!H$211</f>
        <v>21.530999999999999</v>
      </c>
      <c r="I126" s="16">
        <f>'Fiscal Forecasts'!I$211</f>
        <v>22.481999999999999</v>
      </c>
      <c r="J126" s="16">
        <f>'Fiscal Forecasts'!J$211</f>
        <v>23.379000000000001</v>
      </c>
      <c r="K126" s="7">
        <f ca="1">(J$126/J$13+MIN(ABS(OFFSET(Assumptions!$B$34,0,$C$1)-J$126/J$13),OFFSET(Assumptions!$B$38,0,$C$1))*SIGN(OFFSET(Assumptions!$B$34,0,$C$1)-J$126/J$13))*K$13</f>
        <v>24.548875416162467</v>
      </c>
      <c r="L126" s="7">
        <f ca="1">(K$126/K$13+MIN(ABS(OFFSET(Assumptions!$B$34,0,$C$1)-K$126/K$13),OFFSET(Assumptions!$B$38,0,$C$1))*SIGN(OFFSET(Assumptions!$B$34,0,$C$1)-K$126/K$13))*L$13</f>
        <v>25.801855580498756</v>
      </c>
      <c r="M126" s="7">
        <f ca="1">(L$126/L$13+MIN(ABS(OFFSET(Assumptions!$B$34,0,$C$1)-L$126/L$13),OFFSET(Assumptions!$B$38,0,$C$1))*SIGN(OFFSET(Assumptions!$B$34,0,$C$1)-L$126/L$13))*M$13</f>
        <v>27.113016614343422</v>
      </c>
      <c r="N126" s="7">
        <f ca="1">(M$126/M$13+MIN(ABS(OFFSET(Assumptions!$B$34,0,$C$1)-M$126/M$13),OFFSET(Assumptions!$B$38,0,$C$1))*SIGN(OFFSET(Assumptions!$B$34,0,$C$1)-M$126/M$13))*N$13</f>
        <v>28.362851496657854</v>
      </c>
      <c r="O126" s="7">
        <f ca="1">(N$126/N$13+MIN(ABS(OFFSET(Assumptions!$B$34,0,$C$1)-N$126/N$13),OFFSET(Assumptions!$B$38,0,$C$1))*SIGN(OFFSET(Assumptions!$B$34,0,$C$1)-N$126/N$13))*O$13</f>
        <v>29.588624690447297</v>
      </c>
      <c r="P126" s="7">
        <f ca="1">(O$126/O$13+MIN(ABS(OFFSET(Assumptions!$B$34,0,$C$1)-O$126/O$13),OFFSET(Assumptions!$B$38,0,$C$1))*SIGN(OFFSET(Assumptions!$B$34,0,$C$1)-O$126/O$13))*P$13</f>
        <v>30.858688346324055</v>
      </c>
      <c r="Q126" s="7">
        <f ca="1">(P$126/P$13+MIN(ABS(OFFSET(Assumptions!$B$34,0,$C$1)-P$126/P$13),OFFSET(Assumptions!$B$38,0,$C$1))*SIGN(OFFSET(Assumptions!$B$34,0,$C$1)-P$126/P$13))*Q$13</f>
        <v>32.171078101873427</v>
      </c>
      <c r="R126" s="7">
        <f ca="1">(Q$126/Q$13+MIN(ABS(OFFSET(Assumptions!$B$34,0,$C$1)-Q$126/Q$13),OFFSET(Assumptions!$B$38,0,$C$1))*SIGN(OFFSET(Assumptions!$B$34,0,$C$1)-Q$126/Q$13))*R$13</f>
        <v>33.524330529258933</v>
      </c>
      <c r="S126" s="7">
        <f ca="1">(R$126/R$13+MIN(ABS(OFFSET(Assumptions!$B$34,0,$C$1)-R$126/R$13),OFFSET(Assumptions!$B$38,0,$C$1))*SIGN(OFFSET(Assumptions!$B$34,0,$C$1)-R$126/R$13))*S$13</f>
        <v>34.924588373645982</v>
      </c>
      <c r="T126" s="7">
        <f ca="1">(S$126/S$13+MIN(ABS(OFFSET(Assumptions!$B$34,0,$C$1)-S$126/S$13),OFFSET(Assumptions!$B$38,0,$C$1))*SIGN(OFFSET(Assumptions!$B$34,0,$C$1)-S$126/S$13))*T$13</f>
        <v>36.369677077268669</v>
      </c>
    </row>
    <row r="127" spans="1:20" x14ac:dyDescent="0.2">
      <c r="A127" s="1" t="s">
        <v>433</v>
      </c>
      <c r="B127" s="4" t="str">
        <f t="shared" si="87"/>
        <v>From Fiscal</v>
      </c>
      <c r="D127" s="15">
        <f>'Fiscal Forecasts'!D$212</f>
        <v>3.2029999999999998</v>
      </c>
      <c r="E127" s="15">
        <f>'Fiscal Forecasts'!E$212</f>
        <v>3.4710000000000001</v>
      </c>
      <c r="F127" s="16">
        <f>'Fiscal Forecasts'!F$212</f>
        <v>3.5990000000000002</v>
      </c>
      <c r="G127" s="16">
        <f>'Fiscal Forecasts'!G$212</f>
        <v>3.6389999999999998</v>
      </c>
      <c r="H127" s="16">
        <f>'Fiscal Forecasts'!H$212</f>
        <v>3.7029999999999998</v>
      </c>
      <c r="I127" s="16">
        <f>'Fiscal Forecasts'!I$212</f>
        <v>3.7690000000000001</v>
      </c>
      <c r="J127" s="16">
        <f>'Fiscal Forecasts'!J$212</f>
        <v>3.8340000000000001</v>
      </c>
      <c r="K127" s="7">
        <f ca="1">(J$127/J$13+MIN(ABS(OFFSET(Assumptions!$B$35,0,$C$1)-J$127/J$13),OFFSET(Assumptions!$B$38,0,$C$1))*SIGN(OFFSET(Assumptions!$B$35,0,$C$1)-J$127/J$13))*K$13</f>
        <v>4.1667542142189573</v>
      </c>
      <c r="L127" s="7">
        <f ca="1">(K$127/K$13+MIN(ABS(OFFSET(Assumptions!$B$35,0,$C$1)-K$127/K$13),OFFSET(Assumptions!$B$38,0,$C$1))*SIGN(OFFSET(Assumptions!$B$35,0,$C$1)-K$127/K$13))*L$13</f>
        <v>4.5255008004928081</v>
      </c>
      <c r="M127" s="7">
        <f ca="1">(L$127/L$13+MIN(ABS(OFFSET(Assumptions!$B$35,0,$C$1)-L$127/L$13),OFFSET(Assumptions!$B$38,0,$C$1))*SIGN(OFFSET(Assumptions!$B$35,0,$C$1)-L$127/L$13))*M$13</f>
        <v>4.7742548512882985</v>
      </c>
      <c r="N127" s="7">
        <f ca="1">(M$127/M$13+MIN(ABS(OFFSET(Assumptions!$B$35,0,$C$1)-M$127/M$13),OFFSET(Assumptions!$B$38,0,$C$1))*SIGN(OFFSET(Assumptions!$B$35,0,$C$1)-M$127/M$13))*N$13</f>
        <v>4.982663100764217</v>
      </c>
      <c r="O127" s="7">
        <f ca="1">(N$127/N$13+MIN(ABS(OFFSET(Assumptions!$B$35,0,$C$1)-N$127/N$13),OFFSET(Assumptions!$B$38,0,$C$1))*SIGN(OFFSET(Assumptions!$B$35,0,$C$1)-N$127/N$13))*O$13</f>
        <v>5.1980016348083087</v>
      </c>
      <c r="P127" s="7">
        <f ca="1">(O$127/O$13+MIN(ABS(OFFSET(Assumptions!$B$35,0,$C$1)-O$127/O$13),OFFSET(Assumptions!$B$38,0,$C$1))*SIGN(OFFSET(Assumptions!$B$35,0,$C$1)-O$127/O$13))*P$13</f>
        <v>5.4211209257055772</v>
      </c>
      <c r="Q127" s="7">
        <f ca="1">(P$127/P$13+MIN(ABS(OFFSET(Assumptions!$B$35,0,$C$1)-P$127/P$13),OFFSET(Assumptions!$B$38,0,$C$1))*SIGN(OFFSET(Assumptions!$B$35,0,$C$1)-P$127/P$13))*Q$13</f>
        <v>5.6516758827615474</v>
      </c>
      <c r="R127" s="7">
        <f ca="1">(Q$127/Q$13+MIN(ABS(OFFSET(Assumptions!$B$35,0,$C$1)-Q$127/Q$13),OFFSET(Assumptions!$B$38,0,$C$1))*SIGN(OFFSET(Assumptions!$B$35,0,$C$1)-Q$127/Q$13))*R$13</f>
        <v>5.8894094173022458</v>
      </c>
      <c r="S127" s="7">
        <f ca="1">(R$127/R$13+MIN(ABS(OFFSET(Assumptions!$B$35,0,$C$1)-R$127/R$13),OFFSET(Assumptions!$B$38,0,$C$1))*SIGN(OFFSET(Assumptions!$B$35,0,$C$1)-R$127/R$13))*S$13</f>
        <v>6.1354006602351046</v>
      </c>
      <c r="T127" s="7">
        <f ca="1">(S$127/S$13+MIN(ABS(OFFSET(Assumptions!$B$35,0,$C$1)-S$127/S$13),OFFSET(Assumptions!$B$38,0,$C$1))*SIGN(OFFSET(Assumptions!$B$35,0,$C$1)-S$127/S$13))*T$13</f>
        <v>6.3892675946553066</v>
      </c>
    </row>
    <row r="128" spans="1:20" x14ac:dyDescent="0.2">
      <c r="A128" s="1" t="s">
        <v>261</v>
      </c>
      <c r="B128" s="4" t="str">
        <f t="shared" si="87"/>
        <v>From Fiscal</v>
      </c>
      <c r="D128" s="15">
        <f>'Fiscal Forecasts'!D$213</f>
        <v>10.078000000000001</v>
      </c>
      <c r="E128" s="15">
        <f>'Fiscal Forecasts'!E$213</f>
        <v>9.9160000000000004</v>
      </c>
      <c r="F128" s="16">
        <f>'Fiscal Forecasts'!F$213</f>
        <v>10.414</v>
      </c>
      <c r="G128" s="16">
        <f>'Fiscal Forecasts'!G$213</f>
        <v>10.873000000000001</v>
      </c>
      <c r="H128" s="16">
        <f>'Fiscal Forecasts'!H$213</f>
        <v>11.39</v>
      </c>
      <c r="I128" s="16">
        <f>'Fiscal Forecasts'!I$213</f>
        <v>12.299000000000001</v>
      </c>
      <c r="J128" s="16">
        <f>'Fiscal Forecasts'!J$213</f>
        <v>13.077000000000002</v>
      </c>
      <c r="K128" s="7">
        <f ca="1">(J$128/J$13+MIN(ABS(OFFSET(Assumptions!$B$36,0,$C$1)-J$128/J$13),OFFSET(Assumptions!$B$38,0,$C$1))*SIGN(OFFSET(Assumptions!$B$36,0,$C$1)-J$128/J$13))*K$13</f>
        <v>13.805636090379812</v>
      </c>
      <c r="L128" s="7">
        <f ca="1">(K$128/K$13+MIN(ABS(OFFSET(Assumptions!$B$36,0,$C$1)-K$128/K$13),OFFSET(Assumptions!$B$38,0,$C$1))*SIGN(OFFSET(Assumptions!$B$36,0,$C$1)-K$128/K$13))*L$13</f>
        <v>14.587273490776512</v>
      </c>
      <c r="M128" s="7">
        <f ca="1">(L$128/L$13+MIN(ABS(OFFSET(Assumptions!$B$36,0,$C$1)-L$128/L$13),OFFSET(Assumptions!$B$38,0,$C$1))*SIGN(OFFSET(Assumptions!$B$36,0,$C$1)-L$128/L$13))*M$13</f>
        <v>15.408359565527098</v>
      </c>
      <c r="N128" s="7">
        <f ca="1">(M$128/M$13+MIN(ABS(OFFSET(Assumptions!$B$36,0,$C$1)-M$128/M$13),OFFSET(Assumptions!$B$38,0,$C$1))*SIGN(OFFSET(Assumptions!$B$36,0,$C$1)-M$128/M$13))*N$13</f>
        <v>16.272614159061554</v>
      </c>
      <c r="O128" s="7">
        <f ca="1">(N$128/N$13+MIN(ABS(OFFSET(Assumptions!$B$36,0,$C$1)-N$128/N$13),OFFSET(Assumptions!$B$38,0,$C$1))*SIGN(OFFSET(Assumptions!$B$36,0,$C$1)-N$128/N$13))*O$13</f>
        <v>17.175799953232385</v>
      </c>
      <c r="P128" s="7">
        <f ca="1">(O$128/O$13+MIN(ABS(OFFSET(Assumptions!$B$36,0,$C$1)-O$128/O$13),OFFSET(Assumptions!$B$38,0,$C$1))*SIGN(OFFSET(Assumptions!$B$36,0,$C$1)-O$128/O$13))*P$13</f>
        <v>18.121559529363054</v>
      </c>
      <c r="Q128" s="7">
        <f ca="1">(P$128/P$13+MIN(ABS(OFFSET(Assumptions!$B$36,0,$C$1)-P$128/P$13),OFFSET(Assumptions!$B$38,0,$C$1))*SIGN(OFFSET(Assumptions!$B$36,0,$C$1)-P$128/P$13))*Q$13</f>
        <v>19.109623835605895</v>
      </c>
      <c r="R128" s="7">
        <f ca="1">(Q$128/Q$13+MIN(ABS(OFFSET(Assumptions!$B$36,0,$C$1)-Q$128/Q$13),OFFSET(Assumptions!$B$38,0,$C$1))*SIGN(OFFSET(Assumptions!$B$36,0,$C$1)-Q$128/Q$13))*R$13</f>
        <v>19.933385720099906</v>
      </c>
      <c r="S128" s="7">
        <f ca="1">(R$128/R$13+MIN(ABS(OFFSET(Assumptions!$B$36,0,$C$1)-R$128/R$13),OFFSET(Assumptions!$B$38,0,$C$1))*SIGN(OFFSET(Assumptions!$B$36,0,$C$1)-R$128/R$13))*S$13</f>
        <v>20.765971465411123</v>
      </c>
      <c r="T128" s="7">
        <f ca="1">(S$128/S$13+MIN(ABS(OFFSET(Assumptions!$B$36,0,$C$1)-S$128/S$13),OFFSET(Assumptions!$B$38,0,$C$1))*SIGN(OFFSET(Assumptions!$B$36,0,$C$1)-S$128/S$13))*T$13</f>
        <v>21.625213397294882</v>
      </c>
    </row>
    <row r="129" spans="1:20" ht="15" x14ac:dyDescent="0.25">
      <c r="A129" s="2" t="s">
        <v>430</v>
      </c>
      <c r="D129" s="35">
        <f t="shared" ref="D129:T129" si="88">SUM(D$124:D$128)</f>
        <v>66.055000000000007</v>
      </c>
      <c r="E129" s="35">
        <f t="shared" si="88"/>
        <v>69.667999999999992</v>
      </c>
      <c r="F129" s="34">
        <f t="shared" si="88"/>
        <v>75.012</v>
      </c>
      <c r="G129" s="34">
        <f t="shared" si="88"/>
        <v>77.585999999999999</v>
      </c>
      <c r="H129" s="34">
        <f t="shared" si="88"/>
        <v>80.656999999999996</v>
      </c>
      <c r="I129" s="34">
        <f t="shared" si="88"/>
        <v>85.063000000000017</v>
      </c>
      <c r="J129" s="34">
        <f t="shared" si="88"/>
        <v>89.063000000000002</v>
      </c>
      <c r="K129" s="38">
        <f t="shared" ca="1" si="88"/>
        <v>93.383235400085383</v>
      </c>
      <c r="L129" s="38">
        <f t="shared" ca="1" si="88"/>
        <v>98.00808864307686</v>
      </c>
      <c r="M129" s="38">
        <f t="shared" ca="1" si="88"/>
        <v>102.70926316491135</v>
      </c>
      <c r="N129" s="38">
        <f t="shared" ca="1" si="88"/>
        <v>107.45070550668905</v>
      </c>
      <c r="O129" s="38">
        <f t="shared" ca="1" si="88"/>
        <v>112.29438579761302</v>
      </c>
      <c r="P129" s="38">
        <f t="shared" ca="1" si="88"/>
        <v>117.3230204699405</v>
      </c>
      <c r="Q129" s="38">
        <f t="shared" ca="1" si="88"/>
        <v>122.53002563370859</v>
      </c>
      <c r="R129" s="38">
        <f t="shared" ca="1" si="88"/>
        <v>127.70408965390621</v>
      </c>
      <c r="S129" s="38">
        <f t="shared" ca="1" si="88"/>
        <v>133.03808590305192</v>
      </c>
      <c r="T129" s="38">
        <f t="shared" ca="1" si="88"/>
        <v>138.54285615354851</v>
      </c>
    </row>
    <row r="130" spans="1:20" x14ac:dyDescent="0.2">
      <c r="A130" s="1" t="s">
        <v>431</v>
      </c>
      <c r="B130" s="4" t="str">
        <f t="shared" si="87"/>
        <v>From Fiscal</v>
      </c>
      <c r="D130" s="15">
        <f>D$129-'Fiscal Forecasts'!D$150</f>
        <v>-0.58099999999998886</v>
      </c>
      <c r="E130" s="15">
        <f>E$129-'Fiscal Forecasts'!E$150</f>
        <v>-0.77700000000000102</v>
      </c>
      <c r="F130" s="16">
        <f>F$129-'Fiscal Forecasts'!F$150</f>
        <v>-0.61299999999999955</v>
      </c>
      <c r="G130" s="16">
        <f>G$129-'Fiscal Forecasts'!G$150</f>
        <v>-0.69200000000000728</v>
      </c>
      <c r="H130" s="16">
        <f>H$129-'Fiscal Forecasts'!H$150</f>
        <v>-0.64400000000000546</v>
      </c>
      <c r="I130" s="16">
        <f>I$129-'Fiscal Forecasts'!I$150</f>
        <v>-0.72199999999997999</v>
      </c>
      <c r="J130" s="16">
        <f>J$129-'Fiscal Forecasts'!J$150</f>
        <v>-0.75399999999999068</v>
      </c>
      <c r="K130" s="7">
        <f ca="1">(J$130/J$13-MIN(ABS(OFFSET(Assumptions!$B$37,0,$C$1)+J$130/J$13),OFFSET(Assumptions!$B$38,0,$C$1))*SIGN(OFFSET(Assumptions!$B$37,0,$C$1)+J$130/J$13))*K$13</f>
        <v>-0.9548364192848976</v>
      </c>
      <c r="L130" s="7">
        <f ca="1">(K$130/K$13-MIN(ABS(OFFSET(Assumptions!$B$37,0,$C$1)+K$130/K$13),OFFSET(Assumptions!$B$38,0,$C$1))*SIGN(OFFSET(Assumptions!$B$37,0,$C$1)+K$130/K$13))*L$13</f>
        <v>-1.0556207089929583</v>
      </c>
      <c r="M130" s="7">
        <f ca="1">(L$130/L$13-MIN(ABS(OFFSET(Assumptions!$B$37,0,$C$1)+L$130/L$13),OFFSET(Assumptions!$B$38,0,$C$1))*SIGN(OFFSET(Assumptions!$B$37,0,$C$1)+L$130/L$13))*M$13</f>
        <v>-1.1017511195280689</v>
      </c>
      <c r="N130" s="7">
        <f ca="1">(M$130/M$13-MIN(ABS(OFFSET(Assumptions!$B$37,0,$C$1)+M$130/M$13),OFFSET(Assumptions!$B$38,0,$C$1))*SIGN(OFFSET(Assumptions!$B$37,0,$C$1)+M$130/M$13))*N$13</f>
        <v>-1.1498453309455887</v>
      </c>
      <c r="O130" s="7">
        <f ca="1">(N$130/N$13-MIN(ABS(OFFSET(Assumptions!$B$37,0,$C$1)+N$130/N$13),OFFSET(Assumptions!$B$38,0,$C$1))*SIGN(OFFSET(Assumptions!$B$37,0,$C$1)+N$130/N$13))*O$13</f>
        <v>-1.1995388388019175</v>
      </c>
      <c r="P130" s="7">
        <f ca="1">(O$130/O$13-MIN(ABS(OFFSET(Assumptions!$B$37,0,$C$1)+O$130/O$13),OFFSET(Assumptions!$B$38,0,$C$1))*SIGN(OFFSET(Assumptions!$B$37,0,$C$1)+O$130/O$13))*P$13</f>
        <v>-1.2510279059320564</v>
      </c>
      <c r="Q130" s="7">
        <f ca="1">(P$130/P$13-MIN(ABS(OFFSET(Assumptions!$B$37,0,$C$1)+P$130/P$13),OFFSET(Assumptions!$B$38,0,$C$1))*SIGN(OFFSET(Assumptions!$B$37,0,$C$1)+P$130/P$13))*Q$13</f>
        <v>-1.3042328960218956</v>
      </c>
      <c r="R130" s="7">
        <f ca="1">(Q$130/Q$13-MIN(ABS(OFFSET(Assumptions!$B$37,0,$C$1)+Q$130/Q$13),OFFSET(Assumptions!$B$38,0,$C$1))*SIGN(OFFSET(Assumptions!$B$37,0,$C$1)+Q$130/Q$13))*R$13</f>
        <v>-1.3590944809159029</v>
      </c>
      <c r="S130" s="7">
        <f ca="1">(R$130/R$13-MIN(ABS(OFFSET(Assumptions!$B$37,0,$C$1)+R$130/R$13),OFFSET(Assumptions!$B$38,0,$C$1))*SIGN(OFFSET(Assumptions!$B$37,0,$C$1)+R$130/R$13))*S$13</f>
        <v>-1.4158616908234858</v>
      </c>
      <c r="T130" s="7">
        <f ca="1">(S$130/S$13-MIN(ABS(OFFSET(Assumptions!$B$37,0,$C$1)+S$130/S$13),OFFSET(Assumptions!$B$38,0,$C$1))*SIGN(OFFSET(Assumptions!$B$37,0,$C$1)+S$130/S$13))*T$13</f>
        <v>-1.4744463679973785</v>
      </c>
    </row>
    <row r="131" spans="1:20" ht="15" x14ac:dyDescent="0.25">
      <c r="A131" s="2" t="s">
        <v>432</v>
      </c>
      <c r="D131" s="35">
        <f>SUM(D$129,-D$130)</f>
        <v>66.635999999999996</v>
      </c>
      <c r="E131" s="35">
        <f>SUM(E$129,-E$130)</f>
        <v>70.444999999999993</v>
      </c>
      <c r="F131" s="34">
        <f>SUM(F$129,-F$130)</f>
        <v>75.625</v>
      </c>
      <c r="G131" s="34">
        <f t="shared" ref="G131:J131" si="89">SUM(G$129,-G$130)</f>
        <v>78.278000000000006</v>
      </c>
      <c r="H131" s="34">
        <f t="shared" si="89"/>
        <v>81.301000000000002</v>
      </c>
      <c r="I131" s="34">
        <f t="shared" si="89"/>
        <v>85.784999999999997</v>
      </c>
      <c r="J131" s="34">
        <f t="shared" si="89"/>
        <v>89.816999999999993</v>
      </c>
      <c r="K131" s="38">
        <f t="shared" ref="K131:T131" ca="1" si="90">SUM(K$129,-K$130)</f>
        <v>94.338071819370285</v>
      </c>
      <c r="L131" s="38">
        <f t="shared" ca="1" si="90"/>
        <v>99.063709352069822</v>
      </c>
      <c r="M131" s="38">
        <f t="shared" ca="1" si="90"/>
        <v>103.81101428443942</v>
      </c>
      <c r="N131" s="38">
        <f t="shared" ca="1" si="90"/>
        <v>108.60055083763464</v>
      </c>
      <c r="O131" s="38">
        <f t="shared" ca="1" si="90"/>
        <v>113.49392463641493</v>
      </c>
      <c r="P131" s="38">
        <f t="shared" ca="1" si="90"/>
        <v>118.57404837587256</v>
      </c>
      <c r="Q131" s="38">
        <f t="shared" ca="1" si="90"/>
        <v>123.83425852973049</v>
      </c>
      <c r="R131" s="38">
        <f t="shared" ca="1" si="90"/>
        <v>129.06318413482211</v>
      </c>
      <c r="S131" s="38">
        <f t="shared" ca="1" si="90"/>
        <v>134.4539475938754</v>
      </c>
      <c r="T131" s="38">
        <f t="shared" ca="1" si="90"/>
        <v>140.0173025215459</v>
      </c>
    </row>
    <row r="132" spans="1:20" ht="15" x14ac:dyDescent="0.25">
      <c r="A132" s="2"/>
      <c r="D132" s="47"/>
      <c r="E132" s="47"/>
      <c r="F132" s="48"/>
      <c r="G132" s="48"/>
      <c r="H132" s="48"/>
      <c r="I132" s="48"/>
      <c r="J132" s="48"/>
      <c r="K132" s="49"/>
      <c r="L132" s="49"/>
      <c r="M132" s="49"/>
      <c r="N132" s="49"/>
      <c r="O132" s="49"/>
      <c r="P132" s="49"/>
      <c r="Q132" s="49"/>
      <c r="R132" s="49"/>
      <c r="S132" s="49"/>
      <c r="T132" s="49"/>
    </row>
    <row r="133" spans="1:20" x14ac:dyDescent="0.2">
      <c r="A133" s="19" t="s">
        <v>276</v>
      </c>
      <c r="D133" s="7"/>
      <c r="E133" s="7"/>
    </row>
    <row r="134" spans="1:20" ht="15" x14ac:dyDescent="0.25">
      <c r="A134" s="2" t="s">
        <v>441</v>
      </c>
      <c r="B134" s="4" t="str">
        <f>$B$38</f>
        <v>From Fiscal</v>
      </c>
      <c r="D134" s="40">
        <f>'Fiscal Forecasts'!D$151</f>
        <v>0.99299999999999999</v>
      </c>
      <c r="E134" s="40">
        <f>'Fiscal Forecasts'!E$151</f>
        <v>1.1160000000000001</v>
      </c>
      <c r="F134" s="39">
        <f>'Fiscal Forecasts'!F$151</f>
        <v>1.43</v>
      </c>
      <c r="G134" s="39">
        <f>'Fiscal Forecasts'!G$151</f>
        <v>1.4770000000000001</v>
      </c>
      <c r="H134" s="39">
        <f>'Fiscal Forecasts'!H$151</f>
        <v>1.6040000000000001</v>
      </c>
      <c r="I134" s="39">
        <f>'Fiscal Forecasts'!I$151</f>
        <v>1.623</v>
      </c>
      <c r="J134" s="39">
        <f>'Fiscal Forecasts'!J$151</f>
        <v>1.653</v>
      </c>
      <c r="K134" s="8">
        <f ca="1">IF(K$6=OFFSET(Assumptions!$B$8,0,$C$1),AVERAGE(H$134/H$13,I$134/I$13,J$134/J$13),J$134/J$13)*K$13</f>
        <v>1.769590536119275</v>
      </c>
      <c r="L134" s="8">
        <f ca="1">IF(L$6=OFFSET(Assumptions!$B$8,0,$C$1),AVERAGE(I$134/I$13,J$134/J$13,K$134/K$13),K$134/K$13)*L$13</f>
        <v>1.847228543524926</v>
      </c>
      <c r="M134" s="8">
        <f ca="1">IF(M$6=OFFSET(Assumptions!$B$8,0,$C$1),AVERAGE(J$134/J$13,K$134/K$13,L$134/L$13),L$134/L$13)*M$13</f>
        <v>1.9279520556150511</v>
      </c>
      <c r="N134" s="8">
        <f ca="1">IF(N$6=OFFSET(Assumptions!$B$8,0,$C$1),AVERAGE(K$134/K$13,L$134/L$13,M$134/M$13),M$134/M$13)*N$13</f>
        <v>2.0121120188972395</v>
      </c>
      <c r="O134" s="8">
        <f ca="1">IF(O$6=OFFSET(Assumptions!$B$8,0,$C$1),AVERAGE(L$134/L$13,M$134/M$13,N$134/N$13),N$134/N$13)*O$13</f>
        <v>2.0990705877828968</v>
      </c>
      <c r="P134" s="8">
        <f ca="1">IF(P$6=OFFSET(Assumptions!$B$8,0,$C$1),AVERAGE(M$134/M$13,N$134/N$13,O$134/O$13),O$134/O$13)*P$13</f>
        <v>2.1891712022100225</v>
      </c>
      <c r="Q134" s="8">
        <f ca="1">IF(Q$6=OFFSET(Assumptions!$B$8,0,$C$1),AVERAGE(N$134/N$13,O$134/O$13,P$134/P$13),P$134/P$13)*Q$13</f>
        <v>2.2822745067536316</v>
      </c>
      <c r="R134" s="8">
        <f ca="1">IF(R$6=OFFSET(Assumptions!$B$8,0,$C$1),AVERAGE(O$134/O$13,P$134/P$13,Q$134/Q$13),Q$134/Q$13)*R$13</f>
        <v>2.3782766831943576</v>
      </c>
      <c r="S134" s="8">
        <f ca="1">IF(S$6=OFFSET(Assumptions!$B$8,0,$C$1),AVERAGE(P$134/P$13,Q$134/Q$13,R$134/R$13),R$134/R$13)*S$13</f>
        <v>2.477613508991944</v>
      </c>
      <c r="T134" s="8">
        <f ca="1">IF(T$6=OFFSET(Assumptions!$B$8,0,$C$1),AVERAGE(Q$134/Q$13,R$134/R$13,S$134/S$13),S$134/S$13)*T$13</f>
        <v>2.5801307170827616</v>
      </c>
    </row>
    <row r="135" spans="1:20" x14ac:dyDescent="0.2">
      <c r="A135" s="1" t="s">
        <v>263</v>
      </c>
      <c r="B135" s="4" t="str">
        <f>$B$38</f>
        <v>From Fiscal</v>
      </c>
      <c r="D135" s="15">
        <f>'Fiscal Forecasts'!D$216</f>
        <v>3.2759999999999998</v>
      </c>
      <c r="E135" s="15">
        <f>'Fiscal Forecasts'!E$216</f>
        <v>2.819</v>
      </c>
      <c r="F135" s="16">
        <f>'Fiscal Forecasts'!F$216</f>
        <v>2.8239999999999998</v>
      </c>
      <c r="G135" s="16">
        <f>'Fiscal Forecasts'!G$216</f>
        <v>2.7090000000000001</v>
      </c>
      <c r="H135" s="16">
        <f>'Fiscal Forecasts'!H$216</f>
        <v>2.8740000000000001</v>
      </c>
      <c r="I135" s="16">
        <f>'Fiscal Forecasts'!I$216</f>
        <v>3.2509999999999999</v>
      </c>
      <c r="J135" s="16">
        <f>'Fiscal Forecasts'!J$216</f>
        <v>3.4260000000000002</v>
      </c>
      <c r="K135" s="7">
        <f>J$135*(Exogenous!R$23-Exogenous!R$24)/(Exogenous!Q$23-Exogenous!Q$24)</f>
        <v>3.5844464120011512</v>
      </c>
      <c r="L135" s="7">
        <f>K$135*(Exogenous!S$23-Exogenous!S$24)/(Exogenous!R$23-Exogenous!R$24)</f>
        <v>3.7566142976807111</v>
      </c>
      <c r="M135" s="7">
        <f>L$135*(Exogenous!T$23-Exogenous!T$24)/(Exogenous!S$23-Exogenous!S$24)</f>
        <v>3.9245176850538082</v>
      </c>
      <c r="N135" s="7">
        <f>M$135*(Exogenous!U$23-Exogenous!U$24)/(Exogenous!T$23-Exogenous!T$24)</f>
        <v>4.1020895424221768</v>
      </c>
      <c r="O135" s="7">
        <f>N$135*(Exogenous!V$23-Exogenous!V$24)/(Exogenous!U$23-Exogenous!U$24)</f>
        <v>4.2863680057933644</v>
      </c>
      <c r="P135" s="7">
        <f>O$135*(Exogenous!W$23-Exogenous!W$24)/(Exogenous!V$23-Exogenous!V$24)</f>
        <v>4.4841076294396176</v>
      </c>
      <c r="Q135" s="7">
        <f>P$135*(Exogenous!X$23-Exogenous!X$24)/(Exogenous!W$23-Exogenous!W$24)</f>
        <v>4.669843073608333</v>
      </c>
      <c r="R135" s="7">
        <f>Q$135*(Exogenous!Y$23-Exogenous!Y$24)/(Exogenous!X$23-Exogenous!X$24)</f>
        <v>4.8735114090337044</v>
      </c>
      <c r="S135" s="7">
        <f>R$135*(Exogenous!Z$23-Exogenous!Z$24)/(Exogenous!Y$23-Exogenous!Y$24)</f>
        <v>5.0759253657376631</v>
      </c>
      <c r="T135" s="7">
        <f>S$135*(Exogenous!AA$23-Exogenous!AA$24)/(Exogenous!Z$23-Exogenous!Z$24)</f>
        <v>5.3011938073769072</v>
      </c>
    </row>
    <row r="136" spans="1:20" x14ac:dyDescent="0.2">
      <c r="A136" s="1" t="s">
        <v>442</v>
      </c>
      <c r="B136" s="4" t="str">
        <f>$B$38</f>
        <v>From Fiscal</v>
      </c>
      <c r="D136" s="15">
        <f>'Fiscal Forecasts'!D$217-D$134</f>
        <v>0.68400000000000005</v>
      </c>
      <c r="E136" s="15">
        <f>'Fiscal Forecasts'!E$217-E$134</f>
        <v>0.70799999999999996</v>
      </c>
      <c r="F136" s="16">
        <f>'Fiscal Forecasts'!F$217-F$134</f>
        <v>0.73299999999999987</v>
      </c>
      <c r="G136" s="16">
        <f>'Fiscal Forecasts'!G$217-G$134</f>
        <v>0.89300000000000002</v>
      </c>
      <c r="H136" s="16">
        <f>'Fiscal Forecasts'!H$217-H$134</f>
        <v>0.94399999999999995</v>
      </c>
      <c r="I136" s="16">
        <f>'Fiscal Forecasts'!I$217-I$134</f>
        <v>0.95200000000000018</v>
      </c>
      <c r="J136" s="16">
        <f>'Fiscal Forecasts'!J$217-J$134</f>
        <v>0.96099999999999985</v>
      </c>
      <c r="K136" s="7">
        <f ca="1">IF(K$6=OFFSET(Assumptions!$B$8,0,$C$1),AVERAGE(H$136/H$13,I$136/I$13,J$136/J$13),J$136/J$13)*K$13</f>
        <v>1.0361884672782684</v>
      </c>
      <c r="L136" s="7">
        <f ca="1">IF(L$6=OFFSET(Assumptions!$B$8,0,$C$1),AVERAGE(I$136/I$13,J$136/J$13,K$136/K$13),K$136/K$13)*L$13</f>
        <v>1.0816496099856785</v>
      </c>
      <c r="M136" s="7">
        <f ca="1">IF(M$6=OFFSET(Assumptions!$B$8,0,$C$1),AVERAGE(J$136/J$13,K$136/K$13,L$136/L$13),L$136/L$13)*M$13</f>
        <v>1.128917478206436</v>
      </c>
      <c r="N136" s="7">
        <f ca="1">IF(N$6=OFFSET(Assumptions!$B$8,0,$C$1),AVERAGE(K$136/K$13,L$136/L$13,M$136/M$13),M$136/M$13)*N$13</f>
        <v>1.1781975696058897</v>
      </c>
      <c r="O136" s="7">
        <f ca="1">IF(O$6=OFFSET(Assumptions!$B$8,0,$C$1),AVERAGE(L$136/L$13,M$136/M$13,N$136/N$13),N$136/N$13)*O$13</f>
        <v>1.2291163919951318</v>
      </c>
      <c r="P136" s="7">
        <f ca="1">IF(P$6=OFFSET(Assumptions!$B$8,0,$C$1),AVERAGE(M$136/M$13,N$136/N$13,O$136/O$13),O$136/O$13)*P$13</f>
        <v>1.2818750475476279</v>
      </c>
      <c r="Q136" s="7">
        <f ca="1">IF(Q$6=OFFSET(Assumptions!$B$8,0,$C$1),AVERAGE(N$136/N$13,O$136/O$13,P$136/P$13),P$136/P$13)*Q$13</f>
        <v>1.3363919363218804</v>
      </c>
      <c r="R136" s="7">
        <f ca="1">IF(R$6=OFFSET(Assumptions!$B$8,0,$C$1),AVERAGE(O$136/O$13,P$136/P$13,Q$136/Q$13),Q$136/Q$13)*R$13</f>
        <v>1.3926062672821069</v>
      </c>
      <c r="S136" s="7">
        <f ca="1">IF(S$6=OFFSET(Assumptions!$B$8,0,$C$1),AVERAGE(P$136/P$13,Q$136/Q$13,R$136/R$13),R$136/R$13)*S$13</f>
        <v>1.450773211084383</v>
      </c>
      <c r="T136" s="7">
        <f ca="1">IF(T$6=OFFSET(Assumptions!$B$8,0,$C$1),AVERAGE(Q$136/Q$13,R$136/R$13,S$136/S$13),S$136/S$13)*T$13</f>
        <v>1.5108024362373547</v>
      </c>
    </row>
    <row r="137" spans="1:20" ht="15" x14ac:dyDescent="0.25">
      <c r="A137" s="2" t="s">
        <v>443</v>
      </c>
      <c r="D137" s="35">
        <f t="shared" ref="D137:T137" si="91">SUM(D$134:D$136)</f>
        <v>4.9530000000000003</v>
      </c>
      <c r="E137" s="35">
        <f t="shared" si="91"/>
        <v>4.6429999999999998</v>
      </c>
      <c r="F137" s="34">
        <f t="shared" si="91"/>
        <v>4.9869999999999992</v>
      </c>
      <c r="G137" s="34">
        <f t="shared" si="91"/>
        <v>5.0789999999999997</v>
      </c>
      <c r="H137" s="34">
        <f t="shared" si="91"/>
        <v>5.4219999999999997</v>
      </c>
      <c r="I137" s="34">
        <f t="shared" si="91"/>
        <v>5.8259999999999996</v>
      </c>
      <c r="J137" s="34">
        <f t="shared" si="91"/>
        <v>6.0400000000000009</v>
      </c>
      <c r="K137" s="38">
        <f t="shared" ca="1" si="91"/>
        <v>6.390225415398695</v>
      </c>
      <c r="L137" s="38">
        <f t="shared" ca="1" si="91"/>
        <v>6.6854924511913154</v>
      </c>
      <c r="M137" s="38">
        <f t="shared" ca="1" si="91"/>
        <v>6.9813872188752946</v>
      </c>
      <c r="N137" s="38">
        <f t="shared" ca="1" si="91"/>
        <v>7.2923991309253058</v>
      </c>
      <c r="O137" s="38">
        <f t="shared" ca="1" si="91"/>
        <v>7.6145549855713925</v>
      </c>
      <c r="P137" s="38">
        <f t="shared" ca="1" si="91"/>
        <v>7.9551538791972671</v>
      </c>
      <c r="Q137" s="38">
        <f t="shared" ca="1" si="91"/>
        <v>8.2885095166838454</v>
      </c>
      <c r="R137" s="38">
        <f t="shared" ca="1" si="91"/>
        <v>8.6443943595101693</v>
      </c>
      <c r="S137" s="38">
        <f t="shared" ca="1" si="91"/>
        <v>9.0043120858139911</v>
      </c>
      <c r="T137" s="38">
        <f t="shared" ca="1" si="91"/>
        <v>9.3921269606970235</v>
      </c>
    </row>
    <row r="138" spans="1:20" ht="15" x14ac:dyDescent="0.25">
      <c r="A138" s="2"/>
      <c r="D138" s="47"/>
      <c r="E138" s="47"/>
      <c r="F138" s="48"/>
      <c r="G138" s="48"/>
      <c r="H138" s="48"/>
      <c r="I138" s="48"/>
      <c r="J138" s="48"/>
      <c r="K138" s="48"/>
      <c r="L138" s="48"/>
      <c r="M138" s="48"/>
      <c r="N138" s="48"/>
      <c r="O138" s="48"/>
      <c r="P138" s="48"/>
      <c r="Q138" s="48"/>
      <c r="R138" s="48"/>
      <c r="S138" s="48"/>
      <c r="T138" s="48"/>
    </row>
    <row r="139" spans="1:20" x14ac:dyDescent="0.2">
      <c r="A139" s="19" t="s">
        <v>145</v>
      </c>
    </row>
    <row r="140" spans="1:20" ht="15" x14ac:dyDescent="0.25">
      <c r="A140" s="2" t="s">
        <v>444</v>
      </c>
      <c r="B140" s="4" t="str">
        <f>$B$38</f>
        <v>From Fiscal</v>
      </c>
      <c r="D140" s="40">
        <f>'Fiscal Forecasts'!D$152</f>
        <v>1.393</v>
      </c>
      <c r="E140" s="40">
        <f>'Fiscal Forecasts'!E$152</f>
        <v>1.4530000000000001</v>
      </c>
      <c r="F140" s="39">
        <f>'Fiscal Forecasts'!F$152</f>
        <v>1.6020000000000001</v>
      </c>
      <c r="G140" s="39">
        <f>'Fiscal Forecasts'!G$152</f>
        <v>1.639</v>
      </c>
      <c r="H140" s="39">
        <f>'Fiscal Forecasts'!H$152</f>
        <v>1.679</v>
      </c>
      <c r="I140" s="39">
        <f>'Fiscal Forecasts'!I$152</f>
        <v>1.6910000000000001</v>
      </c>
      <c r="J140" s="39">
        <f>'Fiscal Forecasts'!J$152</f>
        <v>1.6819999999999999</v>
      </c>
      <c r="K140" s="8">
        <f ca="1">IF(K$6=OFFSET(Assumptions!$B$8,0,$C$1),AVERAGE(H$140/H$13,I$140/I$13,J$140/J$13),J$140/J$13)*K$13</f>
        <v>1.8326925392142508</v>
      </c>
      <c r="L140" s="8">
        <f ca="1">IF(L$6=OFFSET(Assumptions!$B$8,0,$C$1),AVERAGE(I$140/I$13,J$140/J$13,K$140/K$13),K$140/K$13)*L$13</f>
        <v>1.9130990479673056</v>
      </c>
      <c r="M140" s="8">
        <f ca="1">IF(M$6=OFFSET(Assumptions!$B$8,0,$C$1),AVERAGE(J$140/J$13,K$140/K$13,L$140/L$13),L$140/L$13)*M$13</f>
        <v>1.9967010877200611</v>
      </c>
      <c r="N140" s="8">
        <f ca="1">IF(N$6=OFFSET(Assumptions!$B$8,0,$C$1),AVERAGE(K$140/K$13,L$140/L$13,M$140/M$13),M$140/M$13)*N$13</f>
        <v>2.0838621194161617</v>
      </c>
      <c r="O140" s="8">
        <f ca="1">IF(O$6=OFFSET(Assumptions!$B$8,0,$C$1),AVERAGE(L$140/L$13,M$140/M$13,N$140/N$13),N$140/N$13)*O$13</f>
        <v>2.1739215524683915</v>
      </c>
      <c r="P140" s="8">
        <f ca="1">IF(P$6=OFFSET(Assumptions!$B$8,0,$C$1),AVERAGE(M$140/M$13,N$140/N$13,O$140/O$13),O$140/O$13)*P$13</f>
        <v>2.2672350735733007</v>
      </c>
      <c r="Q140" s="8">
        <f ca="1">IF(Q$6=OFFSET(Assumptions!$B$8,0,$C$1),AVERAGE(N$140/N$13,O$140/O$13,P$140/P$13),P$140/P$13)*Q$13</f>
        <v>2.3636583580170889</v>
      </c>
      <c r="R140" s="8">
        <f ca="1">IF(R$6=OFFSET(Assumptions!$B$8,0,$C$1),AVERAGE(O$140/O$13,P$140/P$13,Q$140/Q$13),Q$140/Q$13)*R$13</f>
        <v>2.4630838855162875</v>
      </c>
      <c r="S140" s="8">
        <f ca="1">IF(S$6=OFFSET(Assumptions!$B$8,0,$C$1),AVERAGE(P$140/P$13,Q$140/Q$13,R$140/R$13),R$140/R$13)*S$13</f>
        <v>2.5659629729619673</v>
      </c>
      <c r="T140" s="8">
        <f ca="1">IF(T$6=OFFSET(Assumptions!$B$8,0,$C$1),AVERAGE(Q$140/Q$13,R$140/R$13,S$140/S$13),S$140/S$13)*T$13</f>
        <v>2.6721358522660941</v>
      </c>
    </row>
    <row r="141" spans="1:20" ht="15" x14ac:dyDescent="0.25">
      <c r="A141" s="2" t="s">
        <v>445</v>
      </c>
      <c r="B141" s="4" t="str">
        <f>$B$38</f>
        <v>From Fiscal</v>
      </c>
      <c r="D141" s="40">
        <f>'Fiscal Forecasts'!D$11</f>
        <v>16.866</v>
      </c>
      <c r="E141" s="40">
        <f>'Fiscal Forecasts'!E$11</f>
        <v>16.364000000000001</v>
      </c>
      <c r="F141" s="39">
        <f>'Fiscal Forecasts'!F$11</f>
        <v>17.048999999999999</v>
      </c>
      <c r="G141" s="39">
        <f>'Fiscal Forecasts'!G$11</f>
        <v>17.523</v>
      </c>
      <c r="H141" s="39">
        <f>'Fiscal Forecasts'!H$11</f>
        <v>18.190999999999999</v>
      </c>
      <c r="I141" s="39">
        <f>'Fiscal Forecasts'!I$11</f>
        <v>18.8</v>
      </c>
      <c r="J141" s="39">
        <f>'Fiscal Forecasts'!J$11</f>
        <v>19.202000000000002</v>
      </c>
      <c r="K141" s="8">
        <f ca="1">SUM(K$140,IF(K$6=OFFSET(Assumptions!$B$8,0,$C$1),AVERAGE((H$141-H$140)/H$13,(I$141-I$140)/I$13,(J$141-J$140)/J$13),(J$141-J$140)/J$13)*K$13)</f>
        <v>20.369614052081403</v>
      </c>
      <c r="L141" s="8">
        <f ca="1">SUM(L$140,IF(L$6=OFFSET(Assumptions!$B$8,0,$C$1),AVERAGE((I$141-I$140)/I$13,(J$141-J$140)/J$13,(K$141-K$140)/K$13),(K$141-K$140)/K$13)*L$13)</f>
        <v>21.263298898573574</v>
      </c>
      <c r="M141" s="8">
        <f ca="1">SUM(M$140,IF(M$6=OFFSET(Assumptions!$B$8,0,$C$1),AVERAGE((J$141-J$140)/J$13,(K$141-K$140)/K$13,(L$141-L$140)/L$13),(L$141-L$140)/L$13)*M$13)</f>
        <v>22.192500740831584</v>
      </c>
      <c r="N141" s="8">
        <f ca="1">SUM(N$140,IF(N$6=OFFSET(Assumptions!$B$8,0,$C$1),AVERAGE((K$141-K$140)/K$13,(L$141-L$140)/L$13,(M$141-M$140)/M$13),(M$141-M$140)/M$13)*N$13)</f>
        <v>23.161259295821939</v>
      </c>
      <c r="O141" s="8">
        <f ca="1">SUM(O$140,IF(O$6=OFFSET(Assumptions!$B$8,0,$C$1),AVERAGE((L$141-L$140)/L$13,(M$141-M$140)/M$13,(N$141-N$140)/N$13),(N$141-N$140)/N$13)*O$13)</f>
        <v>24.162232374377549</v>
      </c>
      <c r="P141" s="8">
        <f ca="1">SUM(P$140,IF(P$6=OFFSET(Assumptions!$B$8,0,$C$1),AVERAGE((M$141-M$140)/M$13,(N$141-N$140)/N$13,(O$141-O$140)/O$13),(O$141-O$140)/O$13)*P$13)</f>
        <v>25.199373285947296</v>
      </c>
      <c r="Q141" s="8">
        <f ca="1">SUM(Q$140,IF(Q$6=OFFSET(Assumptions!$B$8,0,$C$1),AVERAGE((N$141-N$140)/N$13,(O$141-O$140)/O$13,(P$141-P$140)/P$13),(P$141-P$140)/P$13)*Q$13)</f>
        <v>26.271077921464681</v>
      </c>
      <c r="R141" s="8">
        <f ca="1">SUM(R$140,IF(R$6=OFFSET(Assumptions!$B$8,0,$C$1),AVERAGE((O$141-O$140)/O$13,(P$141-P$140)/P$13,(Q$141-Q$140)/Q$13),(Q$141-Q$140)/Q$13)*R$13)</f>
        <v>27.376151237773147</v>
      </c>
      <c r="S141" s="8">
        <f ca="1">SUM(S$140,IF(S$6=OFFSET(Assumptions!$B$8,0,$C$1),AVERAGE((P$141-P$140)/P$13,(Q$141-Q$140)/Q$13,(R$141-R$140)/R$13),(R$141-R$140)/R$13)*S$13)</f>
        <v>28.519609434093027</v>
      </c>
      <c r="T141" s="8">
        <f ca="1">SUM(T$140,IF(T$6=OFFSET(Assumptions!$B$8,0,$C$1),AVERAGE((Q$141-Q$140)/Q$13,(R$141-R$140)/R$13,(S$141-S$140)/S$13),(S$141-S$140)/S$13)*T$13)</f>
        <v>29.699676754687086</v>
      </c>
    </row>
    <row r="142" spans="1:20" ht="15" x14ac:dyDescent="0.25">
      <c r="A142" s="2"/>
      <c r="B142" s="4"/>
      <c r="D142" s="40"/>
      <c r="E142" s="40"/>
      <c r="F142" s="39"/>
      <c r="G142" s="39"/>
      <c r="H142" s="39"/>
      <c r="I142" s="39"/>
      <c r="J142" s="39"/>
      <c r="K142" s="8"/>
      <c r="L142" s="8"/>
      <c r="M142" s="8"/>
      <c r="N142" s="8"/>
      <c r="O142" s="8"/>
      <c r="P142" s="8"/>
      <c r="Q142" s="8"/>
      <c r="R142" s="8"/>
      <c r="S142" s="8"/>
      <c r="T142" s="8"/>
    </row>
    <row r="143" spans="1:20" x14ac:dyDescent="0.2">
      <c r="A143" s="19" t="s">
        <v>146</v>
      </c>
    </row>
    <row r="144" spans="1:20" x14ac:dyDescent="0.2">
      <c r="A144" s="1" t="s">
        <v>660</v>
      </c>
      <c r="D144" s="15">
        <f t="shared" ref="D144:T144" si="92">D$374</f>
        <v>0.60399999999999998</v>
      </c>
      <c r="E144" s="15">
        <f t="shared" si="92"/>
        <v>0.60299999999999998</v>
      </c>
      <c r="F144" s="16">
        <f t="shared" si="92"/>
        <v>0.60199999999999998</v>
      </c>
      <c r="G144" s="16">
        <f t="shared" si="92"/>
        <v>0.59499999999999997</v>
      </c>
      <c r="H144" s="16">
        <f t="shared" si="92"/>
        <v>0.59099999999999997</v>
      </c>
      <c r="I144" s="16">
        <f t="shared" si="92"/>
        <v>0.58399999999999996</v>
      </c>
      <c r="J144" s="16">
        <f t="shared" si="92"/>
        <v>0.57099999999999995</v>
      </c>
      <c r="K144" s="7">
        <f t="shared" si="92"/>
        <v>0.57499999999999996</v>
      </c>
      <c r="L144" s="7">
        <f t="shared" si="92"/>
        <v>0.57899999999999996</v>
      </c>
      <c r="M144" s="7">
        <f t="shared" si="92"/>
        <v>0.58499999999999996</v>
      </c>
      <c r="N144" s="7">
        <f t="shared" si="92"/>
        <v>0.59099999999999997</v>
      </c>
      <c r="O144" s="7">
        <f t="shared" si="92"/>
        <v>0.59699999999999998</v>
      </c>
      <c r="P144" s="7">
        <f t="shared" si="92"/>
        <v>0.60299999999999998</v>
      </c>
      <c r="Q144" s="7">
        <f t="shared" si="92"/>
        <v>0.60899999999999999</v>
      </c>
      <c r="R144" s="7">
        <f t="shared" si="92"/>
        <v>0.61599999999999999</v>
      </c>
      <c r="S144" s="7">
        <f t="shared" si="92"/>
        <v>0.622</v>
      </c>
      <c r="T144" s="7">
        <f t="shared" si="92"/>
        <v>0.627</v>
      </c>
    </row>
    <row r="145" spans="1:21" x14ac:dyDescent="0.2">
      <c r="A145" s="1" t="s">
        <v>661</v>
      </c>
      <c r="D145" s="15">
        <f>D$347</f>
        <v>0.76</v>
      </c>
      <c r="E145" s="15">
        <f>E$347</f>
        <v>0.752</v>
      </c>
      <c r="F145" s="16">
        <f>F$347</f>
        <v>0.83299999999999996</v>
      </c>
      <c r="G145" s="16">
        <f t="shared" ref="G145:J145" si="93">G$347</f>
        <v>0.81299999999999994</v>
      </c>
      <c r="H145" s="16">
        <f t="shared" si="93"/>
        <v>0.874</v>
      </c>
      <c r="I145" s="16">
        <f t="shared" si="93"/>
        <v>0.93799999999999994</v>
      </c>
      <c r="J145" s="16">
        <f t="shared" si="93"/>
        <v>1.006</v>
      </c>
      <c r="K145" s="7">
        <f ca="1">K$347</f>
        <v>0.91550967740615741</v>
      </c>
      <c r="L145" s="7">
        <f t="shared" ref="L145:T145" ca="1" si="94">L$347</f>
        <v>1.032657405900675</v>
      </c>
      <c r="M145" s="7">
        <f t="shared" ca="1" si="94"/>
        <v>1.1574051955358633</v>
      </c>
      <c r="N145" s="7">
        <f t="shared" ca="1" si="94"/>
        <v>1.2895340838300289</v>
      </c>
      <c r="O145" s="7">
        <f t="shared" ca="1" si="94"/>
        <v>1.4288717789992951</v>
      </c>
      <c r="P145" s="7">
        <f t="shared" ca="1" si="94"/>
        <v>1.5648429242530302</v>
      </c>
      <c r="Q145" s="7">
        <f t="shared" ca="1" si="94"/>
        <v>1.6729790028641707</v>
      </c>
      <c r="R145" s="7">
        <f t="shared" ca="1" si="94"/>
        <v>1.7799085985840444</v>
      </c>
      <c r="S145" s="7">
        <f t="shared" ca="1" si="94"/>
        <v>1.8860201346038181</v>
      </c>
      <c r="T145" s="7">
        <f t="shared" ca="1" si="94"/>
        <v>1.9917315326599156</v>
      </c>
    </row>
    <row r="146" spans="1:21" x14ac:dyDescent="0.2">
      <c r="A146" s="1" t="s">
        <v>662</v>
      </c>
      <c r="B146" s="4" t="str">
        <f>$B$38</f>
        <v>From Fiscal</v>
      </c>
      <c r="D146" s="15">
        <f>'Fiscal Forecasts'!D$153-SUM(D$144:D$145)</f>
        <v>1.0880000000000001</v>
      </c>
      <c r="E146" s="15">
        <f>'Fiscal Forecasts'!E$153-SUM(E$144:E$145)</f>
        <v>1.0339999999999998</v>
      </c>
      <c r="F146" s="16">
        <f>'Fiscal Forecasts'!F$153-SUM(F$144:F$145)</f>
        <v>1.1909999999999998</v>
      </c>
      <c r="G146" s="16">
        <f>'Fiscal Forecasts'!G$153-SUM(G$144:G$145)</f>
        <v>1.1040000000000001</v>
      </c>
      <c r="H146" s="16">
        <f>'Fiscal Forecasts'!H$153-SUM(H$144:H$145)</f>
        <v>1.1040000000000001</v>
      </c>
      <c r="I146" s="16">
        <f>'Fiscal Forecasts'!I$153-SUM(I$144:I$145)</f>
        <v>1.2040000000000002</v>
      </c>
      <c r="J146" s="16">
        <f>'Fiscal Forecasts'!J$153-SUM(J$144:J$145)</f>
        <v>1.323</v>
      </c>
      <c r="K146" s="7">
        <f t="shared" ref="K146:T146" ca="1" si="95">AVERAGE(SUM(J$317,J$330,J$339,J$363),SUM(K$317,K$330,K$339,K$363))*K$208</f>
        <v>1.1614007143445426</v>
      </c>
      <c r="L146" s="7">
        <f t="shared" ca="1" si="95"/>
        <v>1.3199777379673325</v>
      </c>
      <c r="M146" s="7">
        <f t="shared" ca="1" si="95"/>
        <v>1.4840571283345985</v>
      </c>
      <c r="N146" s="7">
        <f t="shared" ca="1" si="95"/>
        <v>1.651215826161786</v>
      </c>
      <c r="O146" s="7">
        <f t="shared" ca="1" si="95"/>
        <v>1.8190420054753142</v>
      </c>
      <c r="P146" s="7">
        <f t="shared" ca="1" si="95"/>
        <v>1.9847215301304526</v>
      </c>
      <c r="Q146" s="7">
        <f t="shared" ca="1" si="95"/>
        <v>2.1533886838024809</v>
      </c>
      <c r="R146" s="7">
        <f t="shared" ca="1" si="95"/>
        <v>2.244459364137561</v>
      </c>
      <c r="S146" s="7">
        <f t="shared" ca="1" si="95"/>
        <v>2.3385320252641435</v>
      </c>
      <c r="T146" s="7">
        <f t="shared" ca="1" si="95"/>
        <v>2.4357422388386505</v>
      </c>
    </row>
    <row r="147" spans="1:21" ht="15" x14ac:dyDescent="0.25">
      <c r="A147" s="2" t="s">
        <v>663</v>
      </c>
      <c r="D147" s="35">
        <f t="shared" ref="D147:T147" si="96">SUM(D$144:D$146)</f>
        <v>2.452</v>
      </c>
      <c r="E147" s="35">
        <f t="shared" si="96"/>
        <v>2.3889999999999998</v>
      </c>
      <c r="F147" s="34">
        <f t="shared" si="96"/>
        <v>2.6259999999999999</v>
      </c>
      <c r="G147" s="34">
        <f t="shared" si="96"/>
        <v>2.512</v>
      </c>
      <c r="H147" s="34">
        <f t="shared" si="96"/>
        <v>2.569</v>
      </c>
      <c r="I147" s="34">
        <f t="shared" si="96"/>
        <v>2.726</v>
      </c>
      <c r="J147" s="34">
        <f t="shared" si="96"/>
        <v>2.9</v>
      </c>
      <c r="K147" s="38">
        <f t="shared" ca="1" si="96"/>
        <v>2.6519103917506999</v>
      </c>
      <c r="L147" s="38">
        <f t="shared" ca="1" si="96"/>
        <v>2.9316351438680073</v>
      </c>
      <c r="M147" s="38">
        <f t="shared" ca="1" si="96"/>
        <v>3.2264623238704617</v>
      </c>
      <c r="N147" s="38">
        <f t="shared" ca="1" si="96"/>
        <v>3.5317499099918148</v>
      </c>
      <c r="O147" s="38">
        <f t="shared" ca="1" si="96"/>
        <v>3.8449137844746089</v>
      </c>
      <c r="P147" s="38">
        <f t="shared" ca="1" si="96"/>
        <v>4.1525644543834828</v>
      </c>
      <c r="Q147" s="38">
        <f t="shared" ca="1" si="96"/>
        <v>4.4353676866666518</v>
      </c>
      <c r="R147" s="38">
        <f t="shared" ca="1" si="96"/>
        <v>4.640367962721605</v>
      </c>
      <c r="S147" s="38">
        <f t="shared" ca="1" si="96"/>
        <v>4.8465521598679615</v>
      </c>
      <c r="T147" s="38">
        <f t="shared" ca="1" si="96"/>
        <v>5.0544737714985661</v>
      </c>
    </row>
    <row r="148" spans="1:21" x14ac:dyDescent="0.2">
      <c r="A148" s="1" t="s">
        <v>279</v>
      </c>
      <c r="B148" s="4" t="str">
        <f>$B$38</f>
        <v>From Fiscal</v>
      </c>
      <c r="D148" s="15">
        <f>'Fiscal Forecasts'!D$220</f>
        <v>1.429</v>
      </c>
      <c r="E148" s="15">
        <f>'Fiscal Forecasts'!E$220</f>
        <v>1.484</v>
      </c>
      <c r="F148" s="16">
        <f>'Fiscal Forecasts'!F$220</f>
        <v>1.4390000000000001</v>
      </c>
      <c r="G148" s="16">
        <f>'Fiscal Forecasts'!G$220</f>
        <v>1.405</v>
      </c>
      <c r="H148" s="16">
        <f>'Fiscal Forecasts'!H$220</f>
        <v>1.4339999999999999</v>
      </c>
      <c r="I148" s="16">
        <f>'Fiscal Forecasts'!I$220</f>
        <v>1.468</v>
      </c>
      <c r="J148" s="16">
        <f>'Fiscal Forecasts'!J$220</f>
        <v>1.4730000000000001</v>
      </c>
      <c r="K148" s="7">
        <f>J$148*Exogenous!R$27/Exogenous!Q$27</f>
        <v>1.5457492979639642</v>
      </c>
      <c r="L148" s="7">
        <f>K$148*Exogenous!S$27/Exogenous!R$27</f>
        <v>1.619270983181414</v>
      </c>
      <c r="M148" s="7">
        <f>L$148*Exogenous!T$27/Exogenous!S$27</f>
        <v>1.6950323900558202</v>
      </c>
      <c r="N148" s="7">
        <f>M$148*Exogenous!U$27/Exogenous!T$27</f>
        <v>1.7715047915771411</v>
      </c>
      <c r="O148" s="7">
        <f>N$148*Exogenous!V$27/Exogenous!U$27</f>
        <v>1.8502007566229199</v>
      </c>
      <c r="P148" s="7">
        <f>O$148*Exogenous!W$27/Exogenous!V$27</f>
        <v>1.9331273193381986</v>
      </c>
      <c r="Q148" s="7">
        <f>P$148*Exogenous!X$27/Exogenous!W$27</f>
        <v>2.0186362868072778</v>
      </c>
      <c r="R148" s="7">
        <f>Q$148*Exogenous!Y$27/Exogenous!X$27</f>
        <v>2.1060985592207238</v>
      </c>
      <c r="S148" s="7">
        <f>R$148*Exogenous!Z$27/Exogenous!Y$27</f>
        <v>2.1962505664436263</v>
      </c>
      <c r="T148" s="7">
        <f>S$148*Exogenous!AA$27/Exogenous!Z$27</f>
        <v>2.2894378346124</v>
      </c>
    </row>
    <row r="149" spans="1:21" x14ac:dyDescent="0.2">
      <c r="A149" s="1" t="s">
        <v>506</v>
      </c>
      <c r="B149" s="4" t="str">
        <f>$B$38</f>
        <v>From Fiscal</v>
      </c>
      <c r="D149" s="15">
        <f>'Fiscal Forecasts'!D$221</f>
        <v>1.0429999999999999</v>
      </c>
      <c r="E149" s="15">
        <f>'Fiscal Forecasts'!E$221</f>
        <v>0.997</v>
      </c>
      <c r="F149" s="16">
        <f>'Fiscal Forecasts'!F$221</f>
        <v>0.91200000000000003</v>
      </c>
      <c r="G149" s="16">
        <f>'Fiscal Forecasts'!G$221</f>
        <v>1.02</v>
      </c>
      <c r="H149" s="16">
        <f>'Fiscal Forecasts'!H$221</f>
        <v>1.0760000000000001</v>
      </c>
      <c r="I149" s="16">
        <f>'Fiscal Forecasts'!I$221</f>
        <v>1.143</v>
      </c>
      <c r="J149" s="16">
        <f>'Fiscal Forecasts'!J$221</f>
        <v>1.1970000000000001</v>
      </c>
      <c r="K149" s="7">
        <f t="shared" ref="K149:T149" ca="1" si="97">AVERAGE(SUM(J$319-J$318,J$333,J$342,J$365),SUM(K$319-K$318,K$333,K$342,K$365))*K$208</f>
        <v>1.2162961792704101</v>
      </c>
      <c r="L149" s="7">
        <f t="shared" ca="1" si="97"/>
        <v>1.3261293870502915</v>
      </c>
      <c r="M149" s="7">
        <f t="shared" ca="1" si="97"/>
        <v>1.4488717295252223</v>
      </c>
      <c r="N149" s="7">
        <f t="shared" ca="1" si="97"/>
        <v>1.5801480304526334</v>
      </c>
      <c r="O149" s="7">
        <f t="shared" ca="1" si="97"/>
        <v>1.7203362668523745</v>
      </c>
      <c r="P149" s="7">
        <f t="shared" ca="1" si="97"/>
        <v>1.869812526422155</v>
      </c>
      <c r="Q149" s="7">
        <f t="shared" ca="1" si="97"/>
        <v>2.028714393482165</v>
      </c>
      <c r="R149" s="7">
        <f t="shared" ca="1" si="97"/>
        <v>2.1145123738512939</v>
      </c>
      <c r="S149" s="7">
        <f t="shared" ca="1" si="97"/>
        <v>2.2031385299633754</v>
      </c>
      <c r="T149" s="7">
        <f t="shared" ca="1" si="97"/>
        <v>2.2947205843112415</v>
      </c>
    </row>
    <row r="150" spans="1:21" x14ac:dyDescent="0.2">
      <c r="A150" s="1" t="s">
        <v>507</v>
      </c>
      <c r="B150" s="4" t="str">
        <f>$B$38</f>
        <v>From Fiscal</v>
      </c>
      <c r="D150" s="15">
        <f>'Fiscal Forecasts'!D$222</f>
        <v>-1.4</v>
      </c>
      <c r="E150" s="15">
        <f>'Fiscal Forecasts'!E$222</f>
        <v>-1.2669999999999999</v>
      </c>
      <c r="F150" s="16">
        <f>'Fiscal Forecasts'!F$222</f>
        <v>-1.351</v>
      </c>
      <c r="G150" s="16">
        <f>'Fiscal Forecasts'!G$222</f>
        <v>-1.165</v>
      </c>
      <c r="H150" s="16">
        <f>'Fiscal Forecasts'!H$222</f>
        <v>-1.1579999999999999</v>
      </c>
      <c r="I150" s="16">
        <f>'Fiscal Forecasts'!I$222</f>
        <v>-1.1950000000000001</v>
      </c>
      <c r="J150" s="16">
        <f>'Fiscal Forecasts'!J$222</f>
        <v>-1.2090000000000001</v>
      </c>
      <c r="K150" s="7">
        <f ca="1">IF(K$6=OFFSET(Assumptions!$B$8,0,$C$1),AVERAGE(H$150/SUM(H$147:H$149),I$150/SUM(I$147:I$149),J$150/SUM(J$147:J$149)),J$150/SUM(J$147:J$149))*SUM(K$147:K$149)</f>
        <v>-1.2072433212180742</v>
      </c>
      <c r="L150" s="7">
        <f ca="1">IF(L$6=OFFSET(Assumptions!$B$8,0,$C$1),AVERAGE(I$150/SUM(I$147:I$149),J$150/SUM(J$147:J$149),K$150/SUM(K$147:K$149)),K$150/SUM(K$147:K$149))*SUM(L$147:L$149)</f>
        <v>-1.3105041940965014</v>
      </c>
      <c r="M150" s="7">
        <f ca="1">IF(M$6=OFFSET(Assumptions!$B$8,0,$C$1),AVERAGE(J$150/SUM(J$147:J$149),K$150/SUM(K$147:K$149),L$150/SUM(L$147:L$149)),L$150/SUM(L$147:L$149))*SUM(M$147:M$149)</f>
        <v>-1.4205107187196704</v>
      </c>
      <c r="N150" s="7">
        <f ca="1">IF(N$6=OFFSET(Assumptions!$B$8,0,$C$1),AVERAGE(K$150/SUM(K$147:K$149),L$150/SUM(L$147:L$149),M$150/SUM(M$147:M$149)),M$150/SUM(M$147:M$149))*SUM(N$147:N$149)</f>
        <v>-1.5349112878980913</v>
      </c>
      <c r="O150" s="7">
        <f ca="1">IF(O$6=OFFSET(Assumptions!$B$8,0,$C$1),AVERAGE(L$150/SUM(L$147:L$149),M$150/SUM(M$147:M$149),N$150/SUM(N$147:N$149)),N$150/SUM(N$147:N$149))*SUM(O$147:O$149)</f>
        <v>-1.6535512439256226</v>
      </c>
      <c r="P150" s="7">
        <f ca="1">IF(P$6=OFFSET(Assumptions!$B$8,0,$C$1),AVERAGE(M$150/SUM(M$147:M$149),N$150/SUM(N$147:N$149),O$150/SUM(O$147:O$149)),O$150/SUM(O$147:O$149))*SUM(P$147:P$149)</f>
        <v>-1.7739763059928251</v>
      </c>
      <c r="Q150" s="7">
        <f ca="1">IF(Q$6=OFFSET(Assumptions!$B$8,0,$C$1),AVERAGE(N$150/SUM(N$147:N$149),O$150/SUM(O$147:O$149),P$150/SUM(P$147:P$149)),P$150/SUM(P$147:P$149))*SUM(Q$147:Q$149)</f>
        <v>-1.8915383394511132</v>
      </c>
      <c r="R150" s="7">
        <f ca="1">IF(R$6=OFFSET(Assumptions!$B$8,0,$C$1),AVERAGE(O$150/SUM(O$147:O$149),P$150/SUM(P$147:P$149),Q$150/SUM(Q$147:Q$149)),Q$150/SUM(Q$147:Q$149))*SUM(R$147:R$149)</f>
        <v>-1.9758856278609704</v>
      </c>
      <c r="S150" s="7">
        <f ca="1">IF(S$6=OFFSET(Assumptions!$B$8,0,$C$1),AVERAGE(P$150/SUM(P$147:P$149),Q$150/SUM(Q$147:Q$149),R$150/SUM(R$147:R$149)),R$150/SUM(R$147:R$149))*SUM(S$147:S$149)</f>
        <v>-2.061727339514702</v>
      </c>
      <c r="T150" s="7">
        <f ca="1">IF(T$6=OFFSET(Assumptions!$B$8,0,$C$1),AVERAGE(Q$150/SUM(Q$147:Q$149),R$150/SUM(R$147:R$149),S$150/SUM(S$147:S$149)),S$150/SUM(S$147:S$149))*SUM(T$147:T$149)</f>
        <v>-2.1492924248283765</v>
      </c>
    </row>
    <row r="151" spans="1:21" ht="15" x14ac:dyDescent="0.25">
      <c r="A151" s="2" t="s">
        <v>664</v>
      </c>
      <c r="D151" s="35">
        <f t="shared" ref="D151:T151" si="98">SUM(D$147:D$150)</f>
        <v>3.5240000000000005</v>
      </c>
      <c r="E151" s="35">
        <f t="shared" si="98"/>
        <v>3.6030000000000002</v>
      </c>
      <c r="F151" s="34">
        <f t="shared" si="98"/>
        <v>3.6259999999999994</v>
      </c>
      <c r="G151" s="34">
        <f t="shared" si="98"/>
        <v>3.7719999999999994</v>
      </c>
      <c r="H151" s="34">
        <f t="shared" si="98"/>
        <v>3.9210000000000007</v>
      </c>
      <c r="I151" s="34">
        <f t="shared" si="98"/>
        <v>4.1419999999999995</v>
      </c>
      <c r="J151" s="34">
        <f t="shared" si="98"/>
        <v>4.3610000000000007</v>
      </c>
      <c r="K151" s="38">
        <f t="shared" ca="1" si="98"/>
        <v>4.2067125477669993</v>
      </c>
      <c r="L151" s="38">
        <f t="shared" ca="1" si="98"/>
        <v>4.5665313200032109</v>
      </c>
      <c r="M151" s="38">
        <f t="shared" ca="1" si="98"/>
        <v>4.9498557247318331</v>
      </c>
      <c r="N151" s="38">
        <f t="shared" ca="1" si="98"/>
        <v>5.3484914441234981</v>
      </c>
      <c r="O151" s="38">
        <f t="shared" ca="1" si="98"/>
        <v>5.7618995640242812</v>
      </c>
      <c r="P151" s="38">
        <f t="shared" ca="1" si="98"/>
        <v>6.1815279941510113</v>
      </c>
      <c r="Q151" s="38">
        <f t="shared" ca="1" si="98"/>
        <v>6.591180027504981</v>
      </c>
      <c r="R151" s="38">
        <f t="shared" ca="1" si="98"/>
        <v>6.8850932679326533</v>
      </c>
      <c r="S151" s="38">
        <f t="shared" ca="1" si="98"/>
        <v>7.1842139167602621</v>
      </c>
      <c r="T151" s="38">
        <f t="shared" ca="1" si="98"/>
        <v>7.4893397655938312</v>
      </c>
    </row>
    <row r="152" spans="1:21" ht="15" x14ac:dyDescent="0.25">
      <c r="A152" s="2"/>
      <c r="D152" s="47"/>
      <c r="E152" s="47"/>
      <c r="F152" s="48"/>
      <c r="G152" s="48"/>
      <c r="H152" s="48"/>
      <c r="I152" s="48"/>
      <c r="J152" s="48"/>
      <c r="K152" s="49"/>
      <c r="L152" s="49"/>
      <c r="M152" s="49"/>
      <c r="N152" s="49"/>
      <c r="O152" s="49"/>
      <c r="P152" s="49"/>
      <c r="Q152" s="49"/>
      <c r="R152" s="49"/>
      <c r="S152" s="49"/>
      <c r="T152" s="49"/>
    </row>
    <row r="153" spans="1:21" x14ac:dyDescent="0.2">
      <c r="A153" s="19" t="s">
        <v>147</v>
      </c>
      <c r="F153" s="26"/>
      <c r="G153" s="26"/>
      <c r="H153" s="26"/>
      <c r="I153" s="26"/>
      <c r="J153" s="26"/>
    </row>
    <row r="154" spans="1:21" ht="15" x14ac:dyDescent="0.25">
      <c r="A154" s="2" t="s">
        <v>447</v>
      </c>
      <c r="B154" s="4" t="str">
        <f>$B$38</f>
        <v>From Fiscal</v>
      </c>
      <c r="D154" s="40">
        <f>'Fiscal Forecasts'!D$154</f>
        <v>0.73899999999999999</v>
      </c>
      <c r="E154" s="40">
        <f>'Fiscal Forecasts'!E$154</f>
        <v>0.71799999999999997</v>
      </c>
      <c r="F154" s="39">
        <f>'Fiscal Forecasts'!F$154</f>
        <v>0.56000000000000005</v>
      </c>
      <c r="G154" s="39">
        <f>'Fiscal Forecasts'!G$154</f>
        <v>0.64700000000000002</v>
      </c>
      <c r="H154" s="39">
        <f>'Fiscal Forecasts'!H$154</f>
        <v>0.60799999999999998</v>
      </c>
      <c r="I154" s="39">
        <f>'Fiscal Forecasts'!I$154</f>
        <v>0.60799999999999998</v>
      </c>
      <c r="J154" s="39">
        <f>'Fiscal Forecasts'!J$154</f>
        <v>0.60799999999999998</v>
      </c>
      <c r="K154" s="8">
        <f ca="1">IF(K$6=OFFSET(Assumptions!$B$8,0,$C$1),AVERAGE(H$154/H$13,I$154/I$13,J$154/J$13),J$154/J$13)*K$13</f>
        <v>0.66170527965669457</v>
      </c>
      <c r="L154" s="8">
        <f ca="1">IF(L$6=OFFSET(Assumptions!$B$8,0,$C$1),AVERAGE(I$154/I$13,J$154/J$13,K$154/K$13),K$154/K$13)*L$13</f>
        <v>0.69073656025735108</v>
      </c>
      <c r="M154" s="8">
        <f ca="1">IF(M$6=OFFSET(Assumptions!$B$8,0,$C$1),AVERAGE(J$154/J$13,K$154/K$13,L$154/L$13),L$154/L$13)*M$13</f>
        <v>0.72092160761842394</v>
      </c>
      <c r="N154" s="8">
        <f ca="1">IF(N$6=OFFSET(Assumptions!$B$8,0,$C$1),AVERAGE(K$154/K$13,L$154/L$13,M$154/M$13),M$154/M$13)*N$13</f>
        <v>0.75239165162174704</v>
      </c>
      <c r="O154" s="8">
        <f ca="1">IF(O$6=OFFSET(Assumptions!$B$8,0,$C$1),AVERAGE(L$154/L$13,M$154/M$13,N$154/N$13),N$154/N$13)*O$13</f>
        <v>0.78490818184077593</v>
      </c>
      <c r="P154" s="8">
        <f ca="1">IF(P$6=OFFSET(Assumptions!$B$8,0,$C$1),AVERAGE(M$154/M$13,N$154/N$13,O$154/O$13),O$154/O$13)*P$13</f>
        <v>0.81859962121606122</v>
      </c>
      <c r="Q154" s="8">
        <f ca="1">IF(Q$6=OFFSET(Assumptions!$B$8,0,$C$1),AVERAGE(N$154/N$13,O$154/O$13,P$154/P$13),P$154/P$13)*Q$13</f>
        <v>0.85341386039316247</v>
      </c>
      <c r="R154" s="8">
        <f ca="1">IF(R$6=OFFSET(Assumptions!$B$8,0,$C$1),AVERAGE(O$154/O$13,P$154/P$13,Q$154/Q$13),Q$154/Q$13)*R$13</f>
        <v>0.88931207849093374</v>
      </c>
      <c r="S154" s="8">
        <f ca="1">IF(S$6=OFFSET(Assumptions!$B$8,0,$C$1),AVERAGE(P$154/P$13,Q$154/Q$13,R$154/R$13),R$154/R$13)*S$13</f>
        <v>0.92645722633894978</v>
      </c>
      <c r="T154" s="8">
        <f ca="1">IF(T$6=OFFSET(Assumptions!$B$8,0,$C$1),AVERAGE(Q$154/Q$13,R$154/R$13,S$154/S$13),S$154/S$13)*T$13</f>
        <v>0.96479161865443042</v>
      </c>
    </row>
    <row r="155" spans="1:21" ht="15" x14ac:dyDescent="0.25">
      <c r="A155" s="2" t="s">
        <v>448</v>
      </c>
      <c r="B155" s="4" t="str">
        <f>$B$38</f>
        <v>From Fiscal</v>
      </c>
      <c r="D155" s="40">
        <f>'Fiscal Forecasts'!D$13</f>
        <v>3.6150000000000002</v>
      </c>
      <c r="E155" s="40">
        <f>'Fiscal Forecasts'!E$13</f>
        <v>3.8809999999999998</v>
      </c>
      <c r="F155" s="39">
        <f>'Fiscal Forecasts'!F$13</f>
        <v>3.6259999999999999</v>
      </c>
      <c r="G155" s="39">
        <f>'Fiscal Forecasts'!G$13</f>
        <v>3.78</v>
      </c>
      <c r="H155" s="39">
        <f>'Fiscal Forecasts'!H$13</f>
        <v>3.871</v>
      </c>
      <c r="I155" s="39">
        <f>'Fiscal Forecasts'!I$13</f>
        <v>3.9260000000000002</v>
      </c>
      <c r="J155" s="39">
        <f>'Fiscal Forecasts'!J$13</f>
        <v>3.9750000000000001</v>
      </c>
      <c r="K155" s="8">
        <f ca="1">SUM(K$154,IF(K$6=OFFSET(Assumptions!$B$8,0,$C$1),AVERAGE((H$155-H$154)/H$13,(I$155-I$154)/I$13,(J$155-J$154)/J$13),(J$155-J$154)/J$13)*K$13)</f>
        <v>4.2689812064811026</v>
      </c>
      <c r="L155" s="8">
        <f ca="1">SUM(L$154,IF(L$6=OFFSET(Assumptions!$B$8,0,$C$1),AVERAGE((I$155-I$154)/I$13,(J$155-J$154)/J$13,(K$155-K$154)/K$13),(K$155-K$154)/K$13)*L$13)</f>
        <v>4.4562760567633637</v>
      </c>
      <c r="M155" s="8">
        <f ca="1">SUM(M$154,IF(M$6=OFFSET(Assumptions!$B$8,0,$C$1),AVERAGE((J$155-J$154)/J$13,(K$155-K$154)/K$13,(L$155-L$154)/L$13),(L$155-L$154)/L$13)*M$13)</f>
        <v>4.6510144151576283</v>
      </c>
      <c r="N155" s="8">
        <f ca="1">SUM(N$154,IF(N$6=OFFSET(Assumptions!$B$8,0,$C$1),AVERAGE((K$155-K$154)/K$13,(L$155-L$154)/L$13,(M$155-M$154)/M$13),(M$155-M$154)/M$13)*N$13)</f>
        <v>4.8540429091829749</v>
      </c>
      <c r="O155" s="8">
        <f ca="1">SUM(O$154,IF(O$6=OFFSET(Assumptions!$B$8,0,$C$1),AVERAGE((L$155-L$154)/L$13,(M$155-M$154)/M$13,(N$155-N$154)/N$13),(N$155-N$154)/N$13)*O$13)</f>
        <v>5.0638227925730961</v>
      </c>
      <c r="P155" s="8">
        <f ca="1">SUM(P$154,IF(P$6=OFFSET(Assumptions!$B$8,0,$C$1),AVERAGE((M$155-M$154)/M$13,(N$155-N$154)/N$13,(O$155-O$154)/O$13),(O$155-O$154)/O$13)*P$13)</f>
        <v>5.2811825839095219</v>
      </c>
      <c r="Q155" s="8">
        <f ca="1">SUM(Q$154,IF(Q$6=OFFSET(Assumptions!$B$8,0,$C$1),AVERAGE((N$155-N$154)/N$13,(O$155-O$154)/O$13,(P$155-P$154)/P$13),(P$155-P$154)/P$13)*Q$13)</f>
        <v>5.5057861005114921</v>
      </c>
      <c r="R155" s="8">
        <f ca="1">SUM(R$154,IF(R$6=OFFSET(Assumptions!$B$8,0,$C$1),AVERAGE((O$155-O$154)/O$13,(P$155-P$154)/P$13,(Q$155-Q$154)/Q$13),(Q$155-Q$154)/Q$13)*R$13)</f>
        <v>5.7373828900747457</v>
      </c>
      <c r="S155" s="8">
        <f ca="1">SUM(S$154,IF(S$6=OFFSET(Assumptions!$B$8,0,$C$1),AVERAGE((P$155-P$154)/P$13,(Q$155-Q$154)/Q$13,(R$155-R$154)/R$13),(R$155-R$154)/R$13)*S$13)</f>
        <v>5.9770242273139047</v>
      </c>
      <c r="T155" s="8">
        <f ca="1">SUM(T$154,IF(T$6=OFFSET(Assumptions!$B$8,0,$C$1),AVERAGE((Q$155-Q$154)/Q$13,(R$155-R$154)/R$13,(S$155-S$154)/S$13),(S$155-S$154)/S$13)*T$13)</f>
        <v>6.2243379565342085</v>
      </c>
    </row>
    <row r="156" spans="1:21" ht="15" x14ac:dyDescent="0.25">
      <c r="A156" s="2"/>
      <c r="B156" s="4"/>
      <c r="F156" s="26"/>
      <c r="G156" s="26"/>
      <c r="H156" s="26"/>
      <c r="I156" s="26"/>
      <c r="J156" s="26"/>
    </row>
    <row r="157" spans="1:21" x14ac:dyDescent="0.2">
      <c r="A157" s="19" t="s">
        <v>149</v>
      </c>
      <c r="D157" s="7"/>
      <c r="E157" s="7"/>
      <c r="F157" s="16"/>
      <c r="G157" s="16"/>
      <c r="H157" s="16"/>
      <c r="I157" s="16"/>
      <c r="J157" s="16"/>
      <c r="K157" s="7"/>
      <c r="L157" s="7"/>
      <c r="M157" s="7"/>
      <c r="N157" s="7"/>
      <c r="O157" s="7"/>
      <c r="P157" s="7"/>
      <c r="Q157" s="7"/>
      <c r="R157" s="7"/>
      <c r="S157" s="7"/>
      <c r="T157" s="7"/>
      <c r="U157" s="7"/>
    </row>
    <row r="158" spans="1:21" x14ac:dyDescent="0.2">
      <c r="A158" s="1" t="s">
        <v>456</v>
      </c>
      <c r="B158" s="4" t="str">
        <f t="shared" ref="B158:B174" si="99">$B$38</f>
        <v>From Fiscal</v>
      </c>
      <c r="D158" s="15">
        <f>'Fiscal Forecasts'!D$225</f>
        <v>11.590999999999999</v>
      </c>
      <c r="E158" s="15">
        <f>'Fiscal Forecasts'!E$225</f>
        <v>12.266999999999999</v>
      </c>
      <c r="F158" s="16">
        <f>'Fiscal Forecasts'!F$225</f>
        <v>13.042999999999999</v>
      </c>
      <c r="G158" s="16">
        <f>'Fiscal Forecasts'!G$225</f>
        <v>13.682</v>
      </c>
      <c r="H158" s="16">
        <f>'Fiscal Forecasts'!H$225</f>
        <v>14.412000000000001</v>
      </c>
      <c r="I158" s="16">
        <f>'Fiscal Forecasts'!I$225</f>
        <v>15.281000000000001</v>
      </c>
      <c r="J158" s="16">
        <f>'Fiscal Forecasts'!J$225</f>
        <v>16.085000000000001</v>
      </c>
      <c r="K158" s="7">
        <f ca="1">J$158*(1+Population!R$222)*K$179/J$179</f>
        <v>16.97354746578814</v>
      </c>
      <c r="L158" s="7">
        <f ca="1">K$158*(1+Population!S$222)*L$179/K$179</f>
        <v>18.138224267926848</v>
      </c>
      <c r="M158" s="7">
        <f ca="1">L$158*(1+Population!T$222)*M$179/L$179</f>
        <v>19.424978049157961</v>
      </c>
      <c r="N158" s="7">
        <f ca="1">M$158*(1+Population!U$222)*N$179/M$179</f>
        <v>20.786999202166367</v>
      </c>
      <c r="O158" s="7">
        <f ca="1">N$158*(1+Population!V$222)*O$179/N$179</f>
        <v>22.260744586879344</v>
      </c>
      <c r="P158" s="7">
        <f ca="1">O$158*(1+Population!W$222)*P$179/O$179</f>
        <v>23.824398129278425</v>
      </c>
      <c r="Q158" s="7">
        <f ca="1">P$158*(1+Population!X$222)*Q$179/P$179</f>
        <v>25.455360573467452</v>
      </c>
      <c r="R158" s="7">
        <f ca="1">Q$158*(1+Population!Y$222)*R$179/Q$179</f>
        <v>27.130674920841471</v>
      </c>
      <c r="S158" s="7">
        <f ca="1">R$158*(1+Population!Z$222)*S$179/R$179</f>
        <v>28.813697429944327</v>
      </c>
      <c r="T158" s="7">
        <f ca="1">S$158*(1+Population!AA$222)*T$179/S$179</f>
        <v>30.548215985414448</v>
      </c>
    </row>
    <row r="159" spans="1:21" x14ac:dyDescent="0.2">
      <c r="A159" s="1" t="s">
        <v>485</v>
      </c>
      <c r="B159" s="4" t="str">
        <f t="shared" si="99"/>
        <v>From Fiscal</v>
      </c>
      <c r="D159" s="15">
        <f>'Fiscal Forecasts'!D$226</f>
        <v>1.6839999999999999</v>
      </c>
      <c r="E159" s="15">
        <f>'Fiscal Forecasts'!E$226</f>
        <v>1.671</v>
      </c>
      <c r="F159" s="16">
        <f>'Fiscal Forecasts'!F$226</f>
        <v>1.6970000000000001</v>
      </c>
      <c r="G159" s="16">
        <f>'Fiscal Forecasts'!G$226</f>
        <v>1.671</v>
      </c>
      <c r="H159" s="16">
        <f>'Fiscal Forecasts'!H$226</f>
        <v>1.629</v>
      </c>
      <c r="I159" s="16">
        <f>'Fiscal Forecasts'!I$226</f>
        <v>1.5589999999999999</v>
      </c>
      <c r="J159" s="16">
        <f>'Fiscal Forecasts'!J$226</f>
        <v>1.5489999999999999</v>
      </c>
      <c r="K159" s="7">
        <f ca="1">IF(OFFSET(Assumptions!$B$43,0,$C$1)="Yes",IF(K$6=OFFSET(Assumptions!$B$8,0,$C$1),AVERAGE(H$159/SUM(H$159:H$161),I$159/SUM(I$159:I$161),J$159/SUM(J$159:J$161)),J$159/SUM(J$159:J$161))*K$13*(SUM(J$159:J$161)/J$13+MIN(ABS(OFFSET(Assumptions!$B$44,0,$C$1)-SUM(J$159:J$161)/J$13),OFFSET(Assumptions!$B$51,0,$C$1))*SIGN(OFFSET(Assumptions!$B$44,0,$C$1)-SUM(J$159:J$161)/J$13)),J$159*(1+Exogenous!$B$41*Population!R$208+Exogenous!$B$42*Population!R$210+Exogenous!$B$43*Population!R$213+Exogenous!$B$44*Population!R$216+Exogenous!$B$45*Population!R$220+Exogenous!$B$46*Population!R$222)*AVERAGE(1,K$17*K$24/(J$17*J$24))*(1+K$31))</f>
        <v>1.5767655549112438</v>
      </c>
      <c r="L159" s="7">
        <f ca="1">IF(OFFSET(Assumptions!$B$43,0,$C$1)="Yes",IF(L$6=OFFSET(Assumptions!$B$8,0,$C$1),AVERAGE(I$159/SUM(I$159:I$161),J$159/SUM(J$159:J$161),K$159/SUM(K$159:K$161)),K$159/SUM(K$159:K$161))*L$13*(SUM(K$159:K$161)/K$13+MIN(ABS(OFFSET(Assumptions!$B$44,0,$C$1)-SUM(K$159:K$161)/K$13),OFFSET(Assumptions!$B$51,0,$C$1))*SIGN(OFFSET(Assumptions!$B$44,0,$C$1)-SUM(K$159:K$161)/K$13)),K$159*(1+Exogenous!$B$41*Population!S$208+Exogenous!$B$42*Population!S$210+Exogenous!$B$43*Population!S$213+Exogenous!$B$44*Population!S$216+Exogenous!$B$45*Population!S$220+Exogenous!$B$46*Population!S$222)*AVERAGE(1,L$17*L$24/(K$17*K$24))*(1+L$31))</f>
        <v>1.6188582007311196</v>
      </c>
      <c r="M159" s="7">
        <f ca="1">IF(OFFSET(Assumptions!$B$43,0,$C$1)="Yes",IF(M$6=OFFSET(Assumptions!$B$8,0,$C$1),AVERAGE(J$159/SUM(J$159:J$161),K$159/SUM(K$159:K$161),L$159/SUM(L$159:L$161)),L$159/SUM(L$159:L$161))*M$13*(SUM(L$159:L$161)/L$13+MIN(ABS(OFFSET(Assumptions!$B$44,0,$C$1)-SUM(L$159:L$161)/L$13),OFFSET(Assumptions!$B$51,0,$C$1))*SIGN(OFFSET(Assumptions!$B$44,0,$C$1)-SUM(L$159:L$161)/L$13)),L$159*(1+Exogenous!$B$41*Population!T$208+Exogenous!$B$42*Population!T$210+Exogenous!$B$43*Population!T$213+Exogenous!$B$44*Population!T$216+Exogenous!$B$45*Population!T$220+Exogenous!$B$46*Population!T$222)*AVERAGE(1,M$17*M$24/(L$17*L$24))*(1+M$31))</f>
        <v>1.6613221710600528</v>
      </c>
      <c r="N159" s="7">
        <f ca="1">IF(OFFSET(Assumptions!$B$43,0,$C$1)="Yes",IF(N$6=OFFSET(Assumptions!$B$8,0,$C$1),AVERAGE(K$159/SUM(K$159:K$161),L$159/SUM(L$159:L$161),M$159/SUM(M$159:M$161)),M$159/SUM(M$159:M$161))*N$13*(SUM(M$159:M$161)/M$13+MIN(ABS(OFFSET(Assumptions!$B$44,0,$C$1)-SUM(M$159:M$161)/M$13),OFFSET(Assumptions!$B$51,0,$C$1))*SIGN(OFFSET(Assumptions!$B$44,0,$C$1)-SUM(M$159:M$161)/M$13)),M$159*(1+Exogenous!$B$41*Population!U$208+Exogenous!$B$42*Population!U$210+Exogenous!$B$43*Population!U$213+Exogenous!$B$44*Population!U$216+Exogenous!$B$45*Population!U$220+Exogenous!$B$46*Population!U$222)*AVERAGE(1,N$17*N$24/(M$17*M$24))*(1+N$31))</f>
        <v>1.7061748260558149</v>
      </c>
      <c r="O159" s="7">
        <f ca="1">IF(OFFSET(Assumptions!$B$43,0,$C$1)="Yes",IF(O$6=OFFSET(Assumptions!$B$8,0,$C$1),AVERAGE(L$159/SUM(L$159:L$161),M$159/SUM(M$159:M$161),N$159/SUM(N$159:N$161)),N$159/SUM(N$159:N$161))*O$13*(SUM(N$159:N$161)/N$13+MIN(ABS(OFFSET(Assumptions!$B$44,0,$C$1)-SUM(N$159:N$161)/N$13),OFFSET(Assumptions!$B$51,0,$C$1))*SIGN(OFFSET(Assumptions!$B$44,0,$C$1)-SUM(N$159:N$161)/N$13)),N$159*(1+Exogenous!$B$41*Population!V$208+Exogenous!$B$42*Population!V$210+Exogenous!$B$43*Population!V$213+Exogenous!$B$44*Population!V$216+Exogenous!$B$45*Population!V$220+Exogenous!$B$46*Population!V$222)*AVERAGE(1,O$17*O$24/(N$17*N$24))*(1+O$31))</f>
        <v>1.7522188922923556</v>
      </c>
      <c r="P159" s="7">
        <f ca="1">IF(OFFSET(Assumptions!$B$43,0,$C$1)="Yes",IF(P$6=OFFSET(Assumptions!$B$8,0,$C$1),AVERAGE(M$159/SUM(M$159:M$161),N$159/SUM(N$159:N$161),O$159/SUM(O$159:O$161)),O$159/SUM(O$159:O$161))*P$13*(SUM(O$159:O$161)/O$13+MIN(ABS(OFFSET(Assumptions!$B$44,0,$C$1)-SUM(O$159:O$161)/O$13),OFFSET(Assumptions!$B$51,0,$C$1))*SIGN(OFFSET(Assumptions!$B$44,0,$C$1)-SUM(O$159:O$161)/O$13)),O$159*(1+Exogenous!$B$41*Population!W$208+Exogenous!$B$42*Population!W$210+Exogenous!$B$43*Population!W$213+Exogenous!$B$44*Population!W$216+Exogenous!$B$45*Population!W$220+Exogenous!$B$46*Population!W$222)*AVERAGE(1,P$17*P$24/(O$17*O$24))*(1+P$31))</f>
        <v>1.7990123551564976</v>
      </c>
      <c r="Q159" s="7">
        <f ca="1">IF(OFFSET(Assumptions!$B$43,0,$C$1)="Yes",IF(Q$6=OFFSET(Assumptions!$B$8,0,$C$1),AVERAGE(N$159/SUM(N$159:N$161),O$159/SUM(O$159:O$161),P$159/SUM(P$159:P$161)),P$159/SUM(P$159:P$161))*Q$13*(SUM(P$159:P$161)/P$13+MIN(ABS(OFFSET(Assumptions!$B$44,0,$C$1)-SUM(P$159:P$161)/P$13),OFFSET(Assumptions!$B$51,0,$C$1))*SIGN(OFFSET(Assumptions!$B$44,0,$C$1)-SUM(P$159:P$161)/P$13)),P$159*(1+Exogenous!$B$41*Population!X$208+Exogenous!$B$42*Population!X$210+Exogenous!$B$43*Population!X$213+Exogenous!$B$44*Population!X$216+Exogenous!$B$45*Population!X$220+Exogenous!$B$46*Population!X$222)*AVERAGE(1,Q$17*Q$24/(P$17*P$24))*(1+Q$31))</f>
        <v>1.8484866882249034</v>
      </c>
      <c r="R159" s="7">
        <f ca="1">IF(OFFSET(Assumptions!$B$43,0,$C$1)="Yes",IF(R$6=OFFSET(Assumptions!$B$8,0,$C$1),AVERAGE(O$159/SUM(O$159:O$161),P$159/SUM(P$159:P$161),Q$159/SUM(Q$159:Q$161)),Q$159/SUM(Q$159:Q$161))*R$13*(SUM(Q$159:Q$161)/Q$13+MIN(ABS(OFFSET(Assumptions!$B$44,0,$C$1)-SUM(Q$159:Q$161)/Q$13),OFFSET(Assumptions!$B$51,0,$C$1))*SIGN(OFFSET(Assumptions!$B$44,0,$C$1)-SUM(Q$159:Q$161)/Q$13)),Q$159*(1+Exogenous!$B$41*Population!Y$208+Exogenous!$B$42*Population!Y$210+Exogenous!$B$43*Population!Y$213+Exogenous!$B$44*Population!Y$216+Exogenous!$B$45*Population!Y$220+Exogenous!$B$46*Population!Y$222)*AVERAGE(1,R$17*R$24/(Q$17*Q$24))*(1+R$31))</f>
        <v>1.8995568971115453</v>
      </c>
      <c r="S159" s="7">
        <f ca="1">IF(OFFSET(Assumptions!$B$43,0,$C$1)="Yes",IF(S$6=OFFSET(Assumptions!$B$8,0,$C$1),AVERAGE(P$159/SUM(P$159:P$161),Q$159/SUM(Q$159:Q$161),R$159/SUM(R$159:R$161)),R$159/SUM(R$159:R$161))*S$13*(SUM(R$159:R$161)/R$13+MIN(ABS(OFFSET(Assumptions!$B$44,0,$C$1)-SUM(R$159:R$161)/R$13),OFFSET(Assumptions!$B$51,0,$C$1))*SIGN(OFFSET(Assumptions!$B$44,0,$C$1)-SUM(R$159:R$161)/R$13)),R$159*(1+Exogenous!$B$41*Population!Z$208+Exogenous!$B$42*Population!Z$210+Exogenous!$B$43*Population!Z$213+Exogenous!$B$44*Population!Z$216+Exogenous!$B$45*Population!Z$220+Exogenous!$B$46*Population!Z$222)*AVERAGE(1,S$17*S$24/(R$17*R$24))*(1+S$31))</f>
        <v>1.9524585607837028</v>
      </c>
      <c r="T159" s="7">
        <f ca="1">IF(OFFSET(Assumptions!$B$43,0,$C$1)="Yes",IF(T$6=OFFSET(Assumptions!$B$8,0,$C$1),AVERAGE(Q$159/SUM(Q$159:Q$161),R$159/SUM(R$159:R$161),S$159/SUM(S$159:S$161)),S$159/SUM(S$159:S$161))*T$13*(SUM(S$159:S$161)/S$13+MIN(ABS(OFFSET(Assumptions!$B$44,0,$C$1)-SUM(S$159:S$161)/S$13),OFFSET(Assumptions!$B$51,0,$C$1))*SIGN(OFFSET(Assumptions!$B$44,0,$C$1)-SUM(S$159:S$161)/S$13)),S$159*(1+Exogenous!$B$41*Population!AA$208+Exogenous!$B$42*Population!AA$210+Exogenous!$B$43*Population!AA$213+Exogenous!$B$44*Population!AA$216+Exogenous!$B$45*Population!AA$220+Exogenous!$B$46*Population!AA$222)*AVERAGE(1,T$17*T$24/(S$17*S$24))*(1+T$31))</f>
        <v>2.0073077485769923</v>
      </c>
    </row>
    <row r="160" spans="1:21" x14ac:dyDescent="0.2">
      <c r="A160" s="1" t="s">
        <v>299</v>
      </c>
      <c r="B160" s="4" t="str">
        <f t="shared" si="99"/>
        <v>From Fiscal</v>
      </c>
      <c r="D160" s="15">
        <f>'Fiscal Forecasts'!D$227</f>
        <v>1.5149999999999999</v>
      </c>
      <c r="E160" s="15">
        <f>'Fiscal Forecasts'!E$227</f>
        <v>1.5229999999999999</v>
      </c>
      <c r="F160" s="16">
        <f>'Fiscal Forecasts'!F$227</f>
        <v>1.5329999999999999</v>
      </c>
      <c r="G160" s="16">
        <f>'Fiscal Forecasts'!G$227</f>
        <v>1.536</v>
      </c>
      <c r="H160" s="16">
        <f>'Fiscal Forecasts'!H$227</f>
        <v>1.5429999999999999</v>
      </c>
      <c r="I160" s="16">
        <f>'Fiscal Forecasts'!I$227</f>
        <v>1.5609999999999999</v>
      </c>
      <c r="J160" s="16">
        <f>'Fiscal Forecasts'!J$227</f>
        <v>1.5740000000000001</v>
      </c>
      <c r="K160" s="7">
        <f ca="1">IF(OFFSET(Assumptions!$B$43,0,$C$1)="Yes",IF(K$6=OFFSET(Assumptions!$B$8,0,$C$1),AVERAGE(H$160/SUM(H$159:H$161),I$160/SUM(I$159:I$161),J$160/SUM(J$159:J$161)),J$160/SUM(J$159:J$161))*K$13*(SUM(J$159:J$161)/J$13+MIN(ABS(OFFSET(Assumptions!$B$44,0,$C$1)-SUM(J$159:J$161)/J$13),OFFSET(Assumptions!$B$51,0,$C$1))*SIGN(OFFSET(Assumptions!$B$44,0,$C$1)-SUM(J$159:J$161)/J$13)),J$160*(1+Exogenous!$I$41*Population!R$208+Exogenous!$I$42*Population!R$212+Exogenous!$I$43*Population!R$215+Exogenous!$I$44*Population!R$219+Exogenous!$I$45*Population!R$221+Exogenous!$I$46*Population!R$222)*(1+K$31))</f>
        <v>1.6145336399517323</v>
      </c>
      <c r="L160" s="7">
        <f ca="1">IF(OFFSET(Assumptions!$B$43,0,$C$1)="Yes",IF(L$6=OFFSET(Assumptions!$B$8,0,$C$1),AVERAGE(I$160/SUM(I$159:I$161),J$160/SUM(J$159:J$161),K$160/SUM(K$159:K$161)),K$160/SUM(K$159:K$161))*L$13*(SUM(K$159:K$161)/K$13+MIN(ABS(OFFSET(Assumptions!$B$44,0,$C$1)-SUM(K$159:K$161)/K$13),OFFSET(Assumptions!$B$51,0,$C$1))*SIGN(OFFSET(Assumptions!$B$44,0,$C$1)-SUM(K$159:K$161)/K$13)),K$160*(1+Exogenous!$I$41*Population!S$208+Exogenous!$I$42*Population!S$212+Exogenous!$I$43*Population!S$215+Exogenous!$I$44*Population!S$219+Exogenous!$I$45*Population!S$221+Exogenous!$I$46*Population!S$222)*(1+L$31))</f>
        <v>1.6556412920082397</v>
      </c>
      <c r="M160" s="7">
        <f ca="1">IF(OFFSET(Assumptions!$B$43,0,$C$1)="Yes",IF(M$6=OFFSET(Assumptions!$B$8,0,$C$1),AVERAGE(J$160/SUM(J$159:J$161),K$160/SUM(K$159:K$161),L$160/SUM(L$159:L$161)),L$160/SUM(L$159:L$161))*M$13*(SUM(L$159:L$161)/L$13+MIN(ABS(OFFSET(Assumptions!$B$44,0,$C$1)-SUM(L$159:L$161)/L$13),OFFSET(Assumptions!$B$51,0,$C$1))*SIGN(OFFSET(Assumptions!$B$44,0,$C$1)-SUM(L$159:L$161)/L$13)),L$160*(1+Exogenous!$I$41*Population!T$208+Exogenous!$I$42*Population!T$212+Exogenous!$I$43*Population!T$215+Exogenous!$I$44*Population!T$219+Exogenous!$I$45*Population!T$221+Exogenous!$I$46*Population!T$222)*(1+M$31))</f>
        <v>1.6949676954200845</v>
      </c>
      <c r="N160" s="7">
        <f ca="1">IF(OFFSET(Assumptions!$B$43,0,$C$1)="Yes",IF(N$6=OFFSET(Assumptions!$B$8,0,$C$1),AVERAGE(K$160/SUM(K$159:K$161),L$160/SUM(L$159:L$161),M$160/SUM(M$159:M$161)),M$160/SUM(M$159:M$161))*N$13*(SUM(M$159:M$161)/M$13+MIN(ABS(OFFSET(Assumptions!$B$44,0,$C$1)-SUM(M$159:M$161)/M$13),OFFSET(Assumptions!$B$51,0,$C$1))*SIGN(OFFSET(Assumptions!$B$44,0,$C$1)-SUM(M$159:M$161)/M$13)),M$160*(1+Exogenous!$I$41*Population!U$208+Exogenous!$I$42*Population!U$212+Exogenous!$I$43*Population!U$215+Exogenous!$I$44*Population!U$219+Exogenous!$I$45*Population!U$221+Exogenous!$I$46*Population!U$222)*(1+N$31))</f>
        <v>1.7351074954334771</v>
      </c>
      <c r="O160" s="7">
        <f ca="1">IF(OFFSET(Assumptions!$B$43,0,$C$1)="Yes",IF(O$6=OFFSET(Assumptions!$B$8,0,$C$1),AVERAGE(L$160/SUM(L$159:L$161),M$160/SUM(M$159:M$161),N$160/SUM(N$159:N$161)),N$160/SUM(N$159:N$161))*O$13*(SUM(N$159:N$161)/N$13+MIN(ABS(OFFSET(Assumptions!$B$44,0,$C$1)-SUM(N$159:N$161)/N$13),OFFSET(Assumptions!$B$51,0,$C$1))*SIGN(OFFSET(Assumptions!$B$44,0,$C$1)-SUM(N$159:N$161)/N$13)),N$160*(1+Exogenous!$I$41*Population!V$208+Exogenous!$I$42*Population!V$212+Exogenous!$I$43*Population!V$215+Exogenous!$I$44*Population!V$219+Exogenous!$I$45*Population!V$221+Exogenous!$I$46*Population!V$222)*(1+O$31))</f>
        <v>1.7745513328418228</v>
      </c>
      <c r="P160" s="7">
        <f ca="1">IF(OFFSET(Assumptions!$B$43,0,$C$1)="Yes",IF(P$6=OFFSET(Assumptions!$B$8,0,$C$1),AVERAGE(M$160/SUM(M$159:M$161),N$160/SUM(N$159:N$161),O$160/SUM(O$159:O$161)),O$160/SUM(O$159:O$161))*P$13*(SUM(O$159:O$161)/O$13+MIN(ABS(OFFSET(Assumptions!$B$44,0,$C$1)-SUM(O$159:O$161)/O$13),OFFSET(Assumptions!$B$51,0,$C$1))*SIGN(OFFSET(Assumptions!$B$44,0,$C$1)-SUM(O$159:O$161)/O$13)),O$160*(1+Exogenous!$I$41*Population!W$208+Exogenous!$I$42*Population!W$212+Exogenous!$I$43*Population!W$215+Exogenous!$I$44*Population!W$219+Exogenous!$I$45*Population!W$221+Exogenous!$I$46*Population!W$222)*(1+P$31))</f>
        <v>1.8139073952713378</v>
      </c>
      <c r="Q160" s="7">
        <f ca="1">IF(OFFSET(Assumptions!$B$43,0,$C$1)="Yes",IF(Q$6=OFFSET(Assumptions!$B$8,0,$C$1),AVERAGE(N$160/SUM(N$159:N$161),O$160/SUM(O$159:O$161),P$160/SUM(P$159:P$161)),P$160/SUM(P$159:P$161))*Q$13*(SUM(P$159:P$161)/P$13+MIN(ABS(OFFSET(Assumptions!$B$44,0,$C$1)-SUM(P$159:P$161)/P$13),OFFSET(Assumptions!$B$51,0,$C$1))*SIGN(OFFSET(Assumptions!$B$44,0,$C$1)-SUM(P$159:P$161)/P$13)),P$160*(1+Exogenous!$I$41*Population!X$208+Exogenous!$I$42*Population!X$212+Exogenous!$I$43*Population!X$215+Exogenous!$I$44*Population!X$219+Exogenous!$I$45*Population!X$221+Exogenous!$I$46*Population!X$222)*(1+Q$31))</f>
        <v>1.855042045793134</v>
      </c>
      <c r="R160" s="7">
        <f ca="1">IF(OFFSET(Assumptions!$B$43,0,$C$1)="Yes",IF(R$6=OFFSET(Assumptions!$B$8,0,$C$1),AVERAGE(O$160/SUM(O$159:O$161),P$160/SUM(P$159:P$161),Q$160/SUM(Q$159:Q$161)),Q$160/SUM(Q$159:Q$161))*R$13*(SUM(Q$159:Q$161)/Q$13+MIN(ABS(OFFSET(Assumptions!$B$44,0,$C$1)-SUM(Q$159:Q$161)/Q$13),OFFSET(Assumptions!$B$51,0,$C$1))*SIGN(OFFSET(Assumptions!$B$44,0,$C$1)-SUM(Q$159:Q$161)/Q$13)),Q$160*(1+Exogenous!$I$41*Population!Y$208+Exogenous!$I$42*Population!Y$212+Exogenous!$I$43*Population!Y$215+Exogenous!$I$44*Population!Y$219+Exogenous!$I$45*Population!Y$221+Exogenous!$I$46*Population!Y$222)*(1+R$31))</f>
        <v>1.8989624241221199</v>
      </c>
      <c r="S160" s="7">
        <f ca="1">IF(OFFSET(Assumptions!$B$43,0,$C$1)="Yes",IF(S$6=OFFSET(Assumptions!$B$8,0,$C$1),AVERAGE(P$160/SUM(P$159:P$161),Q$160/SUM(Q$159:Q$161),R$160/SUM(R$159:R$161)),R$160/SUM(R$159:R$161))*S$13*(SUM(R$159:R$161)/R$13+MIN(ABS(OFFSET(Assumptions!$B$44,0,$C$1)-SUM(R$159:R$161)/R$13),OFFSET(Assumptions!$B$51,0,$C$1))*SIGN(OFFSET(Assumptions!$B$44,0,$C$1)-SUM(R$159:R$161)/R$13)),R$160*(1+Exogenous!$I$41*Population!Z$208+Exogenous!$I$42*Population!Z$212+Exogenous!$I$43*Population!Z$215+Exogenous!$I$44*Population!Z$219+Exogenous!$I$45*Population!Z$221+Exogenous!$I$46*Population!Z$222)*(1+S$31))</f>
        <v>1.946883163017658</v>
      </c>
      <c r="T160" s="7">
        <f ca="1">IF(OFFSET(Assumptions!$B$43,0,$C$1)="Yes",IF(T$6=OFFSET(Assumptions!$B$8,0,$C$1),AVERAGE(Q$160/SUM(Q$159:Q$161),R$160/SUM(R$159:R$161),S$160/SUM(S$159:S$161)),S$160/SUM(S$159:S$161))*T$13*(SUM(S$159:S$161)/S$13+MIN(ABS(OFFSET(Assumptions!$B$44,0,$C$1)-SUM(S$159:S$161)/S$13),OFFSET(Assumptions!$B$51,0,$C$1))*SIGN(OFFSET(Assumptions!$B$44,0,$C$1)-SUM(S$159:S$161)/S$13)),S$160*(1+Exogenous!$I$41*Population!AA$208+Exogenous!$I$42*Population!AA$212+Exogenous!$I$43*Population!AA$215+Exogenous!$I$44*Population!AA$219+Exogenous!$I$45*Population!AA$221+Exogenous!$I$46*Population!AA$222)*(1+T$31))</f>
        <v>1.9977503030882704</v>
      </c>
    </row>
    <row r="161" spans="1:20" x14ac:dyDescent="0.2">
      <c r="A161" s="1" t="s">
        <v>300</v>
      </c>
      <c r="B161" s="4" t="str">
        <f t="shared" si="99"/>
        <v>From Fiscal</v>
      </c>
      <c r="D161" s="15">
        <f>'Fiscal Forecasts'!D$228</f>
        <v>1.1859999999999999</v>
      </c>
      <c r="E161" s="15">
        <f>'Fiscal Forecasts'!E$228</f>
        <v>1.153</v>
      </c>
      <c r="F161" s="16">
        <f>'Fiscal Forecasts'!F$228</f>
        <v>1.159</v>
      </c>
      <c r="G161" s="16">
        <f>'Fiscal Forecasts'!G$228</f>
        <v>1.0860000000000001</v>
      </c>
      <c r="H161" s="16">
        <f>'Fiscal Forecasts'!H$228</f>
        <v>1.0429999999999999</v>
      </c>
      <c r="I161" s="16">
        <f>'Fiscal Forecasts'!I$228</f>
        <v>1.048</v>
      </c>
      <c r="J161" s="16">
        <f>'Fiscal Forecasts'!J$228</f>
        <v>1.0649999999999999</v>
      </c>
      <c r="K161" s="7">
        <f ca="1">IF(OFFSET(Assumptions!$B$43,0,$C$1)="Yes",IF(K$6=OFFSET(Assumptions!$B$8,0,$C$1),AVERAGE(H$161/SUM(H$159:H$161),I$161/SUM(I$159:I$161),J$161/SUM(J$159:J$161)),J$161/SUM(J$159:J$161))*K$13*(SUM(J$159:J$161)/J$13+MIN(ABS(OFFSET(Assumptions!$B$44,0,$C$1)-SUM(J$159:J$161)/J$13),OFFSET(Assumptions!$B$51,0,$C$1))*SIGN(OFFSET(Assumptions!$B$44,0,$C$1)-SUM(J$159:J$161)/J$13)),J$161*(1+Exogenous!$P$41*Population!R$209+Exogenous!$P$42*Population!R$211+Exogenous!$P$43*Population!R$214+Exogenous!$P$44*Population!R$217+Exogenous!$P$45*Population!R$218+Exogenous!$P$46*Population!R$223)*(1+K$31))</f>
        <v>1.0865456117408645</v>
      </c>
      <c r="L161" s="7">
        <f ca="1">IF(OFFSET(Assumptions!$B$43,0,$C$1)="Yes",IF(L$6=OFFSET(Assumptions!$B$8,0,$C$1),AVERAGE(I$161/SUM(I$159:I$161),J$161/SUM(J$159:J$161),K$161/SUM(K$159:K$161)),K$161/SUM(K$159:K$161))*L$13*(SUM(K$159:K$161)/K$13+MIN(ABS(OFFSET(Assumptions!$B$44,0,$C$1)-SUM(K$159:K$161)/K$13),OFFSET(Assumptions!$B$51,0,$C$1))*SIGN(OFFSET(Assumptions!$B$44,0,$C$1)-SUM(K$159:K$161)/K$13)),K$161*(1+Exogenous!$P$41*Population!S$209+Exogenous!$P$42*Population!S$211+Exogenous!$P$43*Population!S$214+Exogenous!$P$44*Population!S$217+Exogenous!$P$45*Population!S$218+Exogenous!$P$46*Population!S$223)*(1+L$31))</f>
        <v>1.1080202365152025</v>
      </c>
      <c r="M161" s="7">
        <f ca="1">IF(OFFSET(Assumptions!$B$43,0,$C$1)="Yes",IF(M$6=OFFSET(Assumptions!$B$8,0,$C$1),AVERAGE(J$161/SUM(J$159:J$161),K$161/SUM(K$159:K$161),L$161/SUM(L$159:L$161)),L$161/SUM(L$159:L$161))*M$13*(SUM(L$159:L$161)/L$13+MIN(ABS(OFFSET(Assumptions!$B$44,0,$C$1)-SUM(L$159:L$161)/L$13),OFFSET(Assumptions!$B$51,0,$C$1))*SIGN(OFFSET(Assumptions!$B$44,0,$C$1)-SUM(L$159:L$161)/L$13)),L$161*(1+Exogenous!$P$41*Population!T$209+Exogenous!$P$42*Population!T$211+Exogenous!$P$43*Population!T$214+Exogenous!$P$44*Population!T$217+Exogenous!$P$45*Population!T$218+Exogenous!$P$46*Population!T$223)*(1+M$31))</f>
        <v>1.1303073638272114</v>
      </c>
      <c r="N161" s="7">
        <f ca="1">IF(OFFSET(Assumptions!$B$43,0,$C$1)="Yes",IF(N$6=OFFSET(Assumptions!$B$8,0,$C$1),AVERAGE(K$161/SUM(K$159:K$161),L$161/SUM(L$159:L$161),M$161/SUM(M$159:M$161)),M$161/SUM(M$159:M$161))*N$13*(SUM(M$159:M$161)/M$13+MIN(ABS(OFFSET(Assumptions!$B$44,0,$C$1)-SUM(M$159:M$161)/M$13),OFFSET(Assumptions!$B$51,0,$C$1))*SIGN(OFFSET(Assumptions!$B$44,0,$C$1)-SUM(M$159:M$161)/M$13)),M$161*(1+Exogenous!$P$41*Population!U$209+Exogenous!$P$42*Population!U$211+Exogenous!$P$43*Population!U$214+Exogenous!$P$44*Population!U$217+Exogenous!$P$45*Population!U$218+Exogenous!$P$46*Population!U$223)*(1+N$31))</f>
        <v>1.1535734497922476</v>
      </c>
      <c r="O161" s="7">
        <f ca="1">IF(OFFSET(Assumptions!$B$43,0,$C$1)="Yes",IF(O$6=OFFSET(Assumptions!$B$8,0,$C$1),AVERAGE(L$161/SUM(L$159:L$161),M$161/SUM(M$159:M$161),N$161/SUM(N$159:N$161)),N$161/SUM(N$159:N$161))*O$13*(SUM(N$159:N$161)/N$13+MIN(ABS(OFFSET(Assumptions!$B$44,0,$C$1)-SUM(N$159:N$161)/N$13),OFFSET(Assumptions!$B$51,0,$C$1))*SIGN(OFFSET(Assumptions!$B$44,0,$C$1)-SUM(N$159:N$161)/N$13)),N$161*(1+Exogenous!$P$41*Population!V$209+Exogenous!$P$42*Population!V$211+Exogenous!$P$43*Population!V$214+Exogenous!$P$44*Population!V$217+Exogenous!$P$45*Population!V$218+Exogenous!$P$46*Population!V$223)*(1+O$31))</f>
        <v>1.1787569908818443</v>
      </c>
      <c r="P161" s="7">
        <f ca="1">IF(OFFSET(Assumptions!$B$43,0,$C$1)="Yes",IF(P$6=OFFSET(Assumptions!$B$8,0,$C$1),AVERAGE(M$161/SUM(M$159:M$161),N$161/SUM(N$159:N$161),O$161/SUM(O$159:O$161)),O$161/SUM(O$159:O$161))*P$13*(SUM(O$159:O$161)/O$13+MIN(ABS(OFFSET(Assumptions!$B$44,0,$C$1)-SUM(O$159:O$161)/O$13),OFFSET(Assumptions!$B$51,0,$C$1))*SIGN(OFFSET(Assumptions!$B$44,0,$C$1)-SUM(O$159:O$161)/O$13)),O$161*(1+Exogenous!$P$41*Population!W$209+Exogenous!$P$42*Population!W$211+Exogenous!$P$43*Population!W$214+Exogenous!$P$44*Population!W$217+Exogenous!$P$45*Population!W$218+Exogenous!$P$46*Population!W$223)*(1+P$31))</f>
        <v>1.2053423982421452</v>
      </c>
      <c r="Q161" s="7">
        <f ca="1">IF(OFFSET(Assumptions!$B$43,0,$C$1)="Yes",IF(Q$6=OFFSET(Assumptions!$B$8,0,$C$1),AVERAGE(N$161/SUM(N$159:N$161),O$161/SUM(O$159:O$161),P$161/SUM(P$159:P$161)),P$161/SUM(P$159:P$161))*Q$13*(SUM(P$159:P$161)/P$13+MIN(ABS(OFFSET(Assumptions!$B$44,0,$C$1)-SUM(P$159:P$161)/P$13),OFFSET(Assumptions!$B$51,0,$C$1))*SIGN(OFFSET(Assumptions!$B$44,0,$C$1)-SUM(P$159:P$161)/P$13)),P$161*(1+Exogenous!$P$41*Population!X$209+Exogenous!$P$42*Population!X$211+Exogenous!$P$43*Population!X$214+Exogenous!$P$44*Population!X$217+Exogenous!$P$45*Population!X$218+Exogenous!$P$46*Population!X$223)*(1+Q$31))</f>
        <v>1.2347558840874673</v>
      </c>
      <c r="R161" s="7">
        <f ca="1">IF(OFFSET(Assumptions!$B$43,0,$C$1)="Yes",IF(R$6=OFFSET(Assumptions!$B$8,0,$C$1),AVERAGE(O$161/SUM(O$159:O$161),P$161/SUM(P$159:P$161),Q$161/SUM(Q$159:Q$161)),Q$161/SUM(Q$159:Q$161))*R$13*(SUM(Q$159:Q$161)/Q$13+MIN(ABS(OFFSET(Assumptions!$B$44,0,$C$1)-SUM(Q$159:Q$161)/Q$13),OFFSET(Assumptions!$B$51,0,$C$1))*SIGN(OFFSET(Assumptions!$B$44,0,$C$1)-SUM(Q$159:Q$161)/Q$13)),Q$161*(1+Exogenous!$P$41*Population!Y$209+Exogenous!$P$42*Population!Y$211+Exogenous!$P$43*Population!Y$214+Exogenous!$P$44*Population!Y$217+Exogenous!$P$45*Population!Y$218+Exogenous!$P$46*Population!Y$223)*(1+R$31))</f>
        <v>1.2645192972354542</v>
      </c>
      <c r="S161" s="7">
        <f ca="1">IF(OFFSET(Assumptions!$B$43,0,$C$1)="Yes",IF(S$6=OFFSET(Assumptions!$B$8,0,$C$1),AVERAGE(P$161/SUM(P$159:P$161),Q$161/SUM(Q$159:Q$161),R$161/SUM(R$159:R$161)),R$161/SUM(R$159:R$161))*S$13*(SUM(R$159:R$161)/R$13+MIN(ABS(OFFSET(Assumptions!$B$44,0,$C$1)-SUM(R$159:R$161)/R$13),OFFSET(Assumptions!$B$51,0,$C$1))*SIGN(OFFSET(Assumptions!$B$44,0,$C$1)-SUM(R$159:R$161)/R$13)),R$161*(1+Exogenous!$P$41*Population!Z$209+Exogenous!$P$42*Population!Z$211+Exogenous!$P$43*Population!Z$214+Exogenous!$P$44*Population!Z$217+Exogenous!$P$45*Population!Z$218+Exogenous!$P$46*Population!Z$223)*(1+S$31))</f>
        <v>1.2947868590819323</v>
      </c>
      <c r="T161" s="7">
        <f ca="1">IF(OFFSET(Assumptions!$B$43,0,$C$1)="Yes",IF(T$6=OFFSET(Assumptions!$B$8,0,$C$1),AVERAGE(Q$161/SUM(Q$159:Q$161),R$161/SUM(R$159:R$161),S$161/SUM(S$159:S$161)),S$161/SUM(S$159:S$161))*T$13*(SUM(S$159:S$161)/S$13+MIN(ABS(OFFSET(Assumptions!$B$44,0,$C$1)-SUM(S$159:S$161)/S$13),OFFSET(Assumptions!$B$51,0,$C$1))*SIGN(OFFSET(Assumptions!$B$44,0,$C$1)-SUM(S$159:S$161)/S$13)),S$161*(1+Exogenous!$P$41*Population!AA$209+Exogenous!$P$42*Population!AA$211+Exogenous!$P$43*Population!AA$214+Exogenous!$P$44*Population!AA$217+Exogenous!$P$45*Population!AA$218+Exogenous!$P$46*Population!AA$223)*(1+T$31))</f>
        <v>1.3247921701075414</v>
      </c>
    </row>
    <row r="162" spans="1:20" x14ac:dyDescent="0.2">
      <c r="A162" s="1" t="s">
        <v>491</v>
      </c>
      <c r="B162" s="4" t="str">
        <f t="shared" si="99"/>
        <v>From Fiscal</v>
      </c>
      <c r="D162" s="15">
        <f>'Fiscal Forecasts'!D$229</f>
        <v>2.403</v>
      </c>
      <c r="E162" s="15">
        <f>'Fiscal Forecasts'!E$229</f>
        <v>2.3519999999999999</v>
      </c>
      <c r="F162" s="16">
        <f>'Fiscal Forecasts'!F$229</f>
        <v>2.319</v>
      </c>
      <c r="G162" s="16">
        <f>'Fiscal Forecasts'!G$229</f>
        <v>2.407</v>
      </c>
      <c r="H162" s="16">
        <f>'Fiscal Forecasts'!H$229</f>
        <v>2.669</v>
      </c>
      <c r="I162" s="16">
        <f>'Fiscal Forecasts'!I$229</f>
        <v>2.5990000000000002</v>
      </c>
      <c r="J162" s="16">
        <f>'Fiscal Forecasts'!J$229</f>
        <v>2.577</v>
      </c>
      <c r="K162" s="7">
        <f ca="1">IF(OFFSET(Assumptions!$B$48,0,$C$1)="Yes",K$13*(J$162/J$13+MIN(ABS(OFFSET(Assumptions!$B$49,0,$C$1)-J$162/J$13),OFFSET(Assumptions!$B$51,0,$C$1))*SIGN(OFFSET(Assumptions!$B$49,0,$C$1)-J$162/J$13)),J$162*(1+K$20)*(1+K$31))</f>
        <v>2.6569390909290722</v>
      </c>
      <c r="L162" s="7">
        <f ca="1">IF(OFFSET(Assumptions!$B$48,0,$C$1)="Yes",L$13*(K$162/K$13+MIN(ABS(OFFSET(Assumptions!$B$49,0,$C$1)-K$162/K$13),OFFSET(Assumptions!$B$51,0,$C$1))*SIGN(OFFSET(Assumptions!$B$49,0,$C$1)-K$162/K$13)),K$162*(1+L$20)*(1+L$31))</f>
        <v>2.7404396079038182</v>
      </c>
      <c r="M162" s="7">
        <f ca="1">IF(OFFSET(Assumptions!$B$48,0,$C$1)="Yes",M$13*(L$162/L$13+MIN(ABS(OFFSET(Assumptions!$B$49,0,$C$1)-L$162/L$13),OFFSET(Assumptions!$B$51,0,$C$1))*SIGN(OFFSET(Assumptions!$B$49,0,$C$1)-L$162/L$13)),L$162*(1+M$20)*(1+M$31))</f>
        <v>2.8258166500178921</v>
      </c>
      <c r="N162" s="7">
        <f ca="1">IF(OFFSET(Assumptions!$B$48,0,$C$1)="Yes",N$13*(M$162/M$13+MIN(ABS(OFFSET(Assumptions!$B$49,0,$C$1)-M$162/M$13),OFFSET(Assumptions!$B$51,0,$C$1))*SIGN(OFFSET(Assumptions!$B$49,0,$C$1)-M$162/M$13)),M$162*(1+N$20)*(1+N$31))</f>
        <v>2.9139485812281469</v>
      </c>
      <c r="O162" s="7">
        <f ca="1">IF(OFFSET(Assumptions!$B$48,0,$C$1)="Yes",O$13*(N$162/N$13+MIN(ABS(OFFSET(Assumptions!$B$49,0,$C$1)-N$162/N$13),OFFSET(Assumptions!$B$51,0,$C$1))*SIGN(OFFSET(Assumptions!$B$49,0,$C$1)-N$162/N$13)),N$162*(1+O$20)*(1+O$31))</f>
        <v>3.0033150663452544</v>
      </c>
      <c r="P162" s="7">
        <f ca="1">IF(OFFSET(Assumptions!$B$48,0,$C$1)="Yes",P$13*(O$162/O$13+MIN(ABS(OFFSET(Assumptions!$B$49,0,$C$1)-O$162/O$13),OFFSET(Assumptions!$B$51,0,$C$1))*SIGN(OFFSET(Assumptions!$B$49,0,$C$1)-O$162/O$13)),O$162*(1+P$20)*(1+P$31))</f>
        <v>3.0938857644610178</v>
      </c>
      <c r="Q162" s="7">
        <f ca="1">IF(OFFSET(Assumptions!$B$48,0,$C$1)="Yes",Q$13*(P$162/P$13+MIN(ABS(OFFSET(Assumptions!$B$49,0,$C$1)-P$162/P$13),OFFSET(Assumptions!$B$51,0,$C$1))*SIGN(OFFSET(Assumptions!$B$49,0,$C$1)-P$162/P$13)),P$162*(1+Q$20)*(1+Q$31))</f>
        <v>3.1859743142447203</v>
      </c>
      <c r="R162" s="7">
        <f ca="1">IF(OFFSET(Assumptions!$B$48,0,$C$1)="Yes",R$13*(Q$162/Q$13+MIN(ABS(OFFSET(Assumptions!$B$49,0,$C$1)-Q$162/Q$13),OFFSET(Assumptions!$B$51,0,$C$1))*SIGN(OFFSET(Assumptions!$B$49,0,$C$1)-Q$162/Q$13)),Q$162*(1+R$20)*(1+R$31))</f>
        <v>3.2787317693173765</v>
      </c>
      <c r="S162" s="7">
        <f ca="1">IF(OFFSET(Assumptions!$B$48,0,$C$1)="Yes",S$13*(R$162/R$13+MIN(ABS(OFFSET(Assumptions!$B$49,0,$C$1)-R$162/R$13),OFFSET(Assumptions!$B$51,0,$C$1))*SIGN(OFFSET(Assumptions!$B$49,0,$C$1)-R$162/R$13)),R$162*(1+S$20)*(1+S$31))</f>
        <v>3.3731429216612976</v>
      </c>
      <c r="T162" s="7">
        <f ca="1">IF(OFFSET(Assumptions!$B$48,0,$C$1)="Yes",T$13*(S$162/S$13+MIN(ABS(OFFSET(Assumptions!$B$49,0,$C$1)-S$162/S$13),OFFSET(Assumptions!$B$51,0,$C$1))*SIGN(OFFSET(Assumptions!$B$49,0,$C$1)-S$162/S$13)),S$162*(1+T$20)*(1+T$31))</f>
        <v>3.4693515906372538</v>
      </c>
    </row>
    <row r="163" spans="1:20" x14ac:dyDescent="0.2">
      <c r="A163" s="1" t="s">
        <v>493</v>
      </c>
      <c r="B163" s="4" t="str">
        <f t="shared" si="99"/>
        <v>From Fiscal</v>
      </c>
      <c r="D163" s="15">
        <f>'Fiscal Forecasts'!D$230</f>
        <v>3.464</v>
      </c>
      <c r="E163" s="15">
        <f>'Fiscal Forecasts'!E$230</f>
        <v>3.6280000000000001</v>
      </c>
      <c r="F163" s="16">
        <f>'Fiscal Forecasts'!F$230</f>
        <v>3.8069999999999999</v>
      </c>
      <c r="G163" s="16">
        <f>'Fiscal Forecasts'!G$230</f>
        <v>4.1349999999999998</v>
      </c>
      <c r="H163" s="16">
        <f>'Fiscal Forecasts'!H$230</f>
        <v>4.3780000000000001</v>
      </c>
      <c r="I163" s="16">
        <f>'Fiscal Forecasts'!I$230</f>
        <v>4.4359999999999999</v>
      </c>
      <c r="J163" s="16">
        <f>'Fiscal Forecasts'!J$230</f>
        <v>4.5549999999999997</v>
      </c>
      <c r="K163" s="7">
        <f ca="1">IF(OFFSET(Assumptions!$B$48,0,$C$1)="Yes",K$13*(J$163/J$13+MIN(ABS(OFFSET(Assumptions!$B$50,0,$C$1)-J$163/J$13),OFFSET(Assumptions!$B$51,0,$C$1))*SIGN(OFFSET(Assumptions!$B$50,0,$C$1)-J$163/J$13)),J$163*(1+K$20)*(1+K$31))</f>
        <v>4.6962970737997374</v>
      </c>
      <c r="L163" s="7">
        <f ca="1">IF(OFFSET(Assumptions!$B$48,0,$C$1)="Yes",L$13*(K$163/K$13+MIN(ABS(OFFSET(Assumptions!$B$50,0,$C$1)-K$163/K$13),OFFSET(Assumptions!$B$51,0,$C$1))*SIGN(OFFSET(Assumptions!$B$50,0,$C$1)-K$163/K$13)),K$163*(1+L$20)*(1+L$31))</f>
        <v>4.8438891788909162</v>
      </c>
      <c r="M163" s="7">
        <f ca="1">IF(OFFSET(Assumptions!$B$48,0,$C$1)="Yes",M$13*(L$163/L$13+MIN(ABS(OFFSET(Assumptions!$B$50,0,$C$1)-L$163/L$13),OFFSET(Assumptions!$B$51,0,$C$1))*SIGN(OFFSET(Assumptions!$B$50,0,$C$1)-L$163/L$13)),L$163*(1+M$20)*(1+M$31))</f>
        <v>4.994798153213619</v>
      </c>
      <c r="N163" s="7">
        <f ca="1">IF(OFFSET(Assumptions!$B$48,0,$C$1)="Yes",N$13*(M$163/M$13+MIN(ABS(OFFSET(Assumptions!$B$50,0,$C$1)-M$163/M$13),OFFSET(Assumptions!$B$51,0,$C$1))*SIGN(OFFSET(Assumptions!$B$50,0,$C$1)-M$163/M$13)),M$163*(1+N$20)*(1+N$31))</f>
        <v>5.150576557040826</v>
      </c>
      <c r="O163" s="7">
        <f ca="1">IF(OFFSET(Assumptions!$B$48,0,$C$1)="Yes",O$13*(N$163/N$13+MIN(ABS(OFFSET(Assumptions!$B$50,0,$C$1)-N$163/N$13),OFFSET(Assumptions!$B$51,0,$C$1))*SIGN(OFFSET(Assumptions!$B$50,0,$C$1)-N$163/N$13)),N$163*(1+O$20)*(1+O$31))</f>
        <v>5.308537107956008</v>
      </c>
      <c r="P163" s="7">
        <f ca="1">IF(OFFSET(Assumptions!$B$48,0,$C$1)="Yes",P$13*(O$163/O$13+MIN(ABS(OFFSET(Assumptions!$B$50,0,$C$1)-O$163/O$13),OFFSET(Assumptions!$B$51,0,$C$1))*SIGN(OFFSET(Assumptions!$B$50,0,$C$1)-O$163/O$13)),O$163*(1+P$20)*(1+P$31))</f>
        <v>5.4686261766084341</v>
      </c>
      <c r="Q163" s="7">
        <f ca="1">IF(OFFSET(Assumptions!$B$48,0,$C$1)="Yes",Q$13*(P$163/P$13+MIN(ABS(OFFSET(Assumptions!$B$50,0,$C$1)-P$163/P$13),OFFSET(Assumptions!$B$51,0,$C$1))*SIGN(OFFSET(Assumptions!$B$50,0,$C$1)-P$163/P$13)),P$163*(1+Q$20)*(1+Q$31))</f>
        <v>5.6313981379063636</v>
      </c>
      <c r="R163" s="7">
        <f ca="1">IF(OFFSET(Assumptions!$B$48,0,$C$1)="Yes",R$13*(Q$163/Q$13+MIN(ABS(OFFSET(Assumptions!$B$50,0,$C$1)-Q$163/Q$13),OFFSET(Assumptions!$B$51,0,$C$1))*SIGN(OFFSET(Assumptions!$B$50,0,$C$1)-Q$163/Q$13)),Q$163*(1+R$20)*(1+R$31))</f>
        <v>5.7953524288865532</v>
      </c>
      <c r="S163" s="7">
        <f ca="1">IF(OFFSET(Assumptions!$B$48,0,$C$1)="Yes",S$13*(R$163/R$13+MIN(ABS(OFFSET(Assumptions!$B$50,0,$C$1)-R$163/R$13),OFFSET(Assumptions!$B$51,0,$C$1))*SIGN(OFFSET(Assumptions!$B$50,0,$C$1)-R$163/R$13)),R$163*(1+S$20)*(1+S$31))</f>
        <v>5.9622297276551066</v>
      </c>
      <c r="T163" s="7">
        <f ca="1">IF(OFFSET(Assumptions!$B$48,0,$C$1)="Yes",T$13*(S$163/S$13+MIN(ABS(OFFSET(Assumptions!$B$50,0,$C$1)-S$163/S$13),OFFSET(Assumptions!$B$51,0,$C$1))*SIGN(OFFSET(Assumptions!$B$50,0,$C$1)-S$163/S$13)),S$163*(1+T$20)*(1+T$31))</f>
        <v>6.1322842434430305</v>
      </c>
    </row>
    <row r="164" spans="1:20" ht="15" x14ac:dyDescent="0.25">
      <c r="A164" s="2" t="s">
        <v>495</v>
      </c>
      <c r="B164" s="4"/>
      <c r="D164" s="35">
        <f t="shared" ref="D164:T164" si="100">SUM(D$158:D$163)</f>
        <v>21.842999999999996</v>
      </c>
      <c r="E164" s="35">
        <f t="shared" si="100"/>
        <v>22.593999999999998</v>
      </c>
      <c r="F164" s="34">
        <f t="shared" si="100"/>
        <v>23.557999999999996</v>
      </c>
      <c r="G164" s="34">
        <f t="shared" si="100"/>
        <v>24.516999999999996</v>
      </c>
      <c r="H164" s="34">
        <f t="shared" si="100"/>
        <v>25.673999999999999</v>
      </c>
      <c r="I164" s="34">
        <f t="shared" si="100"/>
        <v>26.483999999999998</v>
      </c>
      <c r="J164" s="34">
        <f t="shared" si="100"/>
        <v>27.405000000000001</v>
      </c>
      <c r="K164" s="38">
        <f t="shared" ca="1" si="100"/>
        <v>28.604628437120788</v>
      </c>
      <c r="L164" s="38">
        <f t="shared" ca="1" si="100"/>
        <v>30.105072783976144</v>
      </c>
      <c r="M164" s="38">
        <f t="shared" ca="1" si="100"/>
        <v>31.732190082696821</v>
      </c>
      <c r="N164" s="38">
        <f t="shared" ca="1" si="100"/>
        <v>33.446380111716884</v>
      </c>
      <c r="O164" s="38">
        <f t="shared" ca="1" si="100"/>
        <v>35.278123977196628</v>
      </c>
      <c r="P164" s="38">
        <f t="shared" ca="1" si="100"/>
        <v>37.205172219017861</v>
      </c>
      <c r="Q164" s="38">
        <f t="shared" ca="1" si="100"/>
        <v>39.211017643724041</v>
      </c>
      <c r="R164" s="38">
        <f t="shared" ca="1" si="100"/>
        <v>41.26779773751452</v>
      </c>
      <c r="S164" s="38">
        <f t="shared" ca="1" si="100"/>
        <v>43.343198662144026</v>
      </c>
      <c r="T164" s="38">
        <f t="shared" ca="1" si="100"/>
        <v>45.479702041267537</v>
      </c>
    </row>
    <row r="165" spans="1:20" x14ac:dyDescent="0.2">
      <c r="A165" s="1" t="s">
        <v>301</v>
      </c>
      <c r="B165" s="4" t="str">
        <f t="shared" si="99"/>
        <v>From Fiscal</v>
      </c>
      <c r="D165" s="15">
        <f>'Fiscal Forecasts'!D$231</f>
        <v>0.51100000000000001</v>
      </c>
      <c r="E165" s="15">
        <f>'Fiscal Forecasts'!E$231</f>
        <v>0.48599999999999999</v>
      </c>
      <c r="F165" s="16">
        <f>'Fiscal Forecasts'!F$231</f>
        <v>0.47699999999999998</v>
      </c>
      <c r="G165" s="16">
        <f>'Fiscal Forecasts'!G$231</f>
        <v>0.505</v>
      </c>
      <c r="H165" s="16">
        <f>'Fiscal Forecasts'!H$231</f>
        <v>0.51700000000000002</v>
      </c>
      <c r="I165" s="16">
        <f>'Fiscal Forecasts'!I$231</f>
        <v>0.51900000000000002</v>
      </c>
      <c r="J165" s="16">
        <f>'Fiscal Forecasts'!J$231</f>
        <v>0.52600000000000002</v>
      </c>
      <c r="K165" s="7">
        <f ca="1">IF(OFFSET(Assumptions!$B$43,0,$C$1)="Yes",K$13*(J$165/J$13+MIN(ABS(OFFSET(Assumptions!$B$45,0,$C$1)-J$165/J$13),OFFSET(Assumptions!$B$51,0,$C$1))*SIGN(OFFSET(Assumptions!$B$45,0,$C$1)-J$165/J$13)),J$165*(1+K$20)*(1+K$31))</f>
        <v>0.54231663245195649</v>
      </c>
      <c r="L165" s="7">
        <f ca="1">IF(OFFSET(Assumptions!$B$43,0,$C$1)="Yes",L$13*(K$165/K$13+MIN(ABS(OFFSET(Assumptions!$B$45,0,$C$1)-K$165/K$13),OFFSET(Assumptions!$B$51,0,$C$1))*SIGN(OFFSET(Assumptions!$B$45,0,$C$1)-K$165/K$13)),K$165*(1+L$20)*(1+L$31))</f>
        <v>0.55936019936259529</v>
      </c>
      <c r="M165" s="7">
        <f ca="1">IF(OFFSET(Assumptions!$B$43,0,$C$1)="Yes",M$13*(L$165/L$13+MIN(ABS(OFFSET(Assumptions!$B$45,0,$C$1)-L$165/L$13),OFFSET(Assumptions!$B$51,0,$C$1))*SIGN(OFFSET(Assumptions!$B$45,0,$C$1)-L$165/L$13)),L$165*(1+M$20)*(1+M$31))</f>
        <v>0.57678679003081523</v>
      </c>
      <c r="N165" s="7">
        <f ca="1">IF(OFFSET(Assumptions!$B$43,0,$C$1)="Yes",N$13*(M$165/M$13+MIN(ABS(OFFSET(Assumptions!$B$45,0,$C$1)-M$165/M$13),OFFSET(Assumptions!$B$51,0,$C$1))*SIGN(OFFSET(Assumptions!$B$45,0,$C$1)-M$165/M$13)),M$165*(1+N$20)*(1+N$31))</f>
        <v>0.59477569023127863</v>
      </c>
      <c r="O165" s="7">
        <f ca="1">IF(OFFSET(Assumptions!$B$43,0,$C$1)="Yes",O$13*(N$165/N$13+MIN(ABS(OFFSET(Assumptions!$B$45,0,$C$1)-N$165/N$13),OFFSET(Assumptions!$B$51,0,$C$1))*SIGN(OFFSET(Assumptions!$B$45,0,$C$1)-N$165/N$13)),N$165*(1+O$20)*(1+O$31))</f>
        <v>0.61301657931610543</v>
      </c>
      <c r="P165" s="7">
        <f ca="1">IF(OFFSET(Assumptions!$B$43,0,$C$1)="Yes",P$13*(O$165/O$13+MIN(ABS(OFFSET(Assumptions!$B$45,0,$C$1)-O$165/O$13),OFFSET(Assumptions!$B$51,0,$C$1))*SIGN(OFFSET(Assumptions!$B$45,0,$C$1)-O$165/O$13)),O$165*(1+P$20)*(1+P$31))</f>
        <v>0.63150326430209358</v>
      </c>
      <c r="Q165" s="7">
        <f ca="1">IF(OFFSET(Assumptions!$B$43,0,$C$1)="Yes",Q$13*(P$165/P$13+MIN(ABS(OFFSET(Assumptions!$B$45,0,$C$1)-P$165/P$13),OFFSET(Assumptions!$B$51,0,$C$1))*SIGN(OFFSET(Assumptions!$B$45,0,$C$1)-P$165/P$13)),P$165*(1+Q$20)*(1+Q$31))</f>
        <v>0.65029976301619041</v>
      </c>
      <c r="R165" s="7">
        <f ca="1">IF(OFFSET(Assumptions!$B$43,0,$C$1)="Yes",R$13*(Q$165/Q$13+MIN(ABS(OFFSET(Assumptions!$B$45,0,$C$1)-Q$165/Q$13),OFFSET(Assumptions!$B$51,0,$C$1))*SIGN(OFFSET(Assumptions!$B$45,0,$C$1)-Q$165/Q$13)),Q$165*(1+R$20)*(1+R$31))</f>
        <v>0.66923279420292581</v>
      </c>
      <c r="S165" s="7">
        <f ca="1">IF(OFFSET(Assumptions!$B$43,0,$C$1)="Yes",S$13*(R$165/R$13+MIN(ABS(OFFSET(Assumptions!$B$45,0,$C$1)-R$165/R$13),OFFSET(Assumptions!$B$51,0,$C$1))*SIGN(OFFSET(Assumptions!$B$45,0,$C$1)-R$165/R$13)),R$165*(1+S$20)*(1+S$31))</f>
        <v>0.68850336701352055</v>
      </c>
      <c r="T165" s="7">
        <f ca="1">IF(OFFSET(Assumptions!$B$43,0,$C$1)="Yes",T$13*(S$165/S$13+MIN(ABS(OFFSET(Assumptions!$B$45,0,$C$1)-S$165/S$13),OFFSET(Assumptions!$B$51,0,$C$1))*SIGN(OFFSET(Assumptions!$B$45,0,$C$1)-S$165/S$13)),S$165*(1+T$20)*(1+T$31))</f>
        <v>0.70814083689375062</v>
      </c>
    </row>
    <row r="166" spans="1:20" ht="15" x14ac:dyDescent="0.25">
      <c r="A166" s="2" t="s">
        <v>496</v>
      </c>
      <c r="D166" s="35">
        <f t="shared" ref="D166:T166" si="101">SUM(D$164:D$165)</f>
        <v>22.353999999999996</v>
      </c>
      <c r="E166" s="35">
        <f t="shared" si="101"/>
        <v>23.08</v>
      </c>
      <c r="F166" s="34">
        <f t="shared" si="101"/>
        <v>24.034999999999997</v>
      </c>
      <c r="G166" s="34">
        <f t="shared" si="101"/>
        <v>25.021999999999995</v>
      </c>
      <c r="H166" s="34">
        <f t="shared" si="101"/>
        <v>26.190999999999999</v>
      </c>
      <c r="I166" s="34">
        <f t="shared" si="101"/>
        <v>27.002999999999997</v>
      </c>
      <c r="J166" s="34">
        <f t="shared" si="101"/>
        <v>27.931000000000001</v>
      </c>
      <c r="K166" s="38">
        <f t="shared" ca="1" si="101"/>
        <v>29.146945069572745</v>
      </c>
      <c r="L166" s="38">
        <f t="shared" ca="1" si="101"/>
        <v>30.664432983338738</v>
      </c>
      <c r="M166" s="38">
        <f t="shared" ca="1" si="101"/>
        <v>32.308976872727634</v>
      </c>
      <c r="N166" s="38">
        <f t="shared" ca="1" si="101"/>
        <v>34.041155801948165</v>
      </c>
      <c r="O166" s="38">
        <f t="shared" ca="1" si="101"/>
        <v>35.891140556512731</v>
      </c>
      <c r="P166" s="38">
        <f t="shared" ca="1" si="101"/>
        <v>37.836675483319958</v>
      </c>
      <c r="Q166" s="38">
        <f t="shared" ca="1" si="101"/>
        <v>39.861317406740234</v>
      </c>
      <c r="R166" s="38">
        <f t="shared" ca="1" si="101"/>
        <v>41.937030531717447</v>
      </c>
      <c r="S166" s="38">
        <f t="shared" ca="1" si="101"/>
        <v>44.031702029157543</v>
      </c>
      <c r="T166" s="38">
        <f t="shared" ca="1" si="101"/>
        <v>46.187842878161284</v>
      </c>
    </row>
    <row r="167" spans="1:20" x14ac:dyDescent="0.2">
      <c r="A167" s="1" t="s">
        <v>497</v>
      </c>
      <c r="B167" s="4" t="str">
        <f t="shared" si="99"/>
        <v>From Fiscal</v>
      </c>
      <c r="D167" s="15">
        <f>'Fiscal Forecasts'!D$232</f>
        <v>0.85599999999999998</v>
      </c>
      <c r="E167" s="15">
        <f>'Fiscal Forecasts'!E$232</f>
        <v>0.69799999999999995</v>
      </c>
      <c r="F167" s="16">
        <f>'Fiscal Forecasts'!F$232</f>
        <v>0.80500000000000005</v>
      </c>
      <c r="G167" s="16">
        <f>'Fiscal Forecasts'!G$232</f>
        <v>0.82799999999999996</v>
      </c>
      <c r="H167" s="16">
        <f>'Fiscal Forecasts'!H$232</f>
        <v>0.86899999999999999</v>
      </c>
      <c r="I167" s="16">
        <f>'Fiscal Forecasts'!I$232</f>
        <v>0.90900000000000003</v>
      </c>
      <c r="J167" s="16">
        <f>'Fiscal Forecasts'!J$232</f>
        <v>0.95399999999999996</v>
      </c>
      <c r="K167" s="7">
        <f ca="1">IF(K$6&lt;=OFFSET(Assumptions!$B$52,0,$C$1),Exogenous!R$36,J$167*(1+K$14))</f>
        <v>0.995</v>
      </c>
      <c r="L167" s="7">
        <f ca="1">IF(L$6&lt;=OFFSET(Assumptions!$B$52,0,$C$1),Exogenous!S$36,K$167*(1+L$14))</f>
        <v>1.0386540633507413</v>
      </c>
      <c r="M167" s="7">
        <f ca="1">IF(M$6&lt;=OFFSET(Assumptions!$B$52,0,$C$1),Exogenous!T$36,L$167*(1+M$14))</f>
        <v>1.0840430349180374</v>
      </c>
      <c r="N167" s="7">
        <f ca="1">IF(N$6&lt;=OFFSET(Assumptions!$B$52,0,$C$1),Exogenous!U$36,M$167*(1+N$14))</f>
        <v>1.1313642438398583</v>
      </c>
      <c r="O167" s="7">
        <f ca="1">IF(O$6&lt;=OFFSET(Assumptions!$B$52,0,$C$1),Exogenous!V$36,N$167*(1+O$14))</f>
        <v>1.1802590442330478</v>
      </c>
      <c r="P167" s="7">
        <f ca="1">IF(P$6&lt;=OFFSET(Assumptions!$B$52,0,$C$1),Exogenous!W$36,O$167*(1+P$14))</f>
        <v>1.2309205444643914</v>
      </c>
      <c r="Q167" s="7">
        <f ca="1">IF(Q$6&lt;=OFFSET(Assumptions!$B$52,0,$C$1),Exogenous!X$36,P$167*(1+Q$14))</f>
        <v>1.2832703881881529</v>
      </c>
      <c r="R167" s="7">
        <f ca="1">IF(R$6&lt;=OFFSET(Assumptions!$B$52,0,$C$1),Exogenous!Y$36,Q$167*(1+R$14))</f>
        <v>1.3372502008107967</v>
      </c>
      <c r="S167" s="7">
        <f ca="1">IF(S$6&lt;=OFFSET(Assumptions!$B$52,0,$C$1),Exogenous!Z$36,R$167*(1+S$14))</f>
        <v>1.3931050099608024</v>
      </c>
      <c r="T167" s="7">
        <f ca="1">IF(T$6&lt;=OFFSET(Assumptions!$B$52,0,$C$1),Exogenous!AA$36,S$167*(1+T$14))</f>
        <v>1.4507480748214796</v>
      </c>
    </row>
    <row r="168" spans="1:20" x14ac:dyDescent="0.2">
      <c r="A168" s="1" t="s">
        <v>304</v>
      </c>
      <c r="B168" s="4" t="str">
        <f t="shared" si="99"/>
        <v>From Fiscal</v>
      </c>
      <c r="D168" s="15">
        <f>'Fiscal Forecasts'!D$233</f>
        <v>0.51300000000000001</v>
      </c>
      <c r="E168" s="15">
        <f>'Fiscal Forecasts'!E$233</f>
        <v>0.53400000000000003</v>
      </c>
      <c r="F168" s="16">
        <f>'Fiscal Forecasts'!F$233</f>
        <v>0.53900000000000003</v>
      </c>
      <c r="G168" s="16">
        <f>'Fiscal Forecasts'!G$233</f>
        <v>0.64400000000000002</v>
      </c>
      <c r="H168" s="16">
        <f>'Fiscal Forecasts'!H$233</f>
        <v>0.58599999999999997</v>
      </c>
      <c r="I168" s="16">
        <f>'Fiscal Forecasts'!I$233</f>
        <v>0.58599999999999997</v>
      </c>
      <c r="J168" s="16">
        <f>'Fiscal Forecasts'!J$233</f>
        <v>0.58599999999999997</v>
      </c>
      <c r="K168" s="7">
        <f ca="1">(J$168/J$13+MIN(ABS(OFFSET(Assumptions!$B$53,0,$C$1)-J$168/J$13),OFFSET(Assumptions!$B$51,0,$C$1))*SIGN(OFFSET(Assumptions!$B$53,0,$C$1)-J$168/J$13))*K$13</f>
        <v>0.67416903119122229</v>
      </c>
      <c r="L168" s="7">
        <f ca="1">(K$168/K$13+MIN(ABS(OFFSET(Assumptions!$B$53,0,$C$1)-K$168/K$13),OFFSET(Assumptions!$B$51,0,$C$1))*SIGN(OFFSET(Assumptions!$B$53,0,$C$1)-K$168/K$13))*L$13</f>
        <v>0.70374713932863886</v>
      </c>
      <c r="M168" s="7">
        <f ca="1">(L$168/L$13+MIN(ABS(OFFSET(Assumptions!$B$53,0,$C$1)-L$168/L$13),OFFSET(Assumptions!$B$51,0,$C$1))*SIGN(OFFSET(Assumptions!$B$53,0,$C$1)-L$168/L$13))*M$13</f>
        <v>0.73450074635204587</v>
      </c>
      <c r="N168" s="7">
        <f ca="1">(M$168/M$13+MIN(ABS(OFFSET(Assumptions!$B$53,0,$C$1)-M$168/M$13),OFFSET(Assumptions!$B$51,0,$C$1))*SIGN(OFFSET(Assumptions!$B$53,0,$C$1)-M$168/M$13))*N$13</f>
        <v>0.76656355396372577</v>
      </c>
      <c r="O168" s="7">
        <f ca="1">(N$168/N$13+MIN(ABS(OFFSET(Assumptions!$B$53,0,$C$1)-N$168/N$13),OFFSET(Assumptions!$B$51,0,$C$1))*SIGN(OFFSET(Assumptions!$B$53,0,$C$1)-N$168/N$13))*O$13</f>
        <v>0.79969255920127835</v>
      </c>
      <c r="P168" s="7">
        <f ca="1">(O$168/O$13+MIN(ABS(OFFSET(Assumptions!$B$53,0,$C$1)-O$168/O$13),OFFSET(Assumptions!$B$51,0,$C$1))*SIGN(OFFSET(Assumptions!$B$53,0,$C$1)-O$168/O$13))*P$13</f>
        <v>0.83401860395470417</v>
      </c>
      <c r="Q168" s="7">
        <f ca="1">(P$168/P$13+MIN(ABS(OFFSET(Assumptions!$B$53,0,$C$1)-P$168/P$13),OFFSET(Assumptions!$B$51,0,$C$1))*SIGN(OFFSET(Assumptions!$B$53,0,$C$1)-P$168/P$13))*Q$13</f>
        <v>0.86948859734793038</v>
      </c>
      <c r="R168" s="7">
        <f ca="1">(Q$168/Q$13+MIN(ABS(OFFSET(Assumptions!$B$53,0,$C$1)-Q$168/Q$13),OFFSET(Assumptions!$B$51,0,$C$1))*SIGN(OFFSET(Assumptions!$B$53,0,$C$1)-Q$168/Q$13))*R$13</f>
        <v>0.90606298727726864</v>
      </c>
      <c r="S168" s="7">
        <f ca="1">(R$168/R$13+MIN(ABS(OFFSET(Assumptions!$B$53,0,$C$1)-R$168/R$13),OFFSET(Assumptions!$B$51,0,$C$1))*SIGN(OFFSET(Assumptions!$B$53,0,$C$1)-R$168/R$13))*S$13</f>
        <v>0.94390779388232393</v>
      </c>
      <c r="T168" s="7">
        <f ca="1">(S$168/S$13+MIN(ABS(OFFSET(Assumptions!$B$53,0,$C$1)-S$168/S$13),OFFSET(Assumptions!$B$51,0,$C$1))*SIGN(OFFSET(Assumptions!$B$53,0,$C$1)-S$168/S$13))*T$13</f>
        <v>0.98296424533158566</v>
      </c>
    </row>
    <row r="169" spans="1:20" ht="15" x14ac:dyDescent="0.25">
      <c r="A169" s="2" t="s">
        <v>498</v>
      </c>
      <c r="D169" s="35">
        <f t="shared" ref="D169:T169" si="102">SUM(D$166:D$168)</f>
        <v>23.722999999999999</v>
      </c>
      <c r="E169" s="35">
        <f t="shared" si="102"/>
        <v>24.311999999999998</v>
      </c>
      <c r="F169" s="34">
        <f t="shared" si="102"/>
        <v>25.378999999999998</v>
      </c>
      <c r="G169" s="34">
        <f t="shared" si="102"/>
        <v>26.493999999999993</v>
      </c>
      <c r="H169" s="34">
        <f t="shared" si="102"/>
        <v>27.645999999999997</v>
      </c>
      <c r="I169" s="34">
        <f t="shared" si="102"/>
        <v>28.497999999999994</v>
      </c>
      <c r="J169" s="34">
        <f t="shared" si="102"/>
        <v>29.471</v>
      </c>
      <c r="K169" s="38">
        <f t="shared" ca="1" si="102"/>
        <v>30.816114100763969</v>
      </c>
      <c r="L169" s="38">
        <f t="shared" ca="1" si="102"/>
        <v>32.406834186018116</v>
      </c>
      <c r="M169" s="38">
        <f t="shared" ca="1" si="102"/>
        <v>34.127520653997721</v>
      </c>
      <c r="N169" s="38">
        <f t="shared" ca="1" si="102"/>
        <v>35.939083599751754</v>
      </c>
      <c r="O169" s="38">
        <f t="shared" ca="1" si="102"/>
        <v>37.871092159947054</v>
      </c>
      <c r="P169" s="38">
        <f t="shared" ca="1" si="102"/>
        <v>39.901614631739051</v>
      </c>
      <c r="Q169" s="38">
        <f t="shared" ca="1" si="102"/>
        <v>42.014076392276316</v>
      </c>
      <c r="R169" s="38">
        <f t="shared" ca="1" si="102"/>
        <v>44.180343719805514</v>
      </c>
      <c r="S169" s="38">
        <f t="shared" ca="1" si="102"/>
        <v>46.368714833000674</v>
      </c>
      <c r="T169" s="38">
        <f t="shared" ca="1" si="102"/>
        <v>48.621555198314354</v>
      </c>
    </row>
    <row r="170" spans="1:20" ht="15" x14ac:dyDescent="0.25">
      <c r="A170" s="2" t="s">
        <v>500</v>
      </c>
      <c r="B170" s="4" t="str">
        <f t="shared" si="99"/>
        <v>From Fiscal</v>
      </c>
      <c r="D170" s="40">
        <f>'Fiscal Forecasts'!D$157</f>
        <v>23.722999999999999</v>
      </c>
      <c r="E170" s="40">
        <f>'Fiscal Forecasts'!E$157</f>
        <v>24.312000000000001</v>
      </c>
      <c r="F170" s="39">
        <f>'Fiscal Forecasts'!F$157</f>
        <v>25.379000000000001</v>
      </c>
      <c r="G170" s="39">
        <f>'Fiscal Forecasts'!G$157</f>
        <v>26.494</v>
      </c>
      <c r="H170" s="39">
        <f>'Fiscal Forecasts'!H$157</f>
        <v>27.646000000000001</v>
      </c>
      <c r="I170" s="39">
        <f>'Fiscal Forecasts'!I$157</f>
        <v>28.498000000000001</v>
      </c>
      <c r="J170" s="39">
        <f>'Fiscal Forecasts'!J$157</f>
        <v>29.471</v>
      </c>
      <c r="K170" s="8">
        <f t="shared" ref="K170:T170" ca="1" si="103">K$169</f>
        <v>30.816114100763969</v>
      </c>
      <c r="L170" s="8">
        <f t="shared" ca="1" si="103"/>
        <v>32.406834186018116</v>
      </c>
      <c r="M170" s="8">
        <f t="shared" ca="1" si="103"/>
        <v>34.127520653997721</v>
      </c>
      <c r="N170" s="8">
        <f t="shared" ca="1" si="103"/>
        <v>35.939083599751754</v>
      </c>
      <c r="O170" s="8">
        <f t="shared" ca="1" si="103"/>
        <v>37.871092159947054</v>
      </c>
      <c r="P170" s="8">
        <f t="shared" ca="1" si="103"/>
        <v>39.901614631739051</v>
      </c>
      <c r="Q170" s="8">
        <f t="shared" ca="1" si="103"/>
        <v>42.014076392276316</v>
      </c>
      <c r="R170" s="8">
        <f t="shared" ca="1" si="103"/>
        <v>44.180343719805514</v>
      </c>
      <c r="S170" s="8">
        <f t="shared" ca="1" si="103"/>
        <v>46.368714833000674</v>
      </c>
      <c r="T170" s="8">
        <f t="shared" ca="1" si="103"/>
        <v>48.621555198314354</v>
      </c>
    </row>
    <row r="171" spans="1:20" x14ac:dyDescent="0.2">
      <c r="A171" s="1" t="s">
        <v>501</v>
      </c>
      <c r="B171" s="4" t="str">
        <f t="shared" si="99"/>
        <v>From Fiscal</v>
      </c>
      <c r="D171" s="15">
        <f>'Fiscal Forecasts'!D$53-D$164</f>
        <v>1.6800000000000033</v>
      </c>
      <c r="E171" s="15">
        <f>'Fiscal Forecasts'!E$53-E$164</f>
        <v>1.4870000000000019</v>
      </c>
      <c r="F171" s="16">
        <f>'Fiscal Forecasts'!F$53-F$164</f>
        <v>1.762000000000004</v>
      </c>
      <c r="G171" s="16">
        <f>'Fiscal Forecasts'!G$53-G$164</f>
        <v>1.7630000000000052</v>
      </c>
      <c r="H171" s="16">
        <f>'Fiscal Forecasts'!H$53-H$164</f>
        <v>1.722999999999999</v>
      </c>
      <c r="I171" s="16">
        <f>'Fiscal Forecasts'!I$53-I$164</f>
        <v>1.7380000000000031</v>
      </c>
      <c r="J171" s="16">
        <f>'Fiscal Forecasts'!J$53-J$164</f>
        <v>1.7309999999999981</v>
      </c>
      <c r="K171" s="7">
        <f ca="1">SUM(J$171,IF(OFFSET(Assumptions!$B$57,0,$C$1)="Yes",Allocate!$B$14,0)*SUM(K$220,K$223))</f>
        <v>1.7309999999999981</v>
      </c>
      <c r="L171" s="7">
        <f ca="1">SUM(K$171,IF(OFFSET(Assumptions!$B$57,0,$C$1)="Yes",Allocate!$B$14,0)*SUM(L$220,L$223))</f>
        <v>1.7309999999999981</v>
      </c>
      <c r="M171" s="7">
        <f ca="1">SUM(L$171,IF(OFFSET(Assumptions!$B$57,0,$C$1)="Yes",Allocate!$B$14,0)*SUM(M$220,M$223))</f>
        <v>1.7309999999999981</v>
      </c>
      <c r="N171" s="7">
        <f ca="1">SUM(M$171,IF(OFFSET(Assumptions!$B$57,0,$C$1)="Yes",Allocate!$B$14,0)*SUM(N$220,N$223))</f>
        <v>1.7309999999999981</v>
      </c>
      <c r="O171" s="7">
        <f ca="1">SUM(N$171,IF(OFFSET(Assumptions!$B$57,0,$C$1)="Yes",Allocate!$B$14,0)*SUM(O$220,O$223))</f>
        <v>1.7309999999999981</v>
      </c>
      <c r="P171" s="7">
        <f ca="1">SUM(O$171,IF(OFFSET(Assumptions!$B$57,0,$C$1)="Yes",Allocate!$B$14,0)*SUM(P$220,P$223))</f>
        <v>1.7309999999999981</v>
      </c>
      <c r="Q171" s="7">
        <f ca="1">SUM(P$171,IF(OFFSET(Assumptions!$B$57,0,$C$1)="Yes",Allocate!$B$14,0)*SUM(Q$220,Q$223))</f>
        <v>1.7309999999999981</v>
      </c>
      <c r="R171" s="7">
        <f ca="1">SUM(Q$171,IF(OFFSET(Assumptions!$B$57,0,$C$1)="Yes",Allocate!$B$14,0)*SUM(R$220,R$223))</f>
        <v>1.7309999999999981</v>
      </c>
      <c r="S171" s="7">
        <f ca="1">SUM(R$171,IF(OFFSET(Assumptions!$B$57,0,$C$1)="Yes",Allocate!$B$14,0)*SUM(S$220,S$223))</f>
        <v>1.7309999999999981</v>
      </c>
      <c r="T171" s="7">
        <f ca="1">SUM(S$171,IF(OFFSET(Assumptions!$B$57,0,$C$1)="Yes",Allocate!$B$14,0)*SUM(T$220,T$223))</f>
        <v>1.7309999999999981</v>
      </c>
    </row>
    <row r="172" spans="1:20" ht="15" x14ac:dyDescent="0.25">
      <c r="A172" s="2" t="s">
        <v>502</v>
      </c>
      <c r="B172" s="4"/>
      <c r="D172" s="40">
        <f t="shared" ref="D172:T172" si="104">SUM(D$164,D$171)</f>
        <v>23.523</v>
      </c>
      <c r="E172" s="40">
        <f t="shared" si="104"/>
        <v>24.081</v>
      </c>
      <c r="F172" s="39">
        <f t="shared" si="104"/>
        <v>25.32</v>
      </c>
      <c r="G172" s="39">
        <f t="shared" si="104"/>
        <v>26.28</v>
      </c>
      <c r="H172" s="39">
        <f t="shared" si="104"/>
        <v>27.396999999999998</v>
      </c>
      <c r="I172" s="39">
        <f t="shared" si="104"/>
        <v>28.222000000000001</v>
      </c>
      <c r="J172" s="39">
        <f t="shared" si="104"/>
        <v>29.135999999999999</v>
      </c>
      <c r="K172" s="8">
        <f t="shared" ca="1" si="104"/>
        <v>30.335628437120786</v>
      </c>
      <c r="L172" s="8">
        <f t="shared" ca="1" si="104"/>
        <v>31.836072783976142</v>
      </c>
      <c r="M172" s="8">
        <f t="shared" ca="1" si="104"/>
        <v>33.463190082696819</v>
      </c>
      <c r="N172" s="8">
        <f t="shared" ca="1" si="104"/>
        <v>35.177380111716886</v>
      </c>
      <c r="O172" s="8">
        <f t="shared" ca="1" si="104"/>
        <v>37.009123977196623</v>
      </c>
      <c r="P172" s="8">
        <f t="shared" ca="1" si="104"/>
        <v>38.936172219017863</v>
      </c>
      <c r="Q172" s="8">
        <f t="shared" ca="1" si="104"/>
        <v>40.942017643724043</v>
      </c>
      <c r="R172" s="8">
        <f t="shared" ca="1" si="104"/>
        <v>42.998797737514522</v>
      </c>
      <c r="S172" s="8">
        <f t="shared" ca="1" si="104"/>
        <v>45.074198662144028</v>
      </c>
      <c r="T172" s="8">
        <f t="shared" ca="1" si="104"/>
        <v>47.210702041267538</v>
      </c>
    </row>
    <row r="173" spans="1:20" x14ac:dyDescent="0.2">
      <c r="A173" s="1" t="s">
        <v>503</v>
      </c>
      <c r="B173" s="4" t="str">
        <f t="shared" si="99"/>
        <v>From Fiscal</v>
      </c>
      <c r="D173" s="15">
        <f>'Fiscal Forecasts'!D$194</f>
        <v>5.2460000000000004</v>
      </c>
      <c r="E173" s="15">
        <f>'Fiscal Forecasts'!E$194</f>
        <v>5.36</v>
      </c>
      <c r="F173" s="16">
        <f>'Fiscal Forecasts'!F$194</f>
        <v>5.8209999999999997</v>
      </c>
      <c r="G173" s="16">
        <f>'Fiscal Forecasts'!G$194</f>
        <v>6.0810000000000004</v>
      </c>
      <c r="H173" s="16">
        <f>'Fiscal Forecasts'!H$194</f>
        <v>6.2530000000000001</v>
      </c>
      <c r="I173" s="16">
        <f>'Fiscal Forecasts'!I$194</f>
        <v>6.69</v>
      </c>
      <c r="J173" s="16">
        <f>'Fiscal Forecasts'!J$194</f>
        <v>7.0339999999999998</v>
      </c>
      <c r="K173" s="7">
        <f>J$173*Exogenous!R$25/Exogenous!Q$25</f>
        <v>7.3623139190769633</v>
      </c>
      <c r="L173" s="7">
        <f>K$173*Exogenous!S$25/Exogenous!R$25</f>
        <v>7.6977254932412995</v>
      </c>
      <c r="M173" s="7">
        <f>L$173*Exogenous!T$25/Exogenous!S$25</f>
        <v>8.0659316419807663</v>
      </c>
      <c r="N173" s="7">
        <f>M$173*Exogenous!U$25/Exogenous!T$25</f>
        <v>8.4031427670597196</v>
      </c>
      <c r="O173" s="7">
        <f>N$173*Exogenous!V$25/Exogenous!U$25</f>
        <v>8.756020320823664</v>
      </c>
      <c r="P173" s="7">
        <f>O$173*Exogenous!W$25/Exogenous!V$25</f>
        <v>9.1007193978236511</v>
      </c>
      <c r="Q173" s="7">
        <f>P$173*Exogenous!X$25/Exogenous!W$25</f>
        <v>9.4558539928450323</v>
      </c>
      <c r="R173" s="7">
        <f>Q$173*Exogenous!Y$25/Exogenous!X$25</f>
        <v>9.8218781835478097</v>
      </c>
      <c r="S173" s="7">
        <f>R$173*Exogenous!Z$25/Exogenous!Y$25</f>
        <v>10.19926632192753</v>
      </c>
      <c r="T173" s="7">
        <f>S$173*Exogenous!AA$25/Exogenous!Z$25</f>
        <v>10.588513958671909</v>
      </c>
    </row>
    <row r="174" spans="1:20" x14ac:dyDescent="0.2">
      <c r="A174" s="1" t="s">
        <v>504</v>
      </c>
      <c r="B174" s="4" t="str">
        <f t="shared" si="99"/>
        <v>From Fiscal</v>
      </c>
      <c r="D174" s="15">
        <f>'Fiscal Forecasts'!D$36-SUM(D$172:D$173)</f>
        <v>-0.5379999999999967</v>
      </c>
      <c r="E174" s="15">
        <f>'Fiscal Forecasts'!E$36-SUM(E$172:E$173)</f>
        <v>-0.53999999999999915</v>
      </c>
      <c r="F174" s="16">
        <f>'Fiscal Forecasts'!F$36-SUM(F$172:F$173)</f>
        <v>-0.54799999999999827</v>
      </c>
      <c r="G174" s="16">
        <f>'Fiscal Forecasts'!G$36-SUM(G$172:G$173)</f>
        <v>-0.56500000000000483</v>
      </c>
      <c r="H174" s="16">
        <f>'Fiscal Forecasts'!H$36-SUM(H$172:H$173)</f>
        <v>-0.58200000000000074</v>
      </c>
      <c r="I174" s="16">
        <f>'Fiscal Forecasts'!I$36-SUM(I$172:I$173)</f>
        <v>-0.59799999999999898</v>
      </c>
      <c r="J174" s="16">
        <f>'Fiscal Forecasts'!J$36-SUM(J$172:J$173)</f>
        <v>-0.61599999999999966</v>
      </c>
      <c r="K174" s="7">
        <f>J$174*Exogenous!R$26/Exogenous!Q$26</f>
        <v>-0.64814777294678172</v>
      </c>
      <c r="L174" s="7">
        <f>K$174*Exogenous!S$26/Exogenous!R$26</f>
        <v>-0.67965890058640777</v>
      </c>
      <c r="M174" s="7">
        <f>L$174*Exogenous!T$26/Exogenous!S$26</f>
        <v>-0.71758833614017303</v>
      </c>
      <c r="N174" s="7">
        <f>M$174*Exogenous!U$26/Exogenous!T$26</f>
        <v>-0.74976554045512012</v>
      </c>
      <c r="O174" s="7">
        <f>N$174*Exogenous!V$26/Exogenous!U$26</f>
        <v>-0.78448582205181538</v>
      </c>
      <c r="P174" s="7">
        <f>O$174*Exogenous!W$26/Exogenous!V$26</f>
        <v>-0.81371412158519574</v>
      </c>
      <c r="Q174" s="7">
        <f>P$174*Exogenous!X$26/Exogenous!W$26</f>
        <v>-0.84294242111857243</v>
      </c>
      <c r="R174" s="7">
        <f>Q$174*Exogenous!Y$26/Exogenous!X$26</f>
        <v>-0.87217072065195145</v>
      </c>
      <c r="S174" s="7">
        <f>R$174*Exogenous!Z$26/Exogenous!Y$26</f>
        <v>-0.90139902018533213</v>
      </c>
      <c r="T174" s="7">
        <f>S$174*Exogenous!AA$26/Exogenous!Z$26</f>
        <v>-0.9306273197187076</v>
      </c>
    </row>
    <row r="175" spans="1:20" ht="15" x14ac:dyDescent="0.25">
      <c r="A175" s="2" t="s">
        <v>505</v>
      </c>
      <c r="D175" s="35">
        <f t="shared" ref="D175:T175" si="105">SUM(D$172:D$174)</f>
        <v>28.231000000000002</v>
      </c>
      <c r="E175" s="35">
        <f t="shared" si="105"/>
        <v>28.901</v>
      </c>
      <c r="F175" s="34">
        <f t="shared" si="105"/>
        <v>30.593</v>
      </c>
      <c r="G175" s="34">
        <f t="shared" si="105"/>
        <v>31.795999999999999</v>
      </c>
      <c r="H175" s="34">
        <f t="shared" si="105"/>
        <v>33.067999999999998</v>
      </c>
      <c r="I175" s="34">
        <f t="shared" si="105"/>
        <v>34.314</v>
      </c>
      <c r="J175" s="34">
        <f t="shared" si="105"/>
        <v>35.554000000000002</v>
      </c>
      <c r="K175" s="38">
        <f t="shared" ca="1" si="105"/>
        <v>37.049794583250971</v>
      </c>
      <c r="L175" s="38">
        <f t="shared" ca="1" si="105"/>
        <v>38.854139376631032</v>
      </c>
      <c r="M175" s="38">
        <f t="shared" ca="1" si="105"/>
        <v>40.811533388537413</v>
      </c>
      <c r="N175" s="38">
        <f t="shared" ca="1" si="105"/>
        <v>42.830757338321483</v>
      </c>
      <c r="O175" s="38">
        <f t="shared" ca="1" si="105"/>
        <v>44.980658475968475</v>
      </c>
      <c r="P175" s="38">
        <f t="shared" ca="1" si="105"/>
        <v>47.223177495256323</v>
      </c>
      <c r="Q175" s="38">
        <f t="shared" ca="1" si="105"/>
        <v>49.554929215450507</v>
      </c>
      <c r="R175" s="38">
        <f t="shared" ca="1" si="105"/>
        <v>51.948505200410381</v>
      </c>
      <c r="S175" s="38">
        <f t="shared" ca="1" si="105"/>
        <v>54.372065963886229</v>
      </c>
      <c r="T175" s="38">
        <f t="shared" ca="1" si="105"/>
        <v>56.868588680220739</v>
      </c>
    </row>
    <row r="176" spans="1:20" x14ac:dyDescent="0.2">
      <c r="A176" s="19" t="s">
        <v>488</v>
      </c>
    </row>
    <row r="177" spans="1:20" x14ac:dyDescent="0.2">
      <c r="A177" s="1" t="s">
        <v>854</v>
      </c>
      <c r="B177" s="4" t="str">
        <f>$B$11</f>
        <v>From Economic</v>
      </c>
      <c r="D177" s="21">
        <f>'Economic Forecasts'!M$19</f>
        <v>1077.5</v>
      </c>
      <c r="E177" s="21">
        <f>'Economic Forecasts'!N$19</f>
        <v>1111.4000000000001</v>
      </c>
      <c r="F177" s="22">
        <f>'Economic Forecasts'!O$19</f>
        <v>1129.72</v>
      </c>
      <c r="G177" s="22">
        <f>'Economic Forecasts'!P$19</f>
        <v>1153.1199999999999</v>
      </c>
      <c r="H177" s="22">
        <f>'Economic Forecasts'!Q$19</f>
        <v>1186.3699999999999</v>
      </c>
      <c r="I177" s="22">
        <f>'Economic Forecasts'!R$19</f>
        <v>1218.04</v>
      </c>
      <c r="J177" s="22">
        <f>'Economic Forecasts'!S$19</f>
        <v>1249.56</v>
      </c>
      <c r="K177" s="10">
        <f t="shared" ref="K177:T177" ca="1" si="106">J$177*(1+K$28)</f>
        <v>1293.0321923999998</v>
      </c>
      <c r="L177" s="10">
        <f t="shared" ca="1" si="106"/>
        <v>1338.6762287917195</v>
      </c>
      <c r="M177" s="10">
        <f t="shared" ca="1" si="106"/>
        <v>1385.9314996680671</v>
      </c>
      <c r="N177" s="10">
        <f t="shared" ca="1" si="106"/>
        <v>1434.8548816063496</v>
      </c>
      <c r="O177" s="10">
        <f t="shared" ca="1" si="106"/>
        <v>1485.5052589270535</v>
      </c>
      <c r="P177" s="10">
        <f t="shared" ca="1" si="106"/>
        <v>1537.9435945671785</v>
      </c>
      <c r="Q177" s="10">
        <f t="shared" ca="1" si="106"/>
        <v>1592.2330034553997</v>
      </c>
      <c r="R177" s="10">
        <f t="shared" ca="1" si="106"/>
        <v>1648.4388284773752</v>
      </c>
      <c r="S177" s="10">
        <f t="shared" ca="1" si="106"/>
        <v>1706.6287191226263</v>
      </c>
      <c r="T177" s="10">
        <f t="shared" ca="1" si="106"/>
        <v>1766.8727129076549</v>
      </c>
    </row>
    <row r="178" spans="1:20" x14ac:dyDescent="0.2">
      <c r="A178" s="1" t="s">
        <v>486</v>
      </c>
      <c r="B178" s="4" t="str">
        <f>$B$11</f>
        <v>From Economic</v>
      </c>
      <c r="D178" s="21">
        <f>'Economic Forecasts'!M$20</f>
        <v>873.01</v>
      </c>
      <c r="E178" s="21">
        <f>'Economic Forecasts'!N$20</f>
        <v>896.89</v>
      </c>
      <c r="F178" s="22">
        <f>'Economic Forecasts'!O$20</f>
        <v>909.56</v>
      </c>
      <c r="G178" s="22">
        <f>'Economic Forecasts'!P$20</f>
        <v>945.81</v>
      </c>
      <c r="H178" s="22">
        <f>'Economic Forecasts'!Q$20</f>
        <v>968.7</v>
      </c>
      <c r="I178" s="22">
        <f>'Economic Forecasts'!R$20</f>
        <v>990.33</v>
      </c>
      <c r="J178" s="22">
        <f>'Economic Forecasts'!S$20</f>
        <v>1012.11</v>
      </c>
      <c r="K178" s="10">
        <f ca="1">IF(OFFSET(Assumptions!$B$30,0,$C$1)="Yes",(52*K$177-IF(52*K$177&gt;Exogenous!$C$52,(52*K$177-Exogenous!$C$52)*Exogenous!$B$53+Exogenous!$E$52,IF(52*K$177&gt;Exogenous!$C$51,(52*K$177-Exogenous!$C$51)*Exogenous!$B$52+Exogenous!$E$51,IF(52*K$177&gt;Exogenous!$C$50,(52*K$177-Exogenous!$C$50)*Exogenous!$B$51+Exogenous!$E$50,52*K$177*Exogenous!$B$50)))-52*K$177*Exogenous!$B$54)/52,J$178*(1+K$28))</f>
        <v>1047.3213068999999</v>
      </c>
      <c r="L178" s="10">
        <f ca="1">IF(OFFSET(Assumptions!$B$30,0,$C$1)="Yes",(52*L$177-IF(52*L$177&gt;Exogenous!$C$52,(52*L$177-Exogenous!$C$52)*Exogenous!$B$53+Exogenous!$E$52,IF(52*L$177&gt;Exogenous!$C$51,(52*L$177-Exogenous!$C$51)*Exogenous!$B$52+Exogenous!$E$51,IF(52*L$177&gt;Exogenous!$C$50,(52*L$177-Exogenous!$C$50)*Exogenous!$B$51+Exogenous!$E$50,52*L$177*Exogenous!$B$50)))-52*L$177*Exogenous!$B$54)/52,K$178*(1+L$28))</f>
        <v>1084.2917490335697</v>
      </c>
      <c r="M178" s="10">
        <f ca="1">IF(OFFSET(Assumptions!$B$30,0,$C$1)="Yes",(52*M$177-IF(52*M$177&gt;Exogenous!$C$52,(52*M$177-Exogenous!$C$52)*Exogenous!$B$53+Exogenous!$E$52,IF(52*M$177&gt;Exogenous!$C$51,(52*M$177-Exogenous!$C$51)*Exogenous!$B$52+Exogenous!$E$51,IF(52*M$177&gt;Exogenous!$C$50,(52*M$177-Exogenous!$C$50)*Exogenous!$B$51+Exogenous!$E$50,52*M$177*Exogenous!$B$50)))-52*M$177*Exogenous!$B$54)/52,L$178*(1+M$28))</f>
        <v>1122.5672477744545</v>
      </c>
      <c r="N178" s="10">
        <f ca="1">IF(OFFSET(Assumptions!$B$30,0,$C$1)="Yes",(52*N$177-IF(52*N$177&gt;Exogenous!$C$52,(52*N$177-Exogenous!$C$52)*Exogenous!$B$53+Exogenous!$E$52,IF(52*N$177&gt;Exogenous!$C$51,(52*N$177-Exogenous!$C$51)*Exogenous!$B$52+Exogenous!$E$51,IF(52*N$177&gt;Exogenous!$C$50,(52*N$177-Exogenous!$C$50)*Exogenous!$B$51+Exogenous!$E$50,52*N$177*Exogenous!$B$50)))-52*N$177*Exogenous!$B$54)/52,M$178*(1+N$28))</f>
        <v>1162.1938716208927</v>
      </c>
      <c r="O178" s="10">
        <f ca="1">IF(OFFSET(Assumptions!$B$30,0,$C$1)="Yes",(52*O$177-IF(52*O$177&gt;Exogenous!$C$52,(52*O$177-Exogenous!$C$52)*Exogenous!$B$53+Exogenous!$E$52,IF(52*O$177&gt;Exogenous!$C$51,(52*O$177-Exogenous!$C$51)*Exogenous!$B$52+Exogenous!$E$51,IF(52*O$177&gt;Exogenous!$C$50,(52*O$177-Exogenous!$C$50)*Exogenous!$B$51+Exogenous!$E$50,52*O$177*Exogenous!$B$50)))-52*O$177*Exogenous!$B$54)/52,N$178*(1+O$28))</f>
        <v>1203.21931528911</v>
      </c>
      <c r="P178" s="10">
        <f ca="1">IF(OFFSET(Assumptions!$B$30,0,$C$1)="Yes",(52*P$177-IF(52*P$177&gt;Exogenous!$C$52,(52*P$177-Exogenous!$C$52)*Exogenous!$B$53+Exogenous!$E$52,IF(52*P$177&gt;Exogenous!$C$51,(52*P$177-Exogenous!$C$51)*Exogenous!$B$52+Exogenous!$E$51,IF(52*P$177&gt;Exogenous!$C$50,(52*P$177-Exogenous!$C$50)*Exogenous!$B$51+Exogenous!$E$50,52*P$177*Exogenous!$B$50)))-52*P$177*Exogenous!$B$54)/52,O$178*(1+P$28))</f>
        <v>1245.6929571188155</v>
      </c>
      <c r="Q178" s="10">
        <f ca="1">IF(OFFSET(Assumptions!$B$30,0,$C$1)="Yes",(52*Q$177-IF(52*Q$177&gt;Exogenous!$C$52,(52*Q$177-Exogenous!$C$52)*Exogenous!$B$53+Exogenous!$E$52,IF(52*Q$177&gt;Exogenous!$C$51,(52*Q$177-Exogenous!$C$51)*Exogenous!$B$52+Exogenous!$E$51,IF(52*Q$177&gt;Exogenous!$C$50,(52*Q$177-Exogenous!$C$50)*Exogenous!$B$51+Exogenous!$E$50,52*Q$177*Exogenous!$B$50)))-52*Q$177*Exogenous!$B$54)/52,P$178*(1+Q$28))</f>
        <v>1289.6659185051094</v>
      </c>
      <c r="R178" s="10">
        <f ca="1">IF(OFFSET(Assumptions!$B$30,0,$C$1)="Yes",(52*R$177-IF(52*R$177&gt;Exogenous!$C$52,(52*R$177-Exogenous!$C$52)*Exogenous!$B$53+Exogenous!$E$52,IF(52*R$177&gt;Exogenous!$C$51,(52*R$177-Exogenous!$C$51)*Exogenous!$B$52+Exogenous!$E$51,IF(52*R$177&gt;Exogenous!$C$50,(52*R$177-Exogenous!$C$50)*Exogenous!$B$51+Exogenous!$E$50,52*R$177*Exogenous!$B$50)))-52*R$177*Exogenous!$B$54)/52,Q$178*(1+R$28))</f>
        <v>1335.1911254283395</v>
      </c>
      <c r="S178" s="10">
        <f ca="1">IF(OFFSET(Assumptions!$B$30,0,$C$1)="Yes",(52*S$177-IF(52*S$177&gt;Exogenous!$C$52,(52*S$177-Exogenous!$C$52)*Exogenous!$B$53+Exogenous!$E$52,IF(52*S$177&gt;Exogenous!$C$51,(52*S$177-Exogenous!$C$51)*Exogenous!$B$52+Exogenous!$E$51,IF(52*S$177&gt;Exogenous!$C$50,(52*S$177-Exogenous!$C$50)*Exogenous!$B$51+Exogenous!$E$50,52*S$177*Exogenous!$B$50)))-52*S$177*Exogenous!$B$54)/52,R$178*(1+S$28))</f>
        <v>1382.3233721559598</v>
      </c>
      <c r="T178" s="10">
        <f ca="1">IF(OFFSET(Assumptions!$B$30,0,$C$1)="Yes",(52*T$177-IF(52*T$177&gt;Exogenous!$C$52,(52*T$177-Exogenous!$C$52)*Exogenous!$B$53+Exogenous!$E$52,IF(52*T$177&gt;Exogenous!$C$51,(52*T$177-Exogenous!$C$51)*Exogenous!$B$52+Exogenous!$E$51,IF(52*T$177&gt;Exogenous!$C$50,(52*T$177-Exogenous!$C$50)*Exogenous!$B$51+Exogenous!$E$50,52*T$177*Exogenous!$B$50)))-52*T$177*Exogenous!$B$54)/52,S$178*(1+T$28))</f>
        <v>1431.119387193065</v>
      </c>
    </row>
    <row r="179" spans="1:20" x14ac:dyDescent="0.2">
      <c r="A179" s="1" t="s">
        <v>487</v>
      </c>
      <c r="B179" s="4" t="str">
        <f>$B$11</f>
        <v>From Economic</v>
      </c>
      <c r="D179" s="21">
        <f>'Economic Forecasts'!M$21</f>
        <v>326.3</v>
      </c>
      <c r="E179" s="21">
        <f>'Economic Forecasts'!N$21</f>
        <v>335.74</v>
      </c>
      <c r="F179" s="22">
        <f>'Economic Forecasts'!O$21</f>
        <v>340.8</v>
      </c>
      <c r="G179" s="22">
        <f>'Economic Forecasts'!P$21</f>
        <v>348.66</v>
      </c>
      <c r="H179" s="22">
        <f>'Economic Forecasts'!Q$21</f>
        <v>357.15</v>
      </c>
      <c r="I179" s="22">
        <f>'Economic Forecasts'!R$21</f>
        <v>365.13</v>
      </c>
      <c r="J179" s="22">
        <f>'Economic Forecasts'!S$21</f>
        <v>373.16</v>
      </c>
      <c r="K179" s="10">
        <f ca="1">IF(OFFSET(Assumptions!$B$30,0,$C$1)="Yes",IF(52*K$180&gt;Exogenous!$D$52,(52*K$180-Exogenous!$F$53)/(1-Exogenous!$B$53),IF(52*K$180&gt;Exogenous!$D$51,(52*K$180-Exogenous!$F$52)/(1-Exogenous!$B$52),IF(52*K$180&gt;Exogenous!$D$50,(52*K$180-Exogenous!$F$51)/(1-Exogenous!$B$51),52*K$180/(1-Exogenous!$B$50))))/52,J$179*K$180/J$180)</f>
        <v>380.62320000000005</v>
      </c>
      <c r="L179" s="10">
        <f ca="1">IF(OFFSET(Assumptions!$B$30,0,$C$1)="Yes",IF(52*L$180&gt;Exogenous!$D$52,(52*L$180-Exogenous!$F$53)/(1-Exogenous!$B$53),IF(52*L$180&gt;Exogenous!$D$51,(52*L$180-Exogenous!$F$52)/(1-Exogenous!$B$52),IF(52*L$180&gt;Exogenous!$D$50,(52*L$180-Exogenous!$F$51)/(1-Exogenous!$B$51),52*L$180/(1-Exogenous!$B$50))))/52,K$179*L$180/K$180)</f>
        <v>393.71152828606063</v>
      </c>
      <c r="M179" s="10">
        <f ca="1">IF(OFFSET(Assumptions!$B$30,0,$C$1)="Yes",IF(52*M$180&gt;Exogenous!$D$52,(52*M$180-Exogenous!$F$53)/(1-Exogenous!$B$53),IF(52*M$180&gt;Exogenous!$D$51,(52*M$180-Exogenous!$F$52)/(1-Exogenous!$B$52),IF(52*M$180&gt;Exogenous!$D$50,(52*M$180-Exogenous!$F$51)/(1-Exogenous!$B$51),52*M$180/(1-Exogenous!$B$50))))/52,L$179*M$180/L$180)</f>
        <v>407.60954523455848</v>
      </c>
      <c r="N179" s="10">
        <f ca="1">IF(OFFSET(Assumptions!$B$30,0,$C$1)="Yes",IF(52*N$180&gt;Exogenous!$D$52,(52*N$180-Exogenous!$F$53)/(1-Exogenous!$B$53),IF(52*N$180&gt;Exogenous!$D$51,(52*N$180-Exogenous!$F$52)/(1-Exogenous!$B$52),IF(52*N$180&gt;Exogenous!$D$50,(52*N$180-Exogenous!$F$51)/(1-Exogenous!$B$51),52*N$180/(1-Exogenous!$B$50))))/52,M$179*N$180/M$180)</f>
        <v>421.99816218133833</v>
      </c>
      <c r="O179" s="10">
        <f ca="1">IF(OFFSET(Assumptions!$B$30,0,$C$1)="Yes",IF(52*O$180&gt;Exogenous!$D$52,(52*O$180-Exogenous!$F$53)/(1-Exogenous!$B$53),IF(52*O$180&gt;Exogenous!$D$51,(52*O$180-Exogenous!$F$52)/(1-Exogenous!$B$52),IF(52*O$180&gt;Exogenous!$D$50,(52*O$180-Exogenous!$F$51)/(1-Exogenous!$B$51),52*O$180/(1-Exogenous!$B$50))))/52,N$179*O$180/N$180)</f>
        <v>436.89469730633948</v>
      </c>
      <c r="P179" s="10">
        <f ca="1">IF(OFFSET(Assumptions!$B$30,0,$C$1)="Yes",IF(52*P$180&gt;Exogenous!$D$52,(52*P$180-Exogenous!$F$53)/(1-Exogenous!$B$53),IF(52*P$180&gt;Exogenous!$D$51,(52*P$180-Exogenous!$F$52)/(1-Exogenous!$B$52),IF(52*P$180&gt;Exogenous!$D$50,(52*P$180-Exogenous!$F$51)/(1-Exogenous!$B$51),52*P$180/(1-Exogenous!$B$50))))/52,O$179*P$180/O$180)</f>
        <v>452.3170801212533</v>
      </c>
      <c r="Q179" s="10">
        <f ca="1">IF(OFFSET(Assumptions!$B$30,0,$C$1)="Yes",IF(52*Q$180&gt;Exogenous!$D$52,(52*Q$180-Exogenous!$F$53)/(1-Exogenous!$B$53),IF(52*Q$180&gt;Exogenous!$D$51,(52*Q$180-Exogenous!$F$52)/(1-Exogenous!$B$52),IF(52*Q$180&gt;Exogenous!$D$50,(52*Q$180-Exogenous!$F$51)/(1-Exogenous!$B$51),52*Q$180/(1-Exogenous!$B$50))))/52,P$179*Q$180/P$180)</f>
        <v>468.28387304953344</v>
      </c>
      <c r="R179" s="10">
        <f ca="1">IF(OFFSET(Assumptions!$B$30,0,$C$1)="Yes",IF(52*R$180&gt;Exogenous!$D$52,(52*R$180-Exogenous!$F$53)/(1-Exogenous!$B$53),IF(52*R$180&gt;Exogenous!$D$51,(52*R$180-Exogenous!$F$52)/(1-Exogenous!$B$52),IF(52*R$180&gt;Exogenous!$D$50,(52*R$180-Exogenous!$F$51)/(1-Exogenous!$B$51),52*R$180/(1-Exogenous!$B$50))))/52,Q$179*R$180/Q$180)</f>
        <v>484.81429376818187</v>
      </c>
      <c r="S179" s="10">
        <f ca="1">IF(OFFSET(Assumptions!$B$30,0,$C$1)="Yes",IF(52*S$180&gt;Exogenous!$D$52,(52*S$180-Exogenous!$F$53)/(1-Exogenous!$B$53),IF(52*S$180&gt;Exogenous!$D$51,(52*S$180-Exogenous!$F$52)/(1-Exogenous!$B$52),IF(52*S$180&gt;Exogenous!$D$50,(52*S$180-Exogenous!$F$51)/(1-Exogenous!$B$51),52*S$180/(1-Exogenous!$B$50))))/52,R$179*S$180/R$180)</f>
        <v>501.92823833819864</v>
      </c>
      <c r="T179" s="10">
        <f ca="1">IF(OFFSET(Assumptions!$B$30,0,$C$1)="Yes",IF(52*T$180&gt;Exogenous!$D$52,(52*T$180-Exogenous!$F$53)/(1-Exogenous!$B$53),IF(52*T$180&gt;Exogenous!$D$51,(52*T$180-Exogenous!$F$52)/(1-Exogenous!$B$52),IF(52*T$180&gt;Exogenous!$D$50,(52*T$180-Exogenous!$F$51)/(1-Exogenous!$B$51),52*T$180/(1-Exogenous!$B$50))))/52,S$179*T$180/S$180)</f>
        <v>519.64630515153704</v>
      </c>
    </row>
    <row r="180" spans="1:20" x14ac:dyDescent="0.2">
      <c r="A180" s="1" t="s">
        <v>490</v>
      </c>
      <c r="B180" s="4" t="str">
        <f>$B$11</f>
        <v>From Economic</v>
      </c>
      <c r="D180" s="21">
        <f>'Economic Forecasts'!M$22</f>
        <v>288.10000000000002</v>
      </c>
      <c r="E180" s="21">
        <f>'Economic Forecasts'!N$22</f>
        <v>295.97000000000003</v>
      </c>
      <c r="F180" s="22">
        <f>'Economic Forecasts'!O$22</f>
        <v>300.14999999999998</v>
      </c>
      <c r="G180" s="22">
        <f>'Economic Forecasts'!P$22</f>
        <v>312.12</v>
      </c>
      <c r="H180" s="22">
        <f>'Economic Forecasts'!Q$22</f>
        <v>319.67</v>
      </c>
      <c r="I180" s="22">
        <f>'Economic Forecasts'!R$22</f>
        <v>326.81</v>
      </c>
      <c r="J180" s="22">
        <f>'Economic Forecasts'!S$22</f>
        <v>334</v>
      </c>
      <c r="K180" s="10">
        <f ca="1">MAX(OFFSET(Assumptions!$B$40,0,$C$1)*K$178/2,J$180*(1+K$31))</f>
        <v>340.68</v>
      </c>
      <c r="L180" s="10">
        <f ca="1">MAX(OFFSET(Assumptions!$B$40,0,$C$1)*L$178/2,K$180*(1+L$31))</f>
        <v>352.39481843591017</v>
      </c>
      <c r="M180" s="10">
        <f ca="1">MAX(OFFSET(Assumptions!$B$40,0,$C$1)*M$178/2,L$180*(1+M$31))</f>
        <v>364.83435552669772</v>
      </c>
      <c r="N180" s="10">
        <f ca="1">MAX(OFFSET(Assumptions!$B$40,0,$C$1)*N$178/2,M$180*(1+N$31))</f>
        <v>377.71300827679011</v>
      </c>
      <c r="O180" s="10">
        <f ca="1">MAX(OFFSET(Assumptions!$B$40,0,$C$1)*O$178/2,N$180*(1+O$31))</f>
        <v>391.04627746896074</v>
      </c>
      <c r="P180" s="10">
        <f ca="1">MAX(OFFSET(Assumptions!$B$40,0,$C$1)*P$178/2,O$180*(1+P$31))</f>
        <v>404.85021106361506</v>
      </c>
      <c r="Q180" s="10">
        <f ca="1">MAX(OFFSET(Assumptions!$B$40,0,$C$1)*Q$178/2,P$180*(1+Q$31))</f>
        <v>419.14142351416058</v>
      </c>
      <c r="R180" s="10">
        <f ca="1">MAX(OFFSET(Assumptions!$B$40,0,$C$1)*R$178/2,Q$180*(1+R$31))</f>
        <v>433.93711576421038</v>
      </c>
      <c r="S180" s="10">
        <f ca="1">MAX(OFFSET(Assumptions!$B$40,0,$C$1)*S$178/2,R$180*(1+S$31))</f>
        <v>449.25509595068695</v>
      </c>
      <c r="T180" s="10">
        <f ca="1">MAX(OFFSET(Assumptions!$B$40,0,$C$1)*T$178/2,S$180*(1+T$31))</f>
        <v>465.11380083774611</v>
      </c>
    </row>
    <row r="181" spans="1:20" x14ac:dyDescent="0.2">
      <c r="B181" s="4"/>
      <c r="D181" s="21"/>
      <c r="E181" s="21"/>
      <c r="F181" s="22"/>
      <c r="G181" s="22"/>
      <c r="H181" s="22"/>
      <c r="I181" s="22"/>
      <c r="J181" s="22"/>
      <c r="K181" s="10"/>
      <c r="L181" s="10"/>
      <c r="M181" s="10"/>
      <c r="N181" s="10"/>
      <c r="O181" s="10"/>
      <c r="P181" s="10"/>
      <c r="Q181" s="10"/>
      <c r="R181" s="10"/>
      <c r="S181" s="10"/>
      <c r="T181" s="10"/>
    </row>
    <row r="182" spans="1:20" x14ac:dyDescent="0.2">
      <c r="A182" s="19" t="s">
        <v>150</v>
      </c>
    </row>
    <row r="183" spans="1:20" x14ac:dyDescent="0.2">
      <c r="A183" s="1" t="s">
        <v>307</v>
      </c>
      <c r="B183" s="4" t="str">
        <f>$B$38</f>
        <v>From Fiscal</v>
      </c>
      <c r="D183" s="15">
        <f>'Fiscal Forecasts'!D$158</f>
        <v>6.5519999999999996</v>
      </c>
      <c r="E183" s="15">
        <f>'Fiscal Forecasts'!E$158</f>
        <v>6.6660000000000004</v>
      </c>
      <c r="F183" s="16">
        <f>'Fiscal Forecasts'!F$158</f>
        <v>6.9089999999999998</v>
      </c>
      <c r="G183" s="16">
        <f>'Fiscal Forecasts'!G$158</f>
        <v>7.1740000000000004</v>
      </c>
      <c r="H183" s="16">
        <f>'Fiscal Forecasts'!H$158</f>
        <v>7.1669999999999998</v>
      </c>
      <c r="I183" s="16">
        <f>'Fiscal Forecasts'!I$158</f>
        <v>7.141</v>
      </c>
      <c r="J183" s="16">
        <f>'Fiscal Forecasts'!J$158</f>
        <v>7.1509999999999998</v>
      </c>
      <c r="K183" s="7">
        <f ca="1">SUM(K$226,IF(K$6=OFFSET(Assumptions!$B$8,0,$C$1),AVERAGE(SUM(H$183,-H$226)/SUM(H$183,H$190,H$196,-H$226,-H$296),SUM(I$183,-I$226)/SUM(I$183,I$190,I$196,-I$226,-I$296),SUM(J$183,-J$226)/SUM(J$183,J$190,J$196,-J$226,-J$296)),SUM(J$183,-J$226)/SUM(J$183,J$190,J$196,-J$226,-J$296))*SUM(-K$230,-K$238,K$295))</f>
        <v>7.0949248194873169</v>
      </c>
      <c r="L183" s="7">
        <f ca="1">SUM(L$226,IF(L$6=OFFSET(Assumptions!$B$8,0,$C$1),AVERAGE(SUM(I$183,-I$226)/SUM(I$183,I$190,I$196,-I$226,-I$296),SUM(J$183,-J$226)/SUM(J$183,J$190,J$196,-J$226,-J$296),SUM(K$183,-K$226)/SUM(K$183,K$190,K$196,-K$226,-K$296)),SUM(K$183,-K$226)/SUM(K$183,K$190,K$196,-K$226,-K$296))*SUM(-L$230,-L$238,L$295))</f>
        <v>7.090999585842459</v>
      </c>
      <c r="M183" s="7">
        <f ca="1">SUM(M$226,IF(M$6=OFFSET(Assumptions!$B$8,0,$C$1),AVERAGE(SUM(J$183,-J$226)/SUM(J$183,J$190,J$196,-J$226,-J$296),SUM(K$183,-K$226)/SUM(K$183,K$190,K$196,-K$226,-K$296),SUM(L$183,-L$226)/SUM(L$183,L$190,L$196,-L$226,-L$296)),SUM(L$183,-L$226)/SUM(L$183,L$190,L$196,-L$226,-L$296))*SUM(-M$230,-M$238,M$295))</f>
        <v>7.0926818288331139</v>
      </c>
      <c r="N183" s="7">
        <f ca="1">SUM(N$226,IF(N$6=OFFSET(Assumptions!$B$8,0,$C$1),AVERAGE(SUM(K$183,-K$226)/SUM(K$183,K$190,K$196,-K$226,-K$296),SUM(L$183,-L$226)/SUM(L$183,L$190,L$196,-L$226,-L$296),SUM(M$183,-M$226)/SUM(M$183,M$190,M$196,-M$226,-M$296)),SUM(M$183,-M$226)/SUM(M$183,M$190,M$196,-M$226,-M$296))*SUM(-N$230,-N$238,N$295))</f>
        <v>7.0938033241602163</v>
      </c>
      <c r="O183" s="7">
        <f ca="1">SUM(O$226,IF(O$6=OFFSET(Assumptions!$B$8,0,$C$1),AVERAGE(SUM(L$183,-L$226)/SUM(L$183,L$190,L$196,-L$226,-L$296),SUM(M$183,-M$226)/SUM(M$183,M$190,M$196,-M$226,-M$296),SUM(N$183,-N$226)/SUM(N$183,N$190,N$196,-N$226,-N$296)),SUM(N$183,-N$226)/SUM(N$183,N$190,N$196,-N$226,-N$296))*SUM(-O$230,-O$238,O$295))</f>
        <v>7.0949248194873196</v>
      </c>
      <c r="P183" s="7">
        <f ca="1">SUM(P$226,IF(P$6=OFFSET(Assumptions!$B$8,0,$C$1),AVERAGE(SUM(M$183,-M$226)/SUM(M$183,M$190,M$196,-M$226,-M$296),SUM(N$183,-N$226)/SUM(N$183,N$190,N$196,-N$226,-N$296),SUM(O$183,-O$226)/SUM(O$183,O$190,O$196,-O$226,-O$296)),SUM(O$183,-O$226)/SUM(O$183,O$190,O$196,-O$226,-O$296))*SUM(-P$230,-P$238,P$295))</f>
        <v>7.095485567150873</v>
      </c>
      <c r="Q183" s="7">
        <f ca="1">SUM(Q$226,IF(Q$6=OFFSET(Assumptions!$B$8,0,$C$1),AVERAGE(SUM(N$183,-N$226)/SUM(N$183,N$190,N$196,-N$226,-N$296),SUM(O$183,-O$226)/SUM(O$183,O$190,O$196,-O$226,-O$296),SUM(P$183,-P$226)/SUM(P$183,P$190,P$196,-P$226,-P$296)),SUM(P$183,-P$226)/SUM(P$183,P$190,P$196,-P$226,-P$296))*SUM(-Q$230,-Q$238,Q$295))</f>
        <v>7.0926818288331166</v>
      </c>
      <c r="R183" s="7">
        <f ca="1">SUM(R$226,IF(R$6=OFFSET(Assumptions!$B$8,0,$C$1),AVERAGE(SUM(O$183,-O$226)/SUM(O$183,O$190,O$196,-O$226,-O$296),SUM(P$183,-P$226)/SUM(P$183,P$190,P$196,-P$226,-P$296),SUM(Q$183,-Q$226)/SUM(Q$183,Q$190,Q$196,-Q$226,-Q$296)),SUM(Q$183,-Q$226)/SUM(Q$183,Q$190,Q$196,-Q$226,-Q$296))*SUM(-R$230,-R$238,R$295))</f>
        <v>7.0837098662162914</v>
      </c>
      <c r="S183" s="7">
        <f ca="1">SUM(S$226,IF(S$6=OFFSET(Assumptions!$B$8,0,$C$1),AVERAGE(SUM(P$183,-P$226)/SUM(P$183,P$190,P$196,-P$226,-P$296),SUM(Q$183,-Q$226)/SUM(Q$183,Q$190,Q$196,-Q$226,-Q$296),SUM(R$183,-R$226)/SUM(R$183,R$190,R$196,-R$226,-R$296)),SUM(R$183,-R$226)/SUM(R$183,R$190,R$196,-R$226,-R$296))*SUM(-S$230,-S$238,S$295))</f>
        <v>7.0752986512630267</v>
      </c>
      <c r="T183" s="7">
        <f ca="1">SUM(T$226,IF(T$6=OFFSET(Assumptions!$B$8,0,$C$1),AVERAGE(SUM(Q$183,-Q$226)/SUM(Q$183,Q$190,Q$196,-Q$226,-Q$296),SUM(R$183,-R$226)/SUM(R$183,R$190,R$196,-R$226,-R$296),SUM(S$183,-S$226)/SUM(S$183,S$190,S$196,-S$226,-S$296)),SUM(S$183,-S$226)/SUM(S$183,S$190,S$196,-S$226,-S$296))*SUM(-T$230,-T$238,T$295))</f>
        <v>7.0657659409826525</v>
      </c>
    </row>
    <row r="184" spans="1:20" x14ac:dyDescent="0.2">
      <c r="A184" s="1" t="s">
        <v>279</v>
      </c>
      <c r="B184" s="4" t="str">
        <f>$B$38</f>
        <v>From Fiscal</v>
      </c>
      <c r="D184" s="15">
        <f>'Fiscal Forecasts'!D$236</f>
        <v>11.66</v>
      </c>
      <c r="E184" s="15">
        <f>'Fiscal Forecasts'!E$236</f>
        <v>12.205</v>
      </c>
      <c r="F184" s="16">
        <f>'Fiscal Forecasts'!F$236</f>
        <v>12.669</v>
      </c>
      <c r="G184" s="16">
        <f>'Fiscal Forecasts'!G$236</f>
        <v>12.968</v>
      </c>
      <c r="H184" s="16">
        <f>'Fiscal Forecasts'!H$236</f>
        <v>13.051</v>
      </c>
      <c r="I184" s="16">
        <f>'Fiscal Forecasts'!I$236</f>
        <v>13.083</v>
      </c>
      <c r="J184" s="16">
        <f>'Fiscal Forecasts'!J$236</f>
        <v>13.244</v>
      </c>
      <c r="K184" s="7">
        <f ca="1">SUM(K$227-K$226,IF(K$6=OFFSET(Assumptions!$B$8,0,$C$1),AVERAGE(SUM(H$184,-(H$227-H$226))/SUM(H$184,-(H$227-H$226),H$191,H$197),SUM(I$184,-(I$227-I$226))/SUM(I$184,-(I$227-I$226),I$191,I$197),SUM(J$184,-(J$227-J$226))/SUM(J$184,-(J$227-J$226),J$191,J$197)),SUM(J$184,-(J$227-J$226))/SUM(J$184,-(J$227-J$226),J$191,J$197))*SUM(K$173-K$212,K$231,K$240,K$262,K$298,-(K$227-K$226)))</f>
        <v>13.482244596758379</v>
      </c>
      <c r="L184" s="7">
        <f ca="1">SUM(L$227-L$226,IF(L$6=OFFSET(Assumptions!$B$8,0,$C$1),AVERAGE(SUM(I$184,-(I$227-I$226))/SUM(I$184,-(I$227-I$226),I$191,I$197),SUM(J$184,-(J$227-J$226))/SUM(J$184,-(J$227-J$226),J$191,J$197),SUM(K$184,-(K$227-K$226))/SUM(K$184,-(K$227-K$226),K$191,K$197)),SUM(K$184,-(K$227-K$226))/SUM(K$184,-(K$227-K$226),K$191,K$197))*SUM(L$173-L$212,L$231,L$240,L$262,L$298,-(L$227-L$226)))</f>
        <v>13.700772898144161</v>
      </c>
      <c r="M184" s="7">
        <f ca="1">SUM(M$227-M$226,IF(M$6=OFFSET(Assumptions!$B$8,0,$C$1),AVERAGE(SUM(J$184,-(J$227-J$226))/SUM(J$184,-(J$227-J$226),J$191,J$197),SUM(K$184,-(K$227-K$226))/SUM(K$184,-(K$227-K$226),K$191,K$197),SUM(L$184,-(L$227-L$226))/SUM(L$184,-(L$227-L$226),L$191,L$197)),SUM(L$184,-(L$227-L$226))/SUM(L$184,-(L$227-L$226),L$191,L$197))*SUM(M$173-M$212,M$231,M$240,M$262,M$298,-(M$227-M$226)))</f>
        <v>13.895914106385256</v>
      </c>
      <c r="N184" s="7">
        <f ca="1">SUM(N$227-N$226,IF(N$6=OFFSET(Assumptions!$B$8,0,$C$1),AVERAGE(SUM(K$184,-(K$227-K$226))/SUM(K$184,-(K$227-K$226),K$191,K$197),SUM(L$184,-(L$227-L$226))/SUM(L$184,-(L$227-L$226),L$191,L$197),SUM(M$184,-(M$227-M$226))/SUM(M$184,-(M$227-M$226),M$191,M$197)),SUM(M$184,-(M$227-M$226))/SUM(M$184,-(M$227-M$226),M$191,M$197))*SUM(N$173-N$212,N$231,N$240,N$262,N$298,-(N$227-N$226)))</f>
        <v>14.082229436769151</v>
      </c>
      <c r="O184" s="7">
        <f ca="1">SUM(O$227-O$226,IF(O$6=OFFSET(Assumptions!$B$8,0,$C$1),AVERAGE(SUM(L$184,-(L$227-L$226))/SUM(L$184,-(L$227-L$226),L$191,L$197),SUM(M$184,-(M$227-M$226))/SUM(M$184,-(M$227-M$226),M$191,M$197),SUM(N$184,-(N$227-N$226))/SUM(N$184,-(N$227-N$226),N$191,N$197)),SUM(N$184,-(N$227-N$226))/SUM(N$184,-(N$227-N$226),N$191,N$197))*SUM(O$173-O$212,O$231,O$240,O$262,O$298,-(O$227-O$226)))</f>
        <v>14.275044171012286</v>
      </c>
      <c r="P184" s="7">
        <f ca="1">SUM(P$227-P$226,IF(P$6=OFFSET(Assumptions!$B$8,0,$C$1),AVERAGE(SUM(M$184,-(M$227-M$226))/SUM(M$184,-(M$227-M$226),M$191,M$197),SUM(N$184,-(N$227-N$226))/SUM(N$184,-(N$227-N$226),N$191,N$197),SUM(O$184,-(O$227-O$226))/SUM(O$184,-(O$227-O$226),O$191,O$197)),SUM(O$184,-(O$227-O$226))/SUM(O$184,-(O$227-O$226),O$191,O$197))*SUM(P$173-P$212,P$231,P$240,P$262,P$298,-(P$227-P$226)))</f>
        <v>14.473344937607809</v>
      </c>
      <c r="Q184" s="7">
        <f ca="1">SUM(Q$227-Q$226,IF(Q$6=OFFSET(Assumptions!$B$8,0,$C$1),AVERAGE(SUM(N$184,-(N$227-N$226))/SUM(N$184,-(N$227-N$226),N$191,N$197),SUM(O$184,-(O$227-O$226))/SUM(O$184,-(O$227-O$226),O$191,O$197),SUM(P$184,-(P$227-P$226))/SUM(P$184,-(P$227-P$226),P$191,P$197)),SUM(P$184,-(P$227-P$226))/SUM(P$184,-(P$227-P$226),P$191,P$197))*SUM(Q$173-Q$212,Q$231,Q$240,Q$262,Q$298,-(Q$227-Q$226)))</f>
        <v>14.677953783724945</v>
      </c>
      <c r="R184" s="7">
        <f ca="1">SUM(R$227-R$226,IF(R$6=OFFSET(Assumptions!$B$8,0,$C$1),AVERAGE(SUM(O$184,-(O$227-O$226))/SUM(O$184,-(O$227-O$226),O$191,O$197),SUM(P$184,-(P$227-P$226))/SUM(P$184,-(P$227-P$226),P$191,P$197),SUM(Q$184,-(Q$227-Q$226))/SUM(Q$184,-(Q$227-Q$226),Q$191,Q$197)),SUM(Q$184,-(Q$227-Q$226))/SUM(Q$184,-(Q$227-Q$226),Q$191,Q$197))*SUM(R$173-R$212,R$231,R$240,R$262,R$298,-(R$227-R$226)))</f>
        <v>14.888479794021109</v>
      </c>
      <c r="S184" s="7">
        <f ca="1">SUM(S$227-S$226,IF(S$6=OFFSET(Assumptions!$B$8,0,$C$1),AVERAGE(SUM(P$184,-(P$227-P$226))/SUM(P$184,-(P$227-P$226),P$191,P$197),SUM(Q$184,-(Q$227-Q$226))/SUM(Q$184,-(Q$227-Q$226),Q$191,Q$197),SUM(R$184,-(R$227-R$226))/SUM(R$184,-(R$227-R$226),R$191,R$197)),SUM(R$184,-(R$227-R$226))/SUM(R$184,-(R$227-R$226),R$191,R$197))*SUM(S$173-S$212,S$231,S$240,S$262,S$298,-(S$227-S$226)))</f>
        <v>15.106294173541677</v>
      </c>
      <c r="T184" s="7">
        <f ca="1">SUM(T$227-T$226,IF(T$6=OFFSET(Assumptions!$B$8,0,$C$1),AVERAGE(SUM(Q$184,-(Q$227-Q$226))/SUM(Q$184,-(Q$227-Q$226),Q$191,Q$197),SUM(R$184,-(R$227-R$226))/SUM(R$184,-(R$227-R$226),R$191,R$197),SUM(S$184,-(S$227-S$226))/SUM(S$184,-(S$227-S$226),S$191,S$197)),SUM(S$184,-(S$227-S$226))/SUM(S$184,-(S$227-S$226),S$191,S$197))*SUM(T$173-T$212,T$231,T$240,T$262,T$298,-(T$227-T$226)))</f>
        <v>15.331006242512323</v>
      </c>
    </row>
    <row r="185" spans="1:20" x14ac:dyDescent="0.2">
      <c r="A185" s="1" t="s">
        <v>506</v>
      </c>
      <c r="B185" s="4" t="str">
        <f>$B$38</f>
        <v>From Fiscal</v>
      </c>
      <c r="D185" s="15">
        <f>'Fiscal Forecasts'!D$237</f>
        <v>2.9350000000000001</v>
      </c>
      <c r="E185" s="15">
        <f>'Fiscal Forecasts'!E$237</f>
        <v>2.9209999999999998</v>
      </c>
      <c r="F185" s="16">
        <f>'Fiscal Forecasts'!F$237</f>
        <v>2.863</v>
      </c>
      <c r="G185" s="16">
        <f>'Fiscal Forecasts'!G$237</f>
        <v>2.88</v>
      </c>
      <c r="H185" s="16">
        <f>'Fiscal Forecasts'!H$237</f>
        <v>2.9990000000000001</v>
      </c>
      <c r="I185" s="16">
        <f>'Fiscal Forecasts'!I$237</f>
        <v>3.1459999999999999</v>
      </c>
      <c r="J185" s="16">
        <f>'Fiscal Forecasts'!J$237</f>
        <v>3.28</v>
      </c>
      <c r="K185" s="7">
        <f ca="1">IF(K$6=OFFSET(Assumptions!$B$8,0,$C$1),AVERAGE(H$185/SUM(H$185,H$192,H$198),I$185/SUM(I$185,I$192,I$198),J$185/SUM(J$185,J$192,J$198)),J$185/SUM(J$185,J$192,J$198))*SUM(K$263,K$299-K$213)</f>
        <v>3.4147568734742184</v>
      </c>
      <c r="L185" s="7">
        <f ca="1">IF(L$6=OFFSET(Assumptions!$B$8,0,$C$1),AVERAGE(I$185/SUM(I$185,I$192,I$198),J$185/SUM(J$185,J$192,J$198),K$185/SUM(K$185,K$192,K$198)),K$185/SUM(K$185,K$192,K$198))*SUM(L$263,L$299-L$213)</f>
        <v>3.5645717455556554</v>
      </c>
      <c r="M185" s="7">
        <f ca="1">IF(M$6=OFFSET(Assumptions!$B$8,0,$C$1),AVERAGE(J$185/SUM(J$185,J$192,J$198),K$185/SUM(K$185,K$192,K$198),L$185/SUM(L$185,L$192,L$198)),L$185/SUM(L$185,L$192,L$198))*SUM(M$263,M$299-M$213)</f>
        <v>3.7203370950038783</v>
      </c>
      <c r="N185" s="7">
        <f ca="1">IF(N$6=OFFSET(Assumptions!$B$8,0,$C$1),AVERAGE(K$185/SUM(K$185,K$192,K$198),L$185/SUM(L$185,L$192,L$198),M$185/SUM(M$185,M$192,M$198)),M$185/SUM(M$185,M$192,M$198))*SUM(N$263,N$299-N$213)</f>
        <v>3.8827418523296084</v>
      </c>
      <c r="O185" s="7">
        <f ca="1">IF(O$6=OFFSET(Assumptions!$B$8,0,$C$1),AVERAGE(L$185/SUM(L$185,L$192,L$198),M$185/SUM(M$185,M$192,M$198),N$185/SUM(N$185,N$192,N$198)),N$185/SUM(N$185,N$192,N$198))*SUM(O$263,O$299-O$213)</f>
        <v>4.0505463219371718</v>
      </c>
      <c r="P185" s="7">
        <f ca="1">IF(P$6=OFFSET(Assumptions!$B$8,0,$C$1),AVERAGE(M$185/SUM(M$185,M$192,M$198),N$185/SUM(N$185,N$192,N$198),O$185/SUM(O$185,O$192,O$198)),O$185/SUM(O$185,O$192,O$198))*SUM(P$263,P$299-P$213)</f>
        <v>4.2244177726668219</v>
      </c>
      <c r="Q185" s="7">
        <f ca="1">IF(Q$6=OFFSET(Assumptions!$B$8,0,$C$1),AVERAGE(N$185/SUM(N$185,N$192,N$198),O$185/SUM(O$185,O$192,O$198),P$185/SUM(P$185,P$192,P$198)),P$185/SUM(P$185,P$192,P$198))*SUM(Q$263,Q$299-Q$213)</f>
        <v>4.4040838464871372</v>
      </c>
      <c r="R185" s="7">
        <f ca="1">IF(R$6=OFFSET(Assumptions!$B$8,0,$C$1),AVERAGE(O$185/SUM(O$185,O$192,O$198),P$185/SUM(P$185,P$192,P$198),Q$185/SUM(Q$185,Q$192,Q$198)),Q$185/SUM(Q$185,Q$192,Q$198))*SUM(R$263,R$299-R$213)</f>
        <v>4.5893440476166933</v>
      </c>
      <c r="S185" s="7">
        <f ca="1">IF(S$6=OFFSET(Assumptions!$B$8,0,$C$1),AVERAGE(P$185/SUM(P$185,P$192,P$198),Q$185/SUM(Q$185,Q$192,Q$198),R$185/SUM(R$185,R$192,R$198)),R$185/SUM(R$185,R$192,R$198))*SUM(S$263,S$299-S$213)</f>
        <v>4.7810395307215074</v>
      </c>
      <c r="T185" s="7">
        <f ca="1">IF(T$6=OFFSET(Assumptions!$B$8,0,$C$1),AVERAGE(Q$185/SUM(Q$185,Q$192,Q$198),R$185/SUM(R$185,R$192,R$198),S$185/SUM(S$185,S$192,S$198)),S$185/SUM(S$185,S$192,S$198))*SUM(T$263,T$299-T$213)</f>
        <v>4.9788724043882349</v>
      </c>
    </row>
    <row r="186" spans="1:20" x14ac:dyDescent="0.2">
      <c r="A186" s="1" t="s">
        <v>507</v>
      </c>
      <c r="B186" s="4" t="str">
        <f>$B$38</f>
        <v>From Fiscal</v>
      </c>
      <c r="D186" s="15">
        <f>'Fiscal Forecasts'!D$238</f>
        <v>-2.3E-2</v>
      </c>
      <c r="E186" s="15">
        <f>'Fiscal Forecasts'!E$238</f>
        <v>-2.9000000000000001E-2</v>
      </c>
      <c r="F186" s="16">
        <f>'Fiscal Forecasts'!F$238</f>
        <v>-3.5999999999999997E-2</v>
      </c>
      <c r="G186" s="16">
        <f>'Fiscal Forecasts'!G$238</f>
        <v>-3.6999999999999998E-2</v>
      </c>
      <c r="H186" s="16">
        <f>'Fiscal Forecasts'!H$238</f>
        <v>-3.6999999999999998E-2</v>
      </c>
      <c r="I186" s="16">
        <f>'Fiscal Forecasts'!I$238</f>
        <v>-3.6999999999999998E-2</v>
      </c>
      <c r="J186" s="16">
        <f>'Fiscal Forecasts'!J$238</f>
        <v>-3.7999999999999999E-2</v>
      </c>
      <c r="K186" s="7">
        <f ca="1">IF(K$6=OFFSET(Assumptions!$B$8,0,$C$1),AVERAGE(H$186/SUM(H$186,H$199),I$186/SUM(I$186,I$199),J$186/SUM(J$186,J$199)),J$186/SUM(J$186,J$199))*SUM(K$174,K$232,K$241,K$264,K$300)</f>
        <v>-3.8152192414903308E-2</v>
      </c>
      <c r="L186" s="7">
        <f ca="1">IF(L$6=OFFSET(Assumptions!$B$8,0,$C$1),AVERAGE(I$186/SUM(I$186,I$199),J$186/SUM(J$186,J$199),K$186/SUM(K$186,K$199)),K$186/SUM(K$186,K$199))*SUM(L$174,L$232,L$241,L$264,L$300)</f>
        <v>-3.8661477902268579E-2</v>
      </c>
      <c r="M186" s="7">
        <f ca="1">IF(M$6=OFFSET(Assumptions!$B$8,0,$C$1),AVERAGE(J$186/SUM(J$186,J$199),K$186/SUM(K$186,K$199),L$186/SUM(L$186,L$199)),L$186/SUM(L$186,L$199))*SUM(M$174,M$232,M$241,M$264,M$300)</f>
        <v>-3.9092527765798822E-2</v>
      </c>
      <c r="N186" s="7">
        <f ca="1">IF(N$6=OFFSET(Assumptions!$B$8,0,$C$1),AVERAGE(K$186/SUM(K$186,K$199),L$186/SUM(L$186,L$199),M$186/SUM(M$186,M$199)),M$186/SUM(M$186,M$199))*SUM(N$174,N$232,N$241,N$264,N$300)</f>
        <v>-3.9490263689880997E-2</v>
      </c>
      <c r="O186" s="7">
        <f ca="1">IF(O$6=OFFSET(Assumptions!$B$8,0,$C$1),AVERAGE(L$186/SUM(L$186,L$199),M$186/SUM(M$186,M$199),N$186/SUM(N$186,N$199)),N$186/SUM(N$186,N$199))*SUM(O$174,O$232,O$241,O$264,O$300)</f>
        <v>-3.9902967832180121E-2</v>
      </c>
      <c r="P186" s="7">
        <f ca="1">IF(P$6=OFFSET(Assumptions!$B$8,0,$C$1),AVERAGE(M$186/SUM(M$186,M$199),N$186/SUM(N$186,N$199),O$186/SUM(O$186,O$199)),O$186/SUM(O$186,O$199))*SUM(P$174,P$232,P$241,P$264,P$300)</f>
        <v>-4.0322590074883563E-2</v>
      </c>
      <c r="Q186" s="7">
        <f ca="1">IF(Q$6=OFFSET(Assumptions!$B$8,0,$C$1),AVERAGE(N$186/SUM(N$186,N$199),O$186/SUM(O$186,O$199),P$186/SUM(P$186,P$199)),P$186/SUM(P$186,P$199))*SUM(Q$174,Q$232,Q$241,Q$264,Q$300)</f>
        <v>-4.0754979705446739E-2</v>
      </c>
      <c r="R186" s="7">
        <f ca="1">IF(R$6=OFFSET(Assumptions!$B$8,0,$C$1),AVERAGE(O$186/SUM(O$186,O$199),P$186/SUM(P$186,P$199),Q$186/SUM(Q$186,Q$199)),Q$186/SUM(Q$186,Q$199))*SUM(R$174,R$232,R$241,R$264,R$300)</f>
        <v>-4.1199616037720307E-2</v>
      </c>
      <c r="S186" s="7">
        <f ca="1">IF(S$6=OFFSET(Assumptions!$B$8,0,$C$1),AVERAGE(P$186/SUM(P$186,P$199),Q$186/SUM(Q$186,Q$199),R$186/SUM(R$186,R$199)),R$186/SUM(R$186,R$199))*SUM(S$174,S$232,S$241,S$264,S$300)</f>
        <v>-4.1658519351844579E-2</v>
      </c>
      <c r="T186" s="7">
        <f ca="1">IF(T$6=OFFSET(Assumptions!$B$8,0,$C$1),AVERAGE(Q$186/SUM(Q$186,Q$199),R$186/SUM(R$186,R$199),S$186/SUM(S$186,S$199)),S$186/SUM(S$186,S$199))*SUM(T$174,T$232,T$241,T$264,T$300)</f>
        <v>-4.2130989117936994E-2</v>
      </c>
    </row>
    <row r="187" spans="1:20" ht="15" x14ac:dyDescent="0.25">
      <c r="A187" s="2" t="s">
        <v>508</v>
      </c>
      <c r="D187" s="35">
        <f t="shared" ref="D187:T187" si="107">SUM(D$183:D$186)</f>
        <v>21.123999999999999</v>
      </c>
      <c r="E187" s="35">
        <f t="shared" si="107"/>
        <v>21.763000000000002</v>
      </c>
      <c r="F187" s="34">
        <f t="shared" si="107"/>
        <v>22.404999999999998</v>
      </c>
      <c r="G187" s="34">
        <f t="shared" si="107"/>
        <v>22.984999999999999</v>
      </c>
      <c r="H187" s="34">
        <f t="shared" si="107"/>
        <v>23.18</v>
      </c>
      <c r="I187" s="34">
        <f t="shared" si="107"/>
        <v>23.333000000000002</v>
      </c>
      <c r="J187" s="34">
        <f t="shared" si="107"/>
        <v>23.637</v>
      </c>
      <c r="K187" s="38">
        <f t="shared" ca="1" si="107"/>
        <v>23.953774097305011</v>
      </c>
      <c r="L187" s="38">
        <f t="shared" ca="1" si="107"/>
        <v>24.317682751640003</v>
      </c>
      <c r="M187" s="38">
        <f t="shared" ca="1" si="107"/>
        <v>24.669840502456449</v>
      </c>
      <c r="N187" s="38">
        <f t="shared" ca="1" si="107"/>
        <v>25.019284349569094</v>
      </c>
      <c r="O187" s="38">
        <f t="shared" ca="1" si="107"/>
        <v>25.3806123446046</v>
      </c>
      <c r="P187" s="38">
        <f t="shared" ca="1" si="107"/>
        <v>25.752925687350622</v>
      </c>
      <c r="Q187" s="38">
        <f t="shared" ca="1" si="107"/>
        <v>26.133964479339749</v>
      </c>
      <c r="R187" s="38">
        <f t="shared" ca="1" si="107"/>
        <v>26.520334091816377</v>
      </c>
      <c r="S187" s="38">
        <f t="shared" ca="1" si="107"/>
        <v>26.920973836174365</v>
      </c>
      <c r="T187" s="38">
        <f t="shared" ca="1" si="107"/>
        <v>27.333513598765272</v>
      </c>
    </row>
    <row r="188" spans="1:20" ht="15" x14ac:dyDescent="0.25">
      <c r="A188" s="2"/>
      <c r="D188" s="47"/>
      <c r="E188" s="47"/>
      <c r="F188" s="48"/>
      <c r="G188" s="48"/>
      <c r="H188" s="48"/>
      <c r="I188" s="48"/>
      <c r="J188" s="48"/>
      <c r="K188" s="48"/>
      <c r="L188" s="48"/>
      <c r="M188" s="48"/>
      <c r="N188" s="48"/>
      <c r="O188" s="48"/>
      <c r="P188" s="48"/>
      <c r="Q188" s="48"/>
      <c r="R188" s="48"/>
      <c r="S188" s="48"/>
      <c r="T188" s="48"/>
    </row>
    <row r="189" spans="1:20" x14ac:dyDescent="0.2">
      <c r="A189" s="19" t="s">
        <v>151</v>
      </c>
    </row>
    <row r="190" spans="1:20" x14ac:dyDescent="0.2">
      <c r="A190" s="1" t="s">
        <v>307</v>
      </c>
      <c r="B190" s="4" t="str">
        <f>$B$38</f>
        <v>From Fiscal</v>
      </c>
      <c r="D190" s="15">
        <f>'Fiscal Forecasts'!D$241</f>
        <v>1.4410000000000001</v>
      </c>
      <c r="E190" s="15">
        <f>'Fiscal Forecasts'!E$241</f>
        <v>1.5289999999999999</v>
      </c>
      <c r="F190" s="16">
        <f>'Fiscal Forecasts'!F$241</f>
        <v>1.629</v>
      </c>
      <c r="G190" s="16">
        <f>'Fiscal Forecasts'!G$241</f>
        <v>1.768</v>
      </c>
      <c r="H190" s="16">
        <f>'Fiscal Forecasts'!H$241</f>
        <v>1.821</v>
      </c>
      <c r="I190" s="16">
        <f>'Fiscal Forecasts'!I$241</f>
        <v>1.8939999999999999</v>
      </c>
      <c r="J190" s="16">
        <f>'Fiscal Forecasts'!J$241</f>
        <v>1.9490000000000001</v>
      </c>
      <c r="K190" s="7">
        <f ca="1">SUM(K$395,IF(K$6=OFFSET(Assumptions!$B$8,0,$C$1),AVERAGE((H$190-H$395)/H$13,(I$190-I$395)/I$13,(J$190-J$395)/J$13),(J$190-J$395)/J$13)*K$13)</f>
        <v>2.0624954662766832</v>
      </c>
      <c r="L190" s="7">
        <f ca="1">SUM(L$395,IF(L$6=OFFSET(Assumptions!$B$8,0,$C$1),AVERAGE((I$190-I$395)/I$13,(J$190-J$395)/J$13,(K$190-K$395)/K$13),(K$190-K$395)/K$13)*L$13)</f>
        <v>2.1074319222427529</v>
      </c>
      <c r="M190" s="7">
        <f ca="1">SUM(M$395,IF(M$6=OFFSET(Assumptions!$B$8,0,$C$1),AVERAGE((J$190-J$395)/J$13,(K$190-K$395)/K$13,(L$190-L$395)/L$13),(L$190-L$395)/L$13)*M$13)</f>
        <v>2.2338955167689032</v>
      </c>
      <c r="N190" s="7">
        <f ca="1">SUM(N$395,IF(N$6=OFFSET(Assumptions!$B$8,0,$C$1),AVERAGE((K$190-K$395)/K$13,(L$190-L$395)/L$13,(M$190-M$395)/M$13),(M$190-M$395)/M$13)*N$13)</f>
        <v>2.3973144499676478</v>
      </c>
      <c r="O190" s="7">
        <f ca="1">SUM(O$395,IF(O$6=OFFSET(Assumptions!$B$8,0,$C$1),AVERAGE((L$190-L$395)/L$13,(M$190-M$395)/M$13,(N$190-N$395)/N$13),(N$190-N$395)/N$13)*O$13)</f>
        <v>2.5991564365991775</v>
      </c>
      <c r="P190" s="7">
        <f ca="1">SUM(P$395,IF(P$6=OFFSET(Assumptions!$B$8,0,$C$1),AVERAGE((M$190-M$395)/M$13,(N$190-N$395)/N$13,(O$190-O$395)/O$13),(O$190-O$395)/O$13)*P$13)</f>
        <v>2.838994782251258</v>
      </c>
      <c r="Q190" s="7">
        <f ca="1">SUM(Q$395,IF(Q$6=OFFSET(Assumptions!$B$8,0,$C$1),AVERAGE((N$190-N$395)/N$13,(O$190-O$395)/O$13,(P$190-P$395)/P$13),(P$190-P$395)/P$13)*Q$13)</f>
        <v>3.1243009545677469</v>
      </c>
      <c r="R190" s="7">
        <f ca="1">SUM(R$395,IF(R$6=OFFSET(Assumptions!$B$8,0,$C$1),AVERAGE((O$190-O$395)/O$13,(P$190-P$395)/P$13,(Q$190-Q$395)/Q$13),(Q$190-Q$395)/Q$13)*R$13)</f>
        <v>3.4640512698367862</v>
      </c>
      <c r="S190" s="7">
        <f ca="1">SUM(S$395,IF(S$6=OFFSET(Assumptions!$B$8,0,$C$1),AVERAGE((P$190-P$395)/P$13,(Q$190-Q$395)/Q$13,(R$190-R$395)/R$13),(R$190-R$395)/R$13)*S$13)</f>
        <v>3.8691105865322664</v>
      </c>
      <c r="T190" s="7">
        <f ca="1">SUM(T$395,IF(T$6=OFFSET(Assumptions!$B$8,0,$C$1),AVERAGE((Q$190-Q$395)/Q$13,(R$190-R$395)/R$13,(S$190-S$395)/S$13),(S$190-S$395)/S$13)*T$13)</f>
        <v>4.3524040062771512</v>
      </c>
    </row>
    <row r="191" spans="1:20" x14ac:dyDescent="0.2">
      <c r="A191" s="1" t="s">
        <v>279</v>
      </c>
      <c r="B191" s="4" t="str">
        <f>$B$38</f>
        <v>From Fiscal</v>
      </c>
      <c r="D191" s="15">
        <f>'Fiscal Forecasts'!D$242</f>
        <v>1.7509999999999999</v>
      </c>
      <c r="E191" s="15">
        <f>'Fiscal Forecasts'!E$242</f>
        <v>1.6859999999999999</v>
      </c>
      <c r="F191" s="16">
        <f>'Fiscal Forecasts'!F$242</f>
        <v>1.702</v>
      </c>
      <c r="G191" s="16">
        <f>'Fiscal Forecasts'!G$242</f>
        <v>1.7789999999999999</v>
      </c>
      <c r="H191" s="16">
        <f>'Fiscal Forecasts'!H$242</f>
        <v>1.8360000000000001</v>
      </c>
      <c r="I191" s="16">
        <f>'Fiscal Forecasts'!I$242</f>
        <v>1.85</v>
      </c>
      <c r="J191" s="16">
        <f>'Fiscal Forecasts'!J$242</f>
        <v>1.871</v>
      </c>
      <c r="K191" s="7">
        <f ca="1">IF(K$6=OFFSET(Assumptions!$B$8,0,$C$1),AVERAGE(H$191/SUM(H$191,H$192),I$191/SUM(I$191,I$192),J$191/SUM(J$191,J$192)),J$191/SUM(J$191,J$192))*SUM(K$398-K$395,IF(K$6=OFFSET(Assumptions!$B$8,0,$C$1),AVERAGE(SUM(H$191,H$192,-(H$398-H$395))/H$13,SUM(I$191,I$192,-(I$398-I$395))/I$13,SUM(J$191,J$192,-(J$398-J$395))/J$13),SUM(J$191,J$192,-(J$398-J$395))/J$13)*K$13)</f>
        <v>1.9227462715769816</v>
      </c>
      <c r="L191" s="7">
        <f ca="1">IF(L$6=OFFSET(Assumptions!$B$8,0,$C$1),AVERAGE(I$191/SUM(I$191,I$192),J$191/SUM(J$191,J$192),K$191/SUM(K$191,K$192)),K$191/SUM(K$191,K$192))*SUM(L$398-L$395,IF(L$6=OFFSET(Assumptions!$B$8,0,$C$1),AVERAGE(SUM(I$191,I$192,-(I$398-I$395))/I$13,SUM(J$191,J$192,-(J$398-J$395))/J$13,SUM(K$191,K$192,-(K$398-K$395))/K$13),SUM(K$191,K$192,-(K$398-K$395))/K$13)*L$13)</f>
        <v>1.9560407416291439</v>
      </c>
      <c r="M191" s="7">
        <f ca="1">IF(M$6=OFFSET(Assumptions!$B$8,0,$C$1),AVERAGE(J$191/SUM(J$191,J$192),K$191/SUM(K$191,K$192),L$191/SUM(L$191,L$192)),L$191/SUM(L$191,L$192))*SUM(M$398-M$395,IF(M$6=OFFSET(Assumptions!$B$8,0,$C$1),AVERAGE(SUM(J$191,J$192,-(J$398-J$395))/J$13,SUM(K$191,K$192,-(K$398-K$395))/K$13,SUM(L$191,L$192,-(L$398-L$395))/L$13),SUM(L$191,L$192,-(L$398-L$395))/L$13)*M$13)</f>
        <v>1.9916134752999575</v>
      </c>
      <c r="N191" s="7">
        <f ca="1">IF(N$6=OFFSET(Assumptions!$B$8,0,$C$1),AVERAGE(K$191/SUM(K$191,K$192),L$191/SUM(L$191,L$192),M$191/SUM(M$191,M$192)),M$191/SUM(M$191,M$192))*SUM(N$398-N$395,IF(N$6=OFFSET(Assumptions!$B$8,0,$C$1),AVERAGE(SUM(K$191,K$192,-(K$398-K$395))/K$13,SUM(L$191,L$192,-(L$398-L$395))/L$13,SUM(M$191,M$192,-(M$398-M$395))/M$13),SUM(M$191,M$192,-(M$398-M$395))/M$13)*N$13)</f>
        <v>2.0289779624699444</v>
      </c>
      <c r="O191" s="7">
        <f ca="1">IF(O$6=OFFSET(Assumptions!$B$8,0,$C$1),AVERAGE(L$191/SUM(L$191,L$192),M$191/SUM(M$191,M$192),N$191/SUM(N$191,N$192)),N$191/SUM(N$191,N$192))*SUM(O$398-O$395,IF(O$6=OFFSET(Assumptions!$B$8,0,$C$1),AVERAGE(SUM(L$191,L$192,-(L$398-L$395))/L$13,SUM(M$191,M$192,-(M$398-M$395))/M$13,SUM(N$191,N$192,-(N$398-N$395))/N$13),SUM(N$191,N$192,-(N$398-N$395))/N$13)*O$13)</f>
        <v>2.0678304397457827</v>
      </c>
      <c r="P191" s="7">
        <f ca="1">IF(P$6=OFFSET(Assumptions!$B$8,0,$C$1),AVERAGE(M$191/SUM(M$191,M$192),N$191/SUM(N$191,N$192),O$191/SUM(O$191,O$192)),O$191/SUM(O$191,O$192))*SUM(P$398-P$395,IF(P$6=OFFSET(Assumptions!$B$8,0,$C$1),AVERAGE(SUM(M$191,M$192,-(M$398-M$395))/M$13,SUM(N$191,N$192,-(N$398-N$395))/N$13,SUM(O$191,O$192,-(O$398-O$395))/O$13),SUM(O$191,O$192,-(O$398-O$395))/O$13)*P$13)</f>
        <v>2.1082613160331354</v>
      </c>
      <c r="Q191" s="7">
        <f ca="1">IF(Q$6=OFFSET(Assumptions!$B$8,0,$C$1),AVERAGE(N$191/SUM(N$191,N$192),O$191/SUM(O$191,O$192),P$191/SUM(P$191,P$192)),P$191/SUM(P$191,P$192))*SUM(Q$398-Q$395,IF(Q$6=OFFSET(Assumptions!$B$8,0,$C$1),AVERAGE(SUM(N$191,N$192,-(N$398-N$395))/N$13,SUM(O$191,O$192,-(O$398-O$395))/O$13,SUM(P$191,P$192,-(P$398-P$395))/P$13),SUM(P$191,P$192,-(P$398-P$395))/P$13)*Q$13)</f>
        <v>2.1502862847800253</v>
      </c>
      <c r="R191" s="7">
        <f ca="1">IF(R$6=OFFSET(Assumptions!$B$8,0,$C$1),AVERAGE(O$191/SUM(O$191,O$192),P$191/SUM(P$191,P$192),Q$191/SUM(Q$191,Q$192)),Q$191/SUM(Q$191,Q$192))*SUM(R$398-R$395,IF(R$6=OFFSET(Assumptions!$B$8,0,$C$1),AVERAGE(SUM(O$191,O$192,-(O$398-O$395))/O$13,SUM(P$191,P$192,-(P$398-P$395))/P$13,SUM(Q$191,Q$192,-(Q$398-Q$395))/Q$13),SUM(Q$191,Q$192,-(Q$398-Q$395))/Q$13)*R$13)</f>
        <v>2.1939251422064787</v>
      </c>
      <c r="S191" s="7">
        <f ca="1">IF(S$6=OFFSET(Assumptions!$B$8,0,$C$1),AVERAGE(P$191/SUM(P$191,P$192),Q$191/SUM(Q$191,Q$192),R$191/SUM(R$191,R$192)),R$191/SUM(R$191,R$192))*SUM(S$398-S$395,IF(S$6=OFFSET(Assumptions!$B$8,0,$C$1),AVERAGE(SUM(P$191,P$192,-(P$398-P$395))/P$13,SUM(Q$191,Q$192,-(Q$398-Q$395))/Q$13,SUM(R$191,R$192,-(R$398-R$395))/R$13),SUM(R$191,R$192,-(R$398-R$395))/R$13)*S$13)</f>
        <v>2.2392846190206601</v>
      </c>
      <c r="T191" s="7">
        <f ca="1">IF(T$6=OFFSET(Assumptions!$B$8,0,$C$1),AVERAGE(Q$191/SUM(Q$191,Q$192),R$191/SUM(R$191,R$192),S$191/SUM(S$191,S$192)),S$191/SUM(S$191,S$192))*SUM(T$398-T$395,IF(T$6=OFFSET(Assumptions!$B$8,0,$C$1),AVERAGE(SUM(Q$191,Q$192,-(Q$398-Q$395))/Q$13,SUM(R$191,R$192,-(R$398-R$395))/R$13,SUM(S$191,S$192,-(S$398-S$395))/S$13),SUM(S$191,S$192,-(S$398-S$395))/S$13)*T$13)</f>
        <v>2.2863803294935932</v>
      </c>
    </row>
    <row r="192" spans="1:20" x14ac:dyDescent="0.2">
      <c r="A192" s="1" t="s">
        <v>506</v>
      </c>
      <c r="B192" s="4" t="str">
        <f>$B$38</f>
        <v>From Fiscal</v>
      </c>
      <c r="D192" s="15">
        <f>SUM('Fiscal Forecasts'!D$243:D$244)</f>
        <v>1.65</v>
      </c>
      <c r="E192" s="15">
        <f>SUM('Fiscal Forecasts'!E$243:E$244)</f>
        <v>1.66</v>
      </c>
      <c r="F192" s="16">
        <f>SUM('Fiscal Forecasts'!F$243:F$244)</f>
        <v>1.8320000000000001</v>
      </c>
      <c r="G192" s="16">
        <f>SUM('Fiscal Forecasts'!G$243:G$244)</f>
        <v>1.78</v>
      </c>
      <c r="H192" s="16">
        <f>SUM('Fiscal Forecasts'!H$243:H$244)</f>
        <v>1.8340000000000001</v>
      </c>
      <c r="I192" s="16">
        <f>SUM('Fiscal Forecasts'!I$243:I$244)</f>
        <v>1.851</v>
      </c>
      <c r="J192" s="16">
        <f>SUM('Fiscal Forecasts'!J$243:J$244)</f>
        <v>1.8640000000000001</v>
      </c>
      <c r="K192" s="7">
        <f ca="1">IF(K$6=OFFSET(Assumptions!$B$8,0,$C$1),AVERAGE(H$192/SUM(H$191,H$192),I$192/SUM(I$191,I$192),J$192/SUM(J$191,J$192)),J$192/SUM(J$191,J$192))*SUM(K$398-K$395,IF(K$6=OFFSET(Assumptions!$B$8,0,$C$1),AVERAGE(SUM(H$191,H$192,-(H$398-H$395))/H$13,SUM(I$191,I$192,-(I$398-I$395))/I$13,SUM(J$191,J$192,-(J$398-J$395))/J$13),SUM(J$191,J$192,-(J$398-J$395))/J$13)*K$13)</f>
        <v>1.9199936846621579</v>
      </c>
      <c r="L192" s="7">
        <f ca="1">IF(L$6=OFFSET(Assumptions!$B$8,0,$C$1),AVERAGE(I$192/SUM(I$191,I$192),J$192/SUM(J$191,J$192),K$192/SUM(K$191,K$192)),K$192/SUM(K$191,K$192))*SUM(L$398-L$395,IF(L$6=OFFSET(Assumptions!$B$8,0,$C$1),AVERAGE(SUM(I$191,I$192,-(I$398-I$395))/I$13,SUM(J$191,J$192,-(J$398-J$395))/J$13,SUM(K$191,K$192,-(K$398-K$395))/K$13),SUM(K$191,K$192,-(K$398-K$395))/K$13)*L$13)</f>
        <v>1.9532404906392644</v>
      </c>
      <c r="M192" s="7">
        <f ca="1">IF(M$6=OFFSET(Assumptions!$B$8,0,$C$1),AVERAGE(J$192/SUM(J$191,J$192),K$192/SUM(K$191,K$192),L$192/SUM(L$191,L$192)),L$192/SUM(L$191,L$192))*SUM(M$398-M$395,IF(M$6=OFFSET(Assumptions!$B$8,0,$C$1),AVERAGE(SUM(J$191,J$192,-(J$398-J$395))/J$13,SUM(K$191,K$192,-(K$398-K$395))/K$13,SUM(L$191,L$192,-(L$398-L$395))/L$13),SUM(L$191,L$192,-(L$398-L$395))/L$13)*M$13)</f>
        <v>1.9887622986925515</v>
      </c>
      <c r="N192" s="7">
        <f ca="1">IF(N$6=OFFSET(Assumptions!$B$8,0,$C$1),AVERAGE(K$192/SUM(K$191,K$192),L$192/SUM(L$191,L$192),M$192/SUM(M$191,M$192)),M$192/SUM(M$191,M$192))*SUM(N$398-N$395,IF(N$6=OFFSET(Assumptions!$B$8,0,$C$1),AVERAGE(SUM(K$191,K$192,-(K$398-K$395))/K$13,SUM(L$191,L$192,-(L$398-L$395))/L$13,SUM(M$191,M$192,-(M$398-M$395))/M$13),SUM(M$191,M$192,-(M$398-M$395))/M$13)*N$13)</f>
        <v>2.0260732951862161</v>
      </c>
      <c r="O192" s="7">
        <f ca="1">IF(O$6=OFFSET(Assumptions!$B$8,0,$C$1),AVERAGE(L$192/SUM(L$191,L$192),M$192/SUM(M$191,M$192),N$192/SUM(N$191,N$192)),N$192/SUM(N$191,N$192))*SUM(O$398-O$395,IF(O$6=OFFSET(Assumptions!$B$8,0,$C$1),AVERAGE(SUM(L$191,L$192,-(L$398-L$395))/L$13,SUM(M$191,M$192,-(M$398-M$395))/M$13,SUM(N$191,N$192,-(N$398-N$395))/N$13),SUM(N$191,N$192,-(N$398-N$395))/N$13)*O$13)</f>
        <v>2.0648701515919798</v>
      </c>
      <c r="P192" s="7">
        <f ca="1">IF(P$6=OFFSET(Assumptions!$B$8,0,$C$1),AVERAGE(M$192/SUM(M$191,M$192),N$192/SUM(N$191,N$192),O$192/SUM(O$191,O$192)),O$192/SUM(O$191,O$192))*SUM(P$398-P$395,IF(P$6=OFFSET(Assumptions!$B$8,0,$C$1),AVERAGE(SUM(M$191,M$192,-(M$398-M$395))/M$13,SUM(N$191,N$192,-(N$398-N$395))/N$13,SUM(O$191,O$192,-(O$398-O$395))/O$13),SUM(O$191,O$192,-(O$398-O$395))/O$13)*P$13)</f>
        <v>2.1052431473868993</v>
      </c>
      <c r="Q192" s="7">
        <f ca="1">IF(Q$6=OFFSET(Assumptions!$B$8,0,$C$1),AVERAGE(N$192/SUM(N$191,N$192),O$192/SUM(O$191,O$192),P$192/SUM(P$191,P$192)),P$192/SUM(P$191,P$192))*SUM(Q$398-Q$395,IF(Q$6=OFFSET(Assumptions!$B$8,0,$C$1),AVERAGE(SUM(N$191,N$192,-(N$398-N$395))/N$13,SUM(O$191,O$192,-(O$398-O$395))/O$13,SUM(P$191,P$192,-(P$398-P$395))/P$13),SUM(P$191,P$192,-(P$398-P$395))/P$13)*Q$13)</f>
        <v>2.1472079535523925</v>
      </c>
      <c r="R192" s="7">
        <f ca="1">IF(R$6=OFFSET(Assumptions!$B$8,0,$C$1),AVERAGE(O$192/SUM(O$191,O$192),P$192/SUM(P$191,P$192),Q$192/SUM(Q$191,Q$192)),Q$192/SUM(Q$191,Q$192))*SUM(R$398-R$395,IF(R$6=OFFSET(Assumptions!$B$8,0,$C$1),AVERAGE(SUM(O$191,O$192,-(O$398-O$395))/O$13,SUM(P$191,P$192,-(P$398-P$395))/P$13,SUM(Q$191,Q$192,-(Q$398-Q$395))/Q$13),SUM(Q$191,Q$192,-(Q$398-Q$395))/Q$13)*R$13)</f>
        <v>2.1907843379683891</v>
      </c>
      <c r="S192" s="7">
        <f ca="1">IF(S$6=OFFSET(Assumptions!$B$8,0,$C$1),AVERAGE(P$192/SUM(P$191,P$192),Q$192/SUM(Q$191,Q$192),R$192/SUM(R$191,R$192)),R$192/SUM(R$191,R$192))*SUM(S$398-S$395,IF(S$6=OFFSET(Assumptions!$B$8,0,$C$1),AVERAGE(SUM(P$191,P$192,-(P$398-P$395))/P$13,SUM(Q$191,Q$192,-(Q$398-Q$395))/Q$13,SUM(R$191,R$192,-(R$398-R$395))/R$13),SUM(R$191,R$192,-(R$398-R$395))/R$13)*S$13)</f>
        <v>2.2360788785482955</v>
      </c>
      <c r="T192" s="7">
        <f ca="1">IF(T$6=OFFSET(Assumptions!$B$8,0,$C$1),AVERAGE(Q$192/SUM(Q$191,Q$192),R$192/SUM(R$191,R$192),S$192/SUM(S$191,S$192)),S$192/SUM(S$191,S$192))*SUM(T$398-T$395,IF(T$6=OFFSET(Assumptions!$B$8,0,$C$1),AVERAGE(SUM(Q$191,Q$192,-(Q$398-Q$395))/Q$13,SUM(R$191,R$192,-(R$398-R$395))/R$13,SUM(S$191,S$192,-(S$398-S$395))/S$13),SUM(S$191,S$192,-(S$398-S$395))/S$13)*T$13)</f>
        <v>2.2831071672098804</v>
      </c>
    </row>
    <row r="193" spans="1:20" ht="15" x14ac:dyDescent="0.25">
      <c r="A193" s="2" t="s">
        <v>509</v>
      </c>
      <c r="D193" s="35">
        <f t="shared" ref="D193:T193" si="108">SUM(D$190:D$192)</f>
        <v>4.8420000000000005</v>
      </c>
      <c r="E193" s="35">
        <f t="shared" si="108"/>
        <v>4.875</v>
      </c>
      <c r="F193" s="34">
        <f t="shared" si="108"/>
        <v>5.1630000000000003</v>
      </c>
      <c r="G193" s="34">
        <f t="shared" si="108"/>
        <v>5.327</v>
      </c>
      <c r="H193" s="34">
        <f t="shared" si="108"/>
        <v>5.4909999999999997</v>
      </c>
      <c r="I193" s="34">
        <f t="shared" si="108"/>
        <v>5.5949999999999998</v>
      </c>
      <c r="J193" s="34">
        <f t="shared" si="108"/>
        <v>5.6840000000000002</v>
      </c>
      <c r="K193" s="38">
        <f t="shared" ca="1" si="108"/>
        <v>5.9052354225158226</v>
      </c>
      <c r="L193" s="38">
        <f t="shared" ca="1" si="108"/>
        <v>6.0167131545111614</v>
      </c>
      <c r="M193" s="38">
        <f t="shared" ca="1" si="108"/>
        <v>6.2142712907614115</v>
      </c>
      <c r="N193" s="38">
        <f t="shared" ca="1" si="108"/>
        <v>6.4523657076238079</v>
      </c>
      <c r="O193" s="38">
        <f t="shared" ca="1" si="108"/>
        <v>6.7318570279369405</v>
      </c>
      <c r="P193" s="38">
        <f t="shared" ca="1" si="108"/>
        <v>7.0524992456712923</v>
      </c>
      <c r="Q193" s="38">
        <f t="shared" ca="1" si="108"/>
        <v>7.4217951929001647</v>
      </c>
      <c r="R193" s="38">
        <f t="shared" ca="1" si="108"/>
        <v>7.8487607500116541</v>
      </c>
      <c r="S193" s="38">
        <f t="shared" ca="1" si="108"/>
        <v>8.3444740841012219</v>
      </c>
      <c r="T193" s="38">
        <f t="shared" ca="1" si="108"/>
        <v>8.9218915029806247</v>
      </c>
    </row>
    <row r="194" spans="1:20" ht="15" x14ac:dyDescent="0.25">
      <c r="A194" s="2"/>
      <c r="D194" s="47"/>
      <c r="E194" s="47"/>
      <c r="F194" s="48"/>
      <c r="G194" s="48"/>
      <c r="H194" s="48"/>
      <c r="I194" s="48"/>
      <c r="J194" s="48"/>
      <c r="K194" s="49"/>
      <c r="L194" s="49"/>
      <c r="M194" s="49"/>
      <c r="N194" s="49"/>
      <c r="O194" s="49"/>
      <c r="P194" s="49"/>
      <c r="Q194" s="49"/>
      <c r="R194" s="49"/>
      <c r="S194" s="49"/>
      <c r="T194" s="49"/>
    </row>
    <row r="195" spans="1:20" x14ac:dyDescent="0.2">
      <c r="A195" s="19" t="s">
        <v>152</v>
      </c>
    </row>
    <row r="196" spans="1:20" x14ac:dyDescent="0.2">
      <c r="A196" s="1" t="s">
        <v>307</v>
      </c>
      <c r="B196" s="4" t="str">
        <f>$B$38</f>
        <v>From Fiscal</v>
      </c>
      <c r="D196" s="15">
        <f>'Fiscal Forecasts'!D$247</f>
        <v>36.857999999999997</v>
      </c>
      <c r="E196" s="15">
        <f>'Fiscal Forecasts'!E$247</f>
        <v>37.832000000000001</v>
      </c>
      <c r="F196" s="16">
        <f>'Fiscal Forecasts'!F$247</f>
        <v>39.380000000000003</v>
      </c>
      <c r="G196" s="16">
        <f>'Fiscal Forecasts'!G$247</f>
        <v>42.786999999999999</v>
      </c>
      <c r="H196" s="16">
        <f>'Fiscal Forecasts'!H$247</f>
        <v>42.177999999999997</v>
      </c>
      <c r="I196" s="16">
        <f>'Fiscal Forecasts'!I$247</f>
        <v>41.945</v>
      </c>
      <c r="J196" s="16">
        <f>'Fiscal Forecasts'!J$247</f>
        <v>42.473999999999997</v>
      </c>
      <c r="K196" s="7">
        <f ca="1">SUM(-K$190,K$296,IF(K$6=OFFSET(Assumptions!$B$8,0,$C$1),AVERAGE(SUM(H$190,H$196,-H$296)/SUM(H$183,H$190,H$196,-H$226,-H$296),SUM(I$190,I$196,-I$296)/SUM(I$183,I$190,I$196,-I$226,-I$296),SUM(J$190,J$196,-J$296)/SUM(J$183,J$190,J$196,-J$226,-J$296)),SUM(J$190,J$196,-J$296)/SUM(J$183,J$190,J$196,-J$226,-J$296))*SUM(-K$230,-K$238,K$295))</f>
        <v>41.776344683047604</v>
      </c>
      <c r="L196" s="7">
        <f ca="1">SUM(-L$190,L$296,IF(L$6=OFFSET(Assumptions!$B$8,0,$C$1),AVERAGE(SUM(I$190,I$196,-I$296)/SUM(I$183,I$190,I$196,-I$226,-I$296),SUM(J$190,J$196,-J$296)/SUM(J$183,J$190,J$196,-J$226,-J$296),SUM(K$190,K$196,-K$296)/SUM(K$183,K$190,K$196,-K$226,-K$296)),SUM(K$190,K$196,-K$296)/SUM(K$183,K$190,K$196,-K$226,-K$296))*SUM(-L$230,-L$238,L$295))</f>
        <v>42.052354878192574</v>
      </c>
      <c r="M196" s="7">
        <f ca="1">SUM(-M$190,M$296,IF(M$6=OFFSET(Assumptions!$B$8,0,$C$1),AVERAGE(SUM(J$190,J$196,-J$296)/SUM(J$183,J$190,J$196,-J$226,-J$296),SUM(K$190,K$196,-K$296)/SUM(K$183,K$190,K$196,-K$226,-K$296),SUM(L$190,L$196,-L$296)/SUM(L$183,L$190,L$196,-L$226,-L$296)),SUM(L$190,L$196,-L$296)/SUM(L$183,L$190,L$196,-L$226,-L$296))*SUM(-M$230,-M$238,M$295))</f>
        <v>42.175428351615345</v>
      </c>
      <c r="N196" s="7">
        <f ca="1">SUM(-N$190,N$296,IF(N$6=OFFSET(Assumptions!$B$8,0,$C$1),AVERAGE(SUM(K$190,K$196,-K$296)/SUM(K$183,K$190,K$196,-K$226,-K$296),SUM(L$190,L$196,-L$296)/SUM(L$183,L$190,L$196,-L$226,-L$296),SUM(M$190,M$196,-M$296)/SUM(M$183,M$190,M$196,-M$226,-M$296)),SUM(M$190,M$196,-M$296)/SUM(M$183,M$190,M$196,-M$226,-M$296))*SUM(-N$230,-N$238,N$295))</f>
        <v>42.23795022763521</v>
      </c>
      <c r="O196" s="7">
        <f ca="1">SUM(-O$190,O$296,IF(O$6=OFFSET(Assumptions!$B$8,0,$C$1),AVERAGE(SUM(L$190,L$196,-L$296)/SUM(L$183,L$190,L$196,-L$226,-L$296),SUM(M$190,M$196,-M$296)/SUM(M$183,M$190,M$196,-M$226,-M$296),SUM(N$190,N$196,-N$296)/SUM(N$183,N$190,N$196,-N$226,-N$296)),SUM(N$190,N$196,-N$296)/SUM(N$183,N$190,N$196,-N$226,-N$296))*SUM(-O$230,-O$238,O$295))</f>
        <v>42.265970423380416</v>
      </c>
      <c r="P196" s="7">
        <f ca="1">SUM(-P$190,P$296,IF(P$6=OFFSET(Assumptions!$B$8,0,$C$1),AVERAGE(SUM(M$190,M$196,-M$296)/SUM(M$183,M$190,M$196,-M$226,-M$296),SUM(N$190,N$196,-N$296)/SUM(N$183,N$190,N$196,-N$226,-N$296),SUM(O$190,O$196,-O$296)/SUM(O$183,O$190,O$196,-O$226,-O$296)),SUM(O$190,O$196,-O$296)/SUM(O$183,O$190,O$196,-O$226,-O$296))*SUM(-P$230,-P$238,P$295))</f>
        <v>42.26508233858776</v>
      </c>
      <c r="Q196" s="7">
        <f ca="1">SUM(-Q$190,Q$296,IF(Q$6=OFFSET(Assumptions!$B$8,0,$C$1),AVERAGE(SUM(N$190,N$196,-N$296)/SUM(N$183,N$190,N$196,-N$226,-N$296),SUM(O$190,O$196,-O$296)/SUM(O$183,O$190,O$196,-O$226,-O$296),SUM(P$190,P$196,-P$296)/SUM(P$183,P$190,P$196,-P$226,-P$296)),SUM(P$190,P$196,-P$296)/SUM(P$183,P$190,P$196,-P$226,-P$296))*SUM(-Q$230,-Q$238,Q$295))</f>
        <v>42.219601670994109</v>
      </c>
      <c r="R196" s="7">
        <f ca="1">SUM(-R$190,R$296,IF(R$6=OFFSET(Assumptions!$B$8,0,$C$1),AVERAGE(SUM(O$190,O$196,-O$296)/SUM(O$183,O$190,O$196,-O$226,-O$296),SUM(P$190,P$196,-P$296)/SUM(P$183,P$190,P$196,-P$226,-P$296),SUM(Q$190,Q$196,-Q$296)/SUM(Q$183,Q$190,Q$196,-Q$226,-Q$296)),SUM(Q$190,Q$196,-Q$296)/SUM(Q$183,Q$190,Q$196,-Q$226,-Q$296))*SUM(-R$230,-R$238,R$295))</f>
        <v>42.119862965261092</v>
      </c>
      <c r="S196" s="7">
        <f ca="1">SUM(-S$190,S$296,IF(S$6=OFFSET(Assumptions!$B$8,0,$C$1),AVERAGE(SUM(P$190,P$196,-P$296)/SUM(P$183,P$190,P$196,-P$226,-P$296),SUM(Q$190,Q$196,-Q$296)/SUM(Q$183,Q$190,Q$196,-Q$226,-Q$296),SUM(R$190,R$196,-R$296)/SUM(R$183,R$190,R$196,-R$226,-R$296)),SUM(R$190,R$196,-R$296)/SUM(R$183,R$190,R$196,-R$226,-R$296))*SUM(-S$230,-S$238,S$295))</f>
        <v>41.961507412907011</v>
      </c>
      <c r="T196" s="7">
        <f ca="1">SUM(-T$190,T$296,IF(T$6=OFFSET(Assumptions!$B$8,0,$C$1),AVERAGE(SUM(Q$190,Q$196,-Q$296)/SUM(Q$183,Q$190,Q$196,-Q$226,-Q$296),SUM(R$190,R$196,-R$296)/SUM(R$183,R$190,R$196,-R$226,-R$296),SUM(S$190,S$196,-S$296)/SUM(S$183,S$190,S$196,-S$226,-S$296)),SUM(S$190,S$196,-S$296)/SUM(S$183,S$190,S$196,-S$226,-S$296))*SUM(-T$230,-T$238,T$295))</f>
        <v>41.73253932449007</v>
      </c>
    </row>
    <row r="197" spans="1:20" x14ac:dyDescent="0.2">
      <c r="A197" s="1" t="s">
        <v>279</v>
      </c>
      <c r="B197" s="4" t="str">
        <f>$B$38</f>
        <v>From Fiscal</v>
      </c>
      <c r="D197" s="15">
        <f>'Fiscal Forecasts'!D$248</f>
        <v>17.914000000000001</v>
      </c>
      <c r="E197" s="15">
        <f>'Fiscal Forecasts'!E$248</f>
        <v>18.613</v>
      </c>
      <c r="F197" s="16">
        <f>'Fiscal Forecasts'!F$248</f>
        <v>19.497</v>
      </c>
      <c r="G197" s="16">
        <f>'Fiscal Forecasts'!G$248</f>
        <v>20.463000000000001</v>
      </c>
      <c r="H197" s="16">
        <f>'Fiscal Forecasts'!H$248</f>
        <v>20.138000000000002</v>
      </c>
      <c r="I197" s="16">
        <f>'Fiscal Forecasts'!I$248</f>
        <v>19.867999999999999</v>
      </c>
      <c r="J197" s="16">
        <f>'Fiscal Forecasts'!J$248</f>
        <v>20.382000000000001</v>
      </c>
      <c r="K197" s="7">
        <f ca="1">SUM(-K$191,IF(K$6=OFFSET(Assumptions!$B$8,0,$C$1),AVERAGE(SUM(H$191,H$197)/SUM(H$184,-(H$227-H$226),H$191,H$197),SUM(I$191,I$197)/SUM(I$184,-(I$227-I$226),I$191,I$197),SUM(J$191,J$197)/SUM(J$184,-(J$227-J$226),J$191,J$197)),SUM(J$191,J$197)/SUM(J$184,-(J$227-J$226),J$191,J$197))*SUM(K$173-K$212,K$231,K$240,K$262,K$298,-(K$227-K$226)))</f>
        <v>20.65642056992084</v>
      </c>
      <c r="L197" s="7">
        <f ca="1">SUM(-L$191,IF(L$6=OFFSET(Assumptions!$B$8,0,$C$1),AVERAGE(SUM(I$191,I$197)/SUM(I$184,-(I$227-I$226),I$191,I$197),SUM(J$191,J$197)/SUM(J$184,-(J$227-J$226),J$191,J$197),SUM(K$191,K$197)/SUM(K$184,-(K$227-K$226),K$191,K$197)),SUM(K$191,K$197)/SUM(K$184,-(K$227-K$226),K$191,K$197))*SUM(L$173-L$212,L$231,L$240,L$262,L$298,-(L$227-L$226)))</f>
        <v>20.98996110024602</v>
      </c>
      <c r="M197" s="7">
        <f ca="1">SUM(-M$191,IF(M$6=OFFSET(Assumptions!$B$8,0,$C$1),AVERAGE(SUM(J$191,J$197)/SUM(J$184,-(J$227-J$226),J$191,J$197),SUM(K$191,K$197)/SUM(K$184,-(K$227-K$226),K$191,K$197),SUM(L$191,L$197)/SUM(L$184,-(L$227-L$226),L$191,L$197)),SUM(L$191,L$197)/SUM(L$184,-(L$227-L$226),L$191,L$197))*SUM(M$173-M$212,M$231,M$240,M$262,M$298,-(M$227-M$226)))</f>
        <v>21.281384528091785</v>
      </c>
      <c r="N197" s="7">
        <f ca="1">SUM(-N$191,IF(N$6=OFFSET(Assumptions!$B$8,0,$C$1),AVERAGE(SUM(K$191,K$197)/SUM(K$184,-(K$227-K$226),K$191,K$197),SUM(L$191,L$197)/SUM(L$184,-(L$227-L$226),L$191,L$197),SUM(M$191,M$197)/SUM(M$184,-(M$227-M$226),M$191,M$197)),SUM(M$191,M$197)/SUM(M$184,-(M$227-M$226),M$191,M$197))*SUM(N$173-N$212,N$231,N$240,N$262,N$298,-(N$227-N$226)))</f>
        <v>21.556280941730147</v>
      </c>
      <c r="O197" s="7">
        <f ca="1">SUM(-O$191,IF(O$6=OFFSET(Assumptions!$B$8,0,$C$1),AVERAGE(SUM(L$191,L$197)/SUM(L$184,-(L$227-L$226),L$191,L$197),SUM(M$191,M$197)/SUM(M$184,-(M$227-M$226),M$191,M$197),SUM(N$191,N$197)/SUM(N$184,-(N$227-N$226),N$191,N$197)),SUM(N$191,N$197)/SUM(N$184,-(N$227-N$226),N$191,N$197))*SUM(O$173-O$212,O$231,O$240,O$262,O$298,-(O$227-O$226)))</f>
        <v>21.84058661374549</v>
      </c>
      <c r="P197" s="7">
        <f ca="1">SUM(-P$191,IF(P$6=OFFSET(Assumptions!$B$8,0,$C$1),AVERAGE(SUM(M$191,M$197)/SUM(M$184,-(M$227-M$226),M$191,M$197),SUM(N$191,N$197)/SUM(N$184,-(N$227-N$226),N$191,N$197),SUM(O$191,O$197)/SUM(O$184,-(O$227-O$226),O$191,O$197)),SUM(O$191,O$197)/SUM(O$184,-(O$227-O$226),O$191,O$197))*SUM(P$173-P$212,P$231,P$240,P$262,P$298,-(P$227-P$226)))</f>
        <v>22.13257474094571</v>
      </c>
      <c r="Q197" s="7">
        <f ca="1">SUM(-Q$191,IF(Q$6=OFFSET(Assumptions!$B$8,0,$C$1),AVERAGE(SUM(N$191,N$197)/SUM(N$184,-(N$227-N$226),N$191,N$197),SUM(O$191,O$197)/SUM(O$184,-(O$227-O$226),O$191,O$197),SUM(P$191,P$197)/SUM(P$184,-(P$227-P$226),P$191,P$197)),SUM(P$191,P$197)/SUM(P$184,-(P$227-P$226),P$191,P$197))*SUM(Q$173-Q$212,Q$231,Q$240,Q$262,Q$298,-(Q$227-Q$226)))</f>
        <v>22.433921311363278</v>
      </c>
      <c r="R197" s="7">
        <f ca="1">SUM(-R$191,IF(R$6=OFFSET(Assumptions!$B$8,0,$C$1),AVERAGE(SUM(O$191,O$197)/SUM(O$184,-(O$227-O$226),O$191,O$197),SUM(P$191,P$197)/SUM(P$184,-(P$227-P$226),P$191,P$197),SUM(Q$191,Q$197)/SUM(Q$184,-(Q$227-Q$226),Q$191,Q$197)),SUM(Q$191,Q$197)/SUM(Q$184,-(Q$227-Q$226),Q$191,Q$197))*SUM(R$173-R$212,R$231,R$240,R$262,R$298,-(R$227-R$226)))</f>
        <v>22.744264492370405</v>
      </c>
      <c r="S197" s="7">
        <f ca="1">SUM(-S$191,IF(S$6=OFFSET(Assumptions!$B$8,0,$C$1),AVERAGE(SUM(P$191,P$197)/SUM(P$184,-(P$227-P$226),P$191,P$197),SUM(Q$191,Q$197)/SUM(Q$184,-(Q$227-Q$226),Q$191,Q$197),SUM(R$191,R$197)/SUM(R$184,-(R$227-R$226),R$191,R$197)),SUM(R$191,R$197)/SUM(R$184,-(R$227-R$226),R$191,R$197))*SUM(S$173-S$212,S$231,S$240,S$262,S$298,-(S$227-S$226)))</f>
        <v>23.065044445407409</v>
      </c>
      <c r="T197" s="7">
        <f ca="1">SUM(-T$191,IF(T$6=OFFSET(Assumptions!$B$8,0,$C$1),AVERAGE(SUM(Q$191,Q$197)/SUM(Q$184,-(Q$227-Q$226),Q$191,Q$197),SUM(R$191,R$197)/SUM(R$184,-(R$227-R$226),R$191,R$197),SUM(S$191,S$197)/SUM(S$184,-(S$227-S$226),S$191,S$197)),SUM(S$191,S$197)/SUM(S$184,-(S$227-S$226),S$191,S$197))*SUM(T$173-T$212,T$231,T$240,T$262,T$298,-(T$227-T$226)))</f>
        <v>23.395778557487905</v>
      </c>
    </row>
    <row r="198" spans="1:20" x14ac:dyDescent="0.2">
      <c r="A198" s="1" t="s">
        <v>506</v>
      </c>
      <c r="B198" s="4" t="str">
        <f>$B$38</f>
        <v>From Fiscal</v>
      </c>
      <c r="D198" s="15">
        <f>'Fiscal Forecasts'!D$249</f>
        <v>9.3330000000000002</v>
      </c>
      <c r="E198" s="15">
        <f>'Fiscal Forecasts'!E$249</f>
        <v>8.4640000000000004</v>
      </c>
      <c r="F198" s="16">
        <f>'Fiscal Forecasts'!F$249</f>
        <v>8.9179999999999993</v>
      </c>
      <c r="G198" s="16">
        <f>'Fiscal Forecasts'!G$249</f>
        <v>9.6829999999999998</v>
      </c>
      <c r="H198" s="16">
        <f>'Fiscal Forecasts'!H$249</f>
        <v>10.169</v>
      </c>
      <c r="I198" s="16">
        <f>'Fiscal Forecasts'!I$249</f>
        <v>10.555</v>
      </c>
      <c r="J198" s="16">
        <f>'Fiscal Forecasts'!J$249</f>
        <v>10.917</v>
      </c>
      <c r="K198" s="7">
        <f ca="1">SUM(-K$192,IF(K$6=OFFSET(Assumptions!$B$8,0,$C$1),AVERAGE(SUM(H$198,H$192)/SUM(H$185,H$192,H$198),SUM(I$198,I$192)/SUM(I$185,I$192,I$198),SUM(J$198,J$192)/SUM(J$185,J$192,J$198)),SUM(J$198,J$192)/SUM(J$185,J$192,J$198))*SUM(K$263,K$299-K$213))</f>
        <v>11.558356966192463</v>
      </c>
      <c r="L198" s="7">
        <f ca="1">SUM(-L$192,IF(L$6=OFFSET(Assumptions!$B$8,0,$C$1),AVERAGE(SUM(I$198,I$192)/SUM(I$185,I$192,I$198),SUM(J$198,J$192)/SUM(J$185,J$192,J$198),SUM(K$198,K$192)/SUM(K$185,K$192,K$198)),SUM(K$198,K$192)/SUM(K$185,K$192,K$198))*SUM(L$263,L$299-L$213))</f>
        <v>12.116442853418818</v>
      </c>
      <c r="M198" s="7">
        <f ca="1">SUM(-M$192,IF(M$6=OFFSET(Assumptions!$B$8,0,$C$1),AVERAGE(SUM(J$198,J$192)/SUM(J$185,J$192,J$198),SUM(K$198,K$192)/SUM(K$185,K$192,K$198),SUM(L$198,L$192)/SUM(L$185,L$192,L$198)),SUM(L$198,L$192)/SUM(L$185,L$192,L$198))*SUM(M$263,M$299-M$213))</f>
        <v>12.695740804694408</v>
      </c>
      <c r="N198" s="7">
        <f ca="1">SUM(-N$192,IF(N$6=OFFSET(Assumptions!$B$8,0,$C$1),AVERAGE(SUM(K$198,K$192)/SUM(K$185,K$192,K$198),SUM(L$198,L$192)/SUM(L$185,L$192,L$198),SUM(M$198,M$192)/SUM(M$185,M$192,M$198)),SUM(M$198,M$192)/SUM(M$185,M$192,M$198))*SUM(N$263,N$299-N$213))</f>
        <v>13.299455903969626</v>
      </c>
      <c r="O198" s="7">
        <f ca="1">SUM(-O$192,IF(O$6=OFFSET(Assumptions!$B$8,0,$C$1),AVERAGE(SUM(L$198,L$192)/SUM(L$185,L$192,L$198),SUM(M$198,M$192)/SUM(M$185,M$192,M$198),SUM(N$198,N$192)/SUM(N$185,N$192,N$198)),SUM(N$198,N$192)/SUM(N$185,N$192,N$198))*SUM(O$263,O$299-O$213))</f>
        <v>13.922998290430748</v>
      </c>
      <c r="P198" s="7">
        <f ca="1">SUM(-P$192,IF(P$6=OFFSET(Assumptions!$B$8,0,$C$1),AVERAGE(SUM(M$198,M$192)/SUM(M$185,M$192,M$198),SUM(N$198,N$192)/SUM(N$185,N$192,N$198),SUM(O$198,O$192)/SUM(O$185,O$192,O$198)),SUM(O$198,O$192)/SUM(O$185,O$192,O$198))*SUM(P$263,P$299-P$213))</f>
        <v>14.568911454365468</v>
      </c>
      <c r="Q198" s="7">
        <f ca="1">SUM(-Q$192,IF(Q$6=OFFSET(Assumptions!$B$8,0,$C$1),AVERAGE(SUM(N$198,N$192)/SUM(N$185,N$192,N$198),SUM(O$198,O$192)/SUM(O$185,O$192,O$198),SUM(P$198,P$192)/SUM(P$185,P$192,P$198)),SUM(P$198,P$192)/SUM(P$185,P$192,P$198))*SUM(Q$263,Q$299-Q$213))</f>
        <v>15.236104703294178</v>
      </c>
      <c r="R198" s="7">
        <f ca="1">SUM(-R$192,IF(R$6=OFFSET(Assumptions!$B$8,0,$C$1),AVERAGE(SUM(O$198,O$192)/SUM(O$185,O$192,O$198),SUM(P$198,P$192)/SUM(P$185,P$192,P$198),SUM(Q$198,Q$192)/SUM(Q$185,Q$192,Q$198)),SUM(Q$198,Q$192)/SUM(Q$185,Q$192,Q$198))*SUM(R$263,R$299-R$213))</f>
        <v>15.923766894563812</v>
      </c>
      <c r="S198" s="7">
        <f ca="1">SUM(-S$192,IF(S$6=OFFSET(Assumptions!$B$8,0,$C$1),AVERAGE(SUM(P$198,P$192)/SUM(P$185,P$192,P$198),SUM(Q$198,Q$192)/SUM(Q$185,Q$192,Q$198),SUM(R$198,R$192)/SUM(R$185,R$192,R$198)),SUM(R$198,R$192)/SUM(R$185,R$192,R$198))*SUM(S$263,S$299-S$213))</f>
        <v>16.63511156292499</v>
      </c>
      <c r="T198" s="7">
        <f ca="1">SUM(-T$192,IF(T$6=OFFSET(Assumptions!$B$8,0,$C$1),AVERAGE(SUM(Q$198,Q$192)/SUM(Q$185,Q$192,Q$198),SUM(R$198,R$192)/SUM(R$185,R$192,R$198),SUM(S$198,S$192)/SUM(S$185,S$192,S$198)),SUM(S$198,S$192)/SUM(S$185,S$192,S$198))*SUM(T$263,T$299-T$213))</f>
        <v>17.368947312420673</v>
      </c>
    </row>
    <row r="199" spans="1:20" x14ac:dyDescent="0.2">
      <c r="A199" s="1" t="s">
        <v>507</v>
      </c>
      <c r="B199" s="4" t="str">
        <f>$B$38</f>
        <v>From Fiscal</v>
      </c>
      <c r="D199" s="15">
        <f>'Fiscal Forecasts'!D$250</f>
        <v>-28.195</v>
      </c>
      <c r="E199" s="15">
        <f>'Fiscal Forecasts'!E$250</f>
        <v>-29.04</v>
      </c>
      <c r="F199" s="16">
        <f>'Fiscal Forecasts'!F$250</f>
        <v>-30.004999999999999</v>
      </c>
      <c r="G199" s="16">
        <f>'Fiscal Forecasts'!G$250</f>
        <v>-31.39</v>
      </c>
      <c r="H199" s="16">
        <f>'Fiscal Forecasts'!H$250</f>
        <v>-31.318999999999999</v>
      </c>
      <c r="I199" s="16">
        <f>'Fiscal Forecasts'!I$250</f>
        <v>-31.265000000000001</v>
      </c>
      <c r="J199" s="16">
        <f>'Fiscal Forecasts'!J$250</f>
        <v>-31.943999999999999</v>
      </c>
      <c r="K199" s="7">
        <f ca="1">IF(K$6=OFFSET(Assumptions!$B$8,0,$C$1),AVERAGE(H$199/SUM(H$186,H$199),I$199/SUM(I$186,I$199),J$199/SUM(J$186,J$199)),J$199/SUM(J$186,J$199))*SUM(K$174,K$232,K$241,K$264,K$300)</f>
        <v>-32.201330941402283</v>
      </c>
      <c r="L199" s="7">
        <f ca="1">IF(L$6=OFFSET(Assumptions!$B$8,0,$C$1),AVERAGE(I$199/SUM(I$186,I$199),J$199/SUM(J$186,J$199),K$199/SUM(K$186,K$199)),K$199/SUM(K$186,K$199))*SUM(L$174,L$232,L$241,L$264,L$300)</f>
        <v>-32.631179646922455</v>
      </c>
      <c r="M199" s="7">
        <f ca="1">IF(M$6=OFFSET(Assumptions!$B$8,0,$C$1),AVERAGE(J$199/SUM(J$186,J$199),K$199/SUM(K$186,K$199),L$199/SUM(L$186,L$199)),L$199/SUM(L$186,L$199))*SUM(M$174,M$232,M$241,M$264,M$300)</f>
        <v>-32.994995680266889</v>
      </c>
      <c r="N199" s="7">
        <f ca="1">IF(N$6=OFFSET(Assumptions!$B$8,0,$C$1),AVERAGE(K$199/SUM(K$186,K$199),L$199/SUM(L$186,L$199),M$199/SUM(M$186,M$199)),M$199/SUM(M$186,M$199))*SUM(N$174,N$232,N$241,N$264,N$300)</f>
        <v>-33.330693979839616</v>
      </c>
      <c r="O199" s="7">
        <f ca="1">IF(O$6=OFFSET(Assumptions!$B$8,0,$C$1),AVERAGE(L$199/SUM(L$186,L$199),M$199/SUM(M$186,M$199),N$199/SUM(N$186,N$199)),N$199/SUM(N$186,N$199))*SUM(O$174,O$232,O$241,O$264,O$300)</f>
        <v>-33.679025801050244</v>
      </c>
      <c r="P199" s="7">
        <f ca="1">IF(P$6=OFFSET(Assumptions!$B$8,0,$C$1),AVERAGE(M$199/SUM(M$186,M$199),N$199/SUM(N$186,N$199),O$199/SUM(O$186,O$199)),O$199/SUM(O$186,O$199))*SUM(P$174,P$232,P$241,P$264,P$300)</f>
        <v>-34.033196658670178</v>
      </c>
      <c r="Q199" s="7">
        <f ca="1">IF(Q$6=OFFSET(Assumptions!$B$8,0,$C$1),AVERAGE(N$199/SUM(N$186,N$199),O$199/SUM(O$186,O$199),P$199/SUM(P$186,P$199)),P$199/SUM(P$186,P$199))*SUM(Q$174,Q$232,Q$241,Q$264,Q$300)</f>
        <v>-34.398143486311895</v>
      </c>
      <c r="R199" s="7">
        <f ca="1">IF(R$6=OFFSET(Assumptions!$B$8,0,$C$1),AVERAGE(O$199/SUM(O$186,O$199),P$199/SUM(P$186,P$199),Q$199/SUM(Q$186,Q$199)),Q$199/SUM(Q$186,Q$199))*SUM(R$174,R$232,R$241,R$264,R$300)</f>
        <v>-34.773426812848051</v>
      </c>
      <c r="S199" s="7">
        <f ca="1">IF(S$6=OFFSET(Assumptions!$B$8,0,$C$1),AVERAGE(P$199/SUM(P$186,P$199),Q$199/SUM(Q$186,Q$199),R$199/SUM(R$186,R$199)),R$199/SUM(R$186,R$199))*SUM(S$174,S$232,S$241,S$264,S$300)</f>
        <v>-35.160751801344638</v>
      </c>
      <c r="T199" s="7">
        <f ca="1">IF(T$6=OFFSET(Assumptions!$B$8,0,$C$1),AVERAGE(Q$199/SUM(Q$186,Q$199),R$199/SUM(R$186,R$199),S$199/SUM(S$186,S$199)),S$199/SUM(S$186,S$199))*SUM(T$174,T$232,T$241,T$264,T$300)</f>
        <v>-35.559527188412709</v>
      </c>
    </row>
    <row r="200" spans="1:20" ht="15" x14ac:dyDescent="0.25">
      <c r="A200" s="2" t="s">
        <v>510</v>
      </c>
      <c r="D200" s="35">
        <f t="shared" ref="D200:T200" si="109">SUM(D$196:D$199)</f>
        <v>35.910000000000004</v>
      </c>
      <c r="E200" s="35">
        <f t="shared" si="109"/>
        <v>35.869000000000007</v>
      </c>
      <c r="F200" s="34">
        <f t="shared" si="109"/>
        <v>37.790000000000006</v>
      </c>
      <c r="G200" s="34">
        <f t="shared" si="109"/>
        <v>41.542999999999992</v>
      </c>
      <c r="H200" s="34">
        <f t="shared" si="109"/>
        <v>41.165999999999997</v>
      </c>
      <c r="I200" s="34">
        <f t="shared" si="109"/>
        <v>41.102999999999994</v>
      </c>
      <c r="J200" s="34">
        <f t="shared" si="109"/>
        <v>41.828999999999994</v>
      </c>
      <c r="K200" s="38">
        <f t="shared" ca="1" si="109"/>
        <v>41.789791277758617</v>
      </c>
      <c r="L200" s="38">
        <f t="shared" ca="1" si="109"/>
        <v>42.527579184934957</v>
      </c>
      <c r="M200" s="38">
        <f t="shared" ca="1" si="109"/>
        <v>43.15755800413465</v>
      </c>
      <c r="N200" s="38">
        <f t="shared" ca="1" si="109"/>
        <v>43.762993093495375</v>
      </c>
      <c r="O200" s="38">
        <f t="shared" ca="1" si="109"/>
        <v>44.350529526506421</v>
      </c>
      <c r="P200" s="38">
        <f t="shared" ca="1" si="109"/>
        <v>44.933371875228758</v>
      </c>
      <c r="Q200" s="38">
        <f t="shared" ca="1" si="109"/>
        <v>45.491484199339666</v>
      </c>
      <c r="R200" s="38">
        <f t="shared" ca="1" si="109"/>
        <v>46.014467539347258</v>
      </c>
      <c r="S200" s="38">
        <f t="shared" ca="1" si="109"/>
        <v>46.500911619894772</v>
      </c>
      <c r="T200" s="38">
        <f t="shared" ca="1" si="109"/>
        <v>46.937738005985942</v>
      </c>
    </row>
    <row r="201" spans="1:20" ht="15" x14ac:dyDescent="0.25">
      <c r="A201" s="2"/>
      <c r="D201" s="47"/>
      <c r="E201" s="47"/>
      <c r="F201" s="48"/>
      <c r="G201" s="48"/>
      <c r="H201" s="48"/>
      <c r="I201" s="48"/>
      <c r="J201" s="48"/>
      <c r="K201" s="48"/>
      <c r="L201" s="48"/>
      <c r="M201" s="48"/>
      <c r="N201" s="48"/>
      <c r="O201" s="48"/>
      <c r="P201" s="48"/>
      <c r="Q201" s="48"/>
      <c r="R201" s="48"/>
      <c r="S201" s="48"/>
      <c r="T201" s="48"/>
    </row>
    <row r="202" spans="1:20" x14ac:dyDescent="0.2">
      <c r="A202" s="19" t="s">
        <v>511</v>
      </c>
    </row>
    <row r="203" spans="1:20" x14ac:dyDescent="0.2">
      <c r="A203" s="1" t="s">
        <v>307</v>
      </c>
      <c r="B203" s="4" t="str">
        <f>$B$38</f>
        <v>From Fiscal</v>
      </c>
      <c r="D203" s="15">
        <f>'Fiscal Forecasts'!D$160</f>
        <v>3.7829999999999999</v>
      </c>
      <c r="E203" s="15">
        <f>'Fiscal Forecasts'!E$160</f>
        <v>3.59</v>
      </c>
      <c r="F203" s="16">
        <f>'Fiscal Forecasts'!F$160</f>
        <v>3.54</v>
      </c>
      <c r="G203" s="16">
        <f>'Fiscal Forecasts'!G$160</f>
        <v>3.4449999999999998</v>
      </c>
      <c r="H203" s="16">
        <f>'Fiscal Forecasts'!H$160</f>
        <v>3.3929999999999998</v>
      </c>
      <c r="I203" s="16">
        <f>'Fiscal Forecasts'!I$160</f>
        <v>3.4220000000000002</v>
      </c>
      <c r="J203" s="16">
        <f>'Fiscal Forecasts'!J$160</f>
        <v>3.4239999999999999</v>
      </c>
      <c r="K203" s="7">
        <f ca="1">K$461</f>
        <v>3.4531588711760777</v>
      </c>
      <c r="L203" s="7">
        <f t="shared" ref="L203:T203" ca="1" si="110">L$461</f>
        <v>3.567947858792123</v>
      </c>
      <c r="M203" s="7">
        <f t="shared" ca="1" si="110"/>
        <v>3.6732939070400086</v>
      </c>
      <c r="N203" s="7">
        <f t="shared" ca="1" si="110"/>
        <v>3.7581684292462278</v>
      </c>
      <c r="O203" s="7">
        <f t="shared" ca="1" si="110"/>
        <v>3.8212596628725728</v>
      </c>
      <c r="P203" s="7">
        <f t="shared" ca="1" si="110"/>
        <v>3.8636015667847383</v>
      </c>
      <c r="Q203" s="7">
        <f t="shared" ca="1" si="110"/>
        <v>3.8998048919960762</v>
      </c>
      <c r="R203" s="7">
        <f t="shared" ca="1" si="110"/>
        <v>3.8063473280988616</v>
      </c>
      <c r="S203" s="7">
        <f t="shared" ca="1" si="110"/>
        <v>3.7611955511959105</v>
      </c>
      <c r="T203" s="7">
        <f t="shared" ca="1" si="110"/>
        <v>3.7872944973382001</v>
      </c>
    </row>
    <row r="204" spans="1:20" x14ac:dyDescent="0.2">
      <c r="A204" s="1" t="s">
        <v>279</v>
      </c>
      <c r="B204" s="4" t="str">
        <f>$B$38</f>
        <v>From Fiscal</v>
      </c>
      <c r="D204" s="15">
        <f>'Fiscal Forecasts'!D$253</f>
        <v>0.221</v>
      </c>
      <c r="E204" s="15">
        <f>'Fiscal Forecasts'!E$253</f>
        <v>0.215</v>
      </c>
      <c r="F204" s="16">
        <f>'Fiscal Forecasts'!F$253</f>
        <v>0.109</v>
      </c>
      <c r="G204" s="16">
        <f>'Fiscal Forecasts'!G$253</f>
        <v>5.2999999999999999E-2</v>
      </c>
      <c r="H204" s="16">
        <f>'Fiscal Forecasts'!H$253</f>
        <v>0.06</v>
      </c>
      <c r="I204" s="16">
        <f>'Fiscal Forecasts'!I$253</f>
        <v>6.8000000000000005E-2</v>
      </c>
      <c r="J204" s="16">
        <f>'Fiscal Forecasts'!J$253</f>
        <v>7.3999999999999996E-2</v>
      </c>
      <c r="K204" s="7">
        <f ca="1">IF(K$6=OFFSET(Assumptions!$B$8,0,$C$1),AVERAGE(H$204/SUM(H$204:H$206),I$204/SUM(I$204:I$206),J$204/SUM(J$204:J$206)),J$204/SUM(J$204:J$206))*(K$88-K$461)</f>
        <v>8.7016912180042053E-2</v>
      </c>
      <c r="L204" s="7">
        <f ca="1">IF(L$6=OFFSET(Assumptions!$B$8,0,$C$1),AVERAGE(I$204/SUM(I$204:I$206),J$204/SUM(J$204:J$206),K$204/SUM(K$204:K$206)),K$204/SUM(K$204:K$206))*(L$88-L$461)</f>
        <v>9.2873431696882253E-2</v>
      </c>
      <c r="M204" s="7">
        <f ca="1">IF(M$6=OFFSET(Assumptions!$B$8,0,$C$1),AVERAGE(J$204/SUM(J$204:J$206),K$204/SUM(K$204:K$206),L$204/SUM(L$204:L$206)),L$204/SUM(L$204:L$206))*(M$88-M$461)</f>
        <v>0.10127399955669078</v>
      </c>
      <c r="N204" s="7">
        <f ca="1">IF(N$6=OFFSET(Assumptions!$B$8,0,$C$1),AVERAGE(K$204/SUM(K$204:K$206),L$204/SUM(L$204:L$206),M$204/SUM(M$204:M$206)),M$204/SUM(M$204:M$206))*(N$88-N$461)</f>
        <v>0.11026591544657389</v>
      </c>
      <c r="O204" s="7">
        <f ca="1">IF(O$6=OFFSET(Assumptions!$B$8,0,$C$1),AVERAGE(L$204/SUM(L$204:L$206),M$204/SUM(M$204:M$206),N$204/SUM(N$204:N$206)),N$204/SUM(N$204:N$206))*(O$88-O$461)</f>
        <v>0.12005535176299999</v>
      </c>
      <c r="P204" s="7">
        <f ca="1">IF(P$6=OFFSET(Assumptions!$B$8,0,$C$1),AVERAGE(M$204/SUM(M$204:M$206),N$204/SUM(N$204:N$206),O$204/SUM(O$204:O$206)),O$204/SUM(O$204:O$206))*(P$88-P$461)</f>
        <v>0.13070694269593675</v>
      </c>
      <c r="Q204" s="7">
        <f ca="1">IF(Q$6=OFFSET(Assumptions!$B$8,0,$C$1),AVERAGE(N$204/SUM(N$204:N$206),O$204/SUM(O$204:O$206),P$204/SUM(P$204:P$206)),P$204/SUM(P$204:P$206))*(Q$88-Q$461)</f>
        <v>0.14200964637136007</v>
      </c>
      <c r="R204" s="7">
        <f ca="1">IF(R$6=OFFSET(Assumptions!$B$8,0,$C$1),AVERAGE(O$204/SUM(O$204:O$206),P$204/SUM(P$204:P$206),Q$204/SUM(Q$204:Q$206)),Q$204/SUM(Q$204:Q$206))*(R$88-R$461)</f>
        <v>0.14819139682653718</v>
      </c>
      <c r="S204" s="7">
        <f ca="1">IF(S$6=OFFSET(Assumptions!$B$8,0,$C$1),AVERAGE(P$204/SUM(P$204:P$206),Q$204/SUM(Q$204:Q$206),R$204/SUM(R$204:R$206)),R$204/SUM(R$204:R$206))*(S$88-S$461)</f>
        <v>0.1544370096200611</v>
      </c>
      <c r="T204" s="7">
        <f ca="1">IF(T$6=OFFSET(Assumptions!$B$8,0,$C$1),AVERAGE(Q$204/SUM(Q$204:Q$206),R$204/SUM(R$204:R$206),S$204/SUM(S$204:S$206)),S$204/SUM(S$204:S$206))*(T$88-T$461)</f>
        <v>0.16066051149189262</v>
      </c>
    </row>
    <row r="205" spans="1:20" x14ac:dyDescent="0.2">
      <c r="A205" s="1" t="s">
        <v>506</v>
      </c>
      <c r="B205" s="4" t="str">
        <f>$B$38</f>
        <v>From Fiscal</v>
      </c>
      <c r="D205" s="15">
        <f>'Fiscal Forecasts'!D$254</f>
        <v>1.28</v>
      </c>
      <c r="E205" s="15">
        <f>'Fiscal Forecasts'!E$254</f>
        <v>1.1539999999999999</v>
      </c>
      <c r="F205" s="16">
        <f>'Fiscal Forecasts'!F$254</f>
        <v>1.0680000000000001</v>
      </c>
      <c r="G205" s="16">
        <f>'Fiscal Forecasts'!G$254</f>
        <v>1.1539999999999999</v>
      </c>
      <c r="H205" s="16">
        <f>'Fiscal Forecasts'!H$254</f>
        <v>1.127</v>
      </c>
      <c r="I205" s="16">
        <f>'Fiscal Forecasts'!I$254</f>
        <v>1.1579999999999999</v>
      </c>
      <c r="J205" s="16">
        <f>'Fiscal Forecasts'!J$254</f>
        <v>1.137</v>
      </c>
      <c r="K205" s="7">
        <f ca="1">IF(K$6=OFFSET(Assumptions!$B$8,0,$C$1),AVERAGE(H$205/SUM(H$204:H$206),I$205/SUM(I$204:I$206),J$205/SUM(J$204:J$206)),J$205/SUM(J$204:J$206))*(K$88-K$461)</f>
        <v>1.4739762252775073</v>
      </c>
      <c r="L205" s="7">
        <f ca="1">IF(L$6=OFFSET(Assumptions!$B$8,0,$C$1),AVERAGE(I$205/SUM(I$204:I$206),J$205/SUM(J$204:J$206),K$205/SUM(K$204:K$206)),K$205/SUM(K$204:K$206))*(L$88-L$461)</f>
        <v>1.5731795906283186</v>
      </c>
      <c r="M205" s="7">
        <f ca="1">IF(M$6=OFFSET(Assumptions!$B$8,0,$C$1),AVERAGE(J$205/SUM(J$204:J$206),K$205/SUM(K$204:K$206),L$205/SUM(L$204:L$206)),L$205/SUM(L$204:L$206))*(M$88-M$461)</f>
        <v>1.7154764958387529</v>
      </c>
      <c r="N205" s="7">
        <f ca="1">IF(N$6=OFFSET(Assumptions!$B$8,0,$C$1),AVERAGE(K$205/SUM(K$204:K$206),L$205/SUM(L$204:L$206),M$205/SUM(M$204:M$206)),M$205/SUM(M$204:M$206))*(N$88-N$461)</f>
        <v>1.8677902232433738</v>
      </c>
      <c r="O205" s="7">
        <f ca="1">IF(O$6=OFFSET(Assumptions!$B$8,0,$C$1),AVERAGE(L$205/SUM(L$204:L$206),M$205/SUM(M$204:M$206),N$205/SUM(N$204:N$206)),N$205/SUM(N$204:N$206))*(O$88-O$461)</f>
        <v>2.0336131193652811</v>
      </c>
      <c r="P205" s="7">
        <f ca="1">IF(P$6=OFFSET(Assumptions!$B$8,0,$C$1),AVERAGE(M$205/SUM(M$204:M$206),N$205/SUM(N$204:N$206),O$205/SUM(O$204:O$206)),O$205/SUM(O$204:O$206))*(P$88-P$461)</f>
        <v>2.2140400203342083</v>
      </c>
      <c r="Q205" s="7">
        <f ca="1">IF(Q$6=OFFSET(Assumptions!$B$8,0,$C$1),AVERAGE(N$205/SUM(N$204:N$206),O$205/SUM(O$204:O$206),P$205/SUM(P$204:P$206)),P$205/SUM(P$204:P$206))*(Q$88-Q$461)</f>
        <v>2.4054960957286156</v>
      </c>
      <c r="R205" s="7">
        <f ca="1">IF(R$6=OFFSET(Assumptions!$B$8,0,$C$1),AVERAGE(O$205/SUM(O$204:O$206),P$205/SUM(P$204:P$206),Q$205/SUM(Q$204:Q$206)),Q$205/SUM(Q$204:Q$206))*(R$88-R$461)</f>
        <v>2.5102085357963215</v>
      </c>
      <c r="S205" s="7">
        <f ca="1">IF(S$6=OFFSET(Assumptions!$B$8,0,$C$1),AVERAGE(P$205/SUM(P$204:P$206),Q$205/SUM(Q$204:Q$206),R$205/SUM(R$204:R$206)),R$205/SUM(R$204:R$206))*(S$88-S$461)</f>
        <v>2.6160027376279831</v>
      </c>
      <c r="T205" s="7">
        <f ca="1">IF(T$6=OFFSET(Assumptions!$B$8,0,$C$1),AVERAGE(Q$205/SUM(Q$204:Q$206),R$205/SUM(R$204:R$206),S$205/SUM(S$204:S$206)),S$205/SUM(S$204:S$206))*(T$88-T$461)</f>
        <v>2.7214224033829542</v>
      </c>
    </row>
    <row r="206" spans="1:20" x14ac:dyDescent="0.2">
      <c r="A206" s="1" t="s">
        <v>507</v>
      </c>
      <c r="B206" s="4" t="str">
        <f>$B$38</f>
        <v>From Fiscal</v>
      </c>
      <c r="D206" s="15">
        <f>'Fiscal Forecasts'!D$255</f>
        <v>-0.72099999999999997</v>
      </c>
      <c r="E206" s="15">
        <f>'Fiscal Forecasts'!E$255</f>
        <v>-0.623</v>
      </c>
      <c r="F206" s="16">
        <f>'Fiscal Forecasts'!F$255</f>
        <v>-0.52900000000000003</v>
      </c>
      <c r="G206" s="16">
        <f>'Fiscal Forecasts'!G$255</f>
        <v>-0.437</v>
      </c>
      <c r="H206" s="16">
        <f>'Fiscal Forecasts'!H$255</f>
        <v>-0.45200000000000001</v>
      </c>
      <c r="I206" s="16">
        <f>'Fiscal Forecasts'!I$255</f>
        <v>-0.47</v>
      </c>
      <c r="J206" s="16">
        <f>'Fiscal Forecasts'!J$255</f>
        <v>-0.47699999999999998</v>
      </c>
      <c r="K206" s="7">
        <f ca="1">IF(K$6=OFFSET(Assumptions!$B$8,0,$C$1),AVERAGE(H$206/SUM(H$204:H$206),I$206/SUM(I$204:I$206),J$206/SUM(J$204:J$206)),J$206/SUM(J$204:J$206))*(K$88-K$461)</f>
        <v>-0.60264718501214332</v>
      </c>
      <c r="L206" s="7">
        <f ca="1">IF(L$6=OFFSET(Assumptions!$B$8,0,$C$1),AVERAGE(I$206/SUM(I$204:I$206),J$206/SUM(J$204:J$206),K$206/SUM(K$204:K$206)),K$206/SUM(K$204:K$206))*(L$88-L$461)</f>
        <v>-0.64320728893182622</v>
      </c>
      <c r="M206" s="7">
        <f ca="1">IF(M$6=OFFSET(Assumptions!$B$8,0,$C$1),AVERAGE(J$206/SUM(J$204:J$206),K$206/SUM(K$204:K$206),L$206/SUM(L$204:L$206)),L$206/SUM(L$204:L$206))*(M$88-M$461)</f>
        <v>-0.70138653761330527</v>
      </c>
      <c r="N206" s="7">
        <f ca="1">IF(N$6=OFFSET(Assumptions!$B$8,0,$C$1),AVERAGE(K$206/SUM(K$204:K$206),L$206/SUM(L$204:L$206),M$206/SUM(M$204:M$206)),M$206/SUM(M$204:M$206))*(N$88-N$461)</f>
        <v>-0.76366124563433868</v>
      </c>
      <c r="O206" s="7">
        <f ca="1">IF(O$6=OFFSET(Assumptions!$B$8,0,$C$1),AVERAGE(L$206/SUM(L$204:L$206),M$206/SUM(M$204:M$206),N$206/SUM(N$204:N$206)),N$206/SUM(N$204:N$206))*(O$88-O$461)</f>
        <v>-0.83145928731551588</v>
      </c>
      <c r="P206" s="7">
        <f ca="1">IF(P$6=OFFSET(Assumptions!$B$8,0,$C$1),AVERAGE(M$206/SUM(M$204:M$206),N$206/SUM(N$204:N$206),O$206/SUM(O$204:O$206)),O$206/SUM(O$204:O$206))*(P$88-P$461)</f>
        <v>-0.90522829532574833</v>
      </c>
      <c r="Q206" s="7">
        <f ca="1">IF(Q$6=OFFSET(Assumptions!$B$8,0,$C$1),AVERAGE(N$206/SUM(N$204:N$206),O$206/SUM(O$204:O$206),P$206/SUM(P$204:P$206)),P$206/SUM(P$204:P$206))*(Q$88-Q$461)</f>
        <v>-0.98350667113075119</v>
      </c>
      <c r="R206" s="7">
        <f ca="1">IF(R$6=OFFSET(Assumptions!$B$8,0,$C$1),AVERAGE(O$206/SUM(O$204:O$206),P$206/SUM(P$204:P$206),Q$206/SUM(Q$204:Q$206)),Q$206/SUM(Q$204:Q$206))*(R$88-R$461)</f>
        <v>-1.0263192051189944</v>
      </c>
      <c r="S206" s="7">
        <f ca="1">IF(S$6=OFFSET(Assumptions!$B$8,0,$C$1),AVERAGE(P$206/SUM(P$204:P$206),Q$206/SUM(Q$204:Q$206),R$206/SUM(R$204:R$206)),R$206/SUM(R$204:R$206))*(S$88-S$461)</f>
        <v>-1.0695740262152125</v>
      </c>
      <c r="T206" s="7">
        <f ca="1">IF(T$6=OFFSET(Assumptions!$B$8,0,$C$1),AVERAGE(Q$206/SUM(Q$204:Q$206),R$206/SUM(R$204:R$206),S$206/SUM(S$204:S$206)),S$206/SUM(S$204:S$206))*(T$88-T$461)</f>
        <v>-1.1126757151859374</v>
      </c>
    </row>
    <row r="207" spans="1:20" ht="15" x14ac:dyDescent="0.25">
      <c r="A207" s="2" t="s">
        <v>512</v>
      </c>
      <c r="D207" s="35">
        <f t="shared" ref="D207:T207" si="111">SUM(D$203:D$206)</f>
        <v>4.5629999999999997</v>
      </c>
      <c r="E207" s="35">
        <f t="shared" si="111"/>
        <v>4.3359999999999994</v>
      </c>
      <c r="F207" s="34">
        <f t="shared" si="111"/>
        <v>4.1880000000000006</v>
      </c>
      <c r="G207" s="34">
        <f t="shared" si="111"/>
        <v>4.214999999999999</v>
      </c>
      <c r="H207" s="34">
        <f t="shared" si="111"/>
        <v>4.1280000000000001</v>
      </c>
      <c r="I207" s="34">
        <f t="shared" si="111"/>
        <v>4.1779999999999999</v>
      </c>
      <c r="J207" s="34">
        <f t="shared" si="111"/>
        <v>4.1579999999999995</v>
      </c>
      <c r="K207" s="38">
        <f t="shared" ca="1" si="111"/>
        <v>4.4115048236214829</v>
      </c>
      <c r="L207" s="38">
        <f t="shared" ca="1" si="111"/>
        <v>4.5907935921854977</v>
      </c>
      <c r="M207" s="38">
        <f t="shared" ca="1" si="111"/>
        <v>4.7886578648221469</v>
      </c>
      <c r="N207" s="38">
        <f t="shared" ca="1" si="111"/>
        <v>4.9725633223018368</v>
      </c>
      <c r="O207" s="38">
        <f t="shared" ca="1" si="111"/>
        <v>5.1434688466853373</v>
      </c>
      <c r="P207" s="38">
        <f t="shared" ca="1" si="111"/>
        <v>5.3031202344891355</v>
      </c>
      <c r="Q207" s="38">
        <f t="shared" ca="1" si="111"/>
        <v>5.4638039629653008</v>
      </c>
      <c r="R207" s="38">
        <f t="shared" ca="1" si="111"/>
        <v>5.438428055602726</v>
      </c>
      <c r="S207" s="38">
        <f t="shared" ca="1" si="111"/>
        <v>5.462061272228742</v>
      </c>
      <c r="T207" s="38">
        <f t="shared" ca="1" si="111"/>
        <v>5.5567016970271093</v>
      </c>
    </row>
    <row r="208" spans="1:20" x14ac:dyDescent="0.2">
      <c r="A208" s="4" t="s">
        <v>513</v>
      </c>
      <c r="D208" s="51"/>
      <c r="E208" s="51">
        <f t="shared" ref="E208:F208" si="112">E$203/AVERAGE(D$69,E$69)</f>
        <v>3.7653524642606163E-2</v>
      </c>
      <c r="F208" s="52">
        <f t="shared" si="112"/>
        <v>3.7358323307794587E-2</v>
      </c>
      <c r="G208" s="52">
        <f t="shared" ref="G208" si="113">G$203/AVERAGE(F$69,G$69)</f>
        <v>3.7120244810438921E-2</v>
      </c>
      <c r="H208" s="52">
        <f t="shared" ref="H208" si="114">H$203/AVERAGE(G$69,H$69)</f>
        <v>3.7104676085910497E-2</v>
      </c>
      <c r="I208" s="52">
        <f t="shared" ref="I208" si="115">I$203/AVERAGE(H$69,I$69)</f>
        <v>3.7364197193863621E-2</v>
      </c>
      <c r="J208" s="52">
        <f t="shared" ref="J208" si="116">J$203/AVERAGE(I$69,J$69)</f>
        <v>3.8549442136431702E-2</v>
      </c>
      <c r="K208" s="9">
        <f ca="1">SUM(J$208,IF(K$6=OFFSET(Assumptions!$B$8,0,$C$1),ABS(OFFSET(Assumptions!$B$16,0,$C$1)-J$208)/OFFSET(Assumptions!$B$24,0,$C$1),MIN(ABS(J$208-I$208),ABS(OFFSET(Assumptions!$B$16,0,$C$1)-J$208)))*SIGN(OFFSET(Assumptions!$B$16,0,$C$1)-J$208))</f>
        <v>4.0613807545512887E-2</v>
      </c>
      <c r="L208" s="9">
        <f ca="1">SUM(K$208,IF(L$6=OFFSET(Assumptions!$B$8,0,$C$1),ABS(OFFSET(Assumptions!$B$16,0,$C$1)-K$208)/OFFSET(Assumptions!$B$24,0,$C$1),MIN(ABS(K$208-J$208),ABS(OFFSET(Assumptions!$B$16,0,$C$1)-K$208)))*SIGN(OFFSET(Assumptions!$B$16,0,$C$1)-K$208))</f>
        <v>4.2678172954594071E-2</v>
      </c>
      <c r="M208" s="9">
        <f ca="1">SUM(L$208,IF(M$6=OFFSET(Assumptions!$B$8,0,$C$1),ABS(OFFSET(Assumptions!$B$16,0,$C$1)-L$208)/OFFSET(Assumptions!$B$24,0,$C$1),MIN(ABS(L$208-K$208),ABS(OFFSET(Assumptions!$B$16,0,$C$1)-L$208)))*SIGN(OFFSET(Assumptions!$B$16,0,$C$1)-L$208))</f>
        <v>4.4742538363675255E-2</v>
      </c>
      <c r="N208" s="9">
        <f ca="1">SUM(M$208,IF(N$6=OFFSET(Assumptions!$B$8,0,$C$1),ABS(OFFSET(Assumptions!$B$16,0,$C$1)-M$208)/OFFSET(Assumptions!$B$24,0,$C$1),MIN(ABS(M$208-L$208),ABS(OFFSET(Assumptions!$B$16,0,$C$1)-M$208)))*SIGN(OFFSET(Assumptions!$B$16,0,$C$1)-M$208))</f>
        <v>4.6806903772756439E-2</v>
      </c>
      <c r="O208" s="9">
        <f ca="1">SUM(N$208,IF(O$6=OFFSET(Assumptions!$B$8,0,$C$1),ABS(OFFSET(Assumptions!$B$16,0,$C$1)-N$208)/OFFSET(Assumptions!$B$24,0,$C$1),MIN(ABS(N$208-M$208),ABS(OFFSET(Assumptions!$B$16,0,$C$1)-N$208)))*SIGN(OFFSET(Assumptions!$B$16,0,$C$1)-N$208))</f>
        <v>4.8871269181837623E-2</v>
      </c>
      <c r="P208" s="9">
        <f ca="1">SUM(O$208,IF(P$6=OFFSET(Assumptions!$B$8,0,$C$1),ABS(OFFSET(Assumptions!$B$16,0,$C$1)-O$208)/OFFSET(Assumptions!$B$24,0,$C$1),MIN(ABS(O$208-N$208),ABS(OFFSET(Assumptions!$B$16,0,$C$1)-O$208)))*SIGN(OFFSET(Assumptions!$B$16,0,$C$1)-O$208))</f>
        <v>5.0935634590918807E-2</v>
      </c>
      <c r="Q208" s="9">
        <f ca="1">SUM(P$208,IF(Q$6=OFFSET(Assumptions!$B$8,0,$C$1),ABS(OFFSET(Assumptions!$B$16,0,$C$1)-P$208)/OFFSET(Assumptions!$B$24,0,$C$1),MIN(ABS(P$208-O$208),ABS(OFFSET(Assumptions!$B$16,0,$C$1)-P$208)))*SIGN(OFFSET(Assumptions!$B$16,0,$C$1)-P$208))</f>
        <v>5.2999999999999992E-2</v>
      </c>
      <c r="R208" s="9">
        <f ca="1">SUM(Q$208,IF(R$6=OFFSET(Assumptions!$B$8,0,$C$1),ABS(OFFSET(Assumptions!$B$16,0,$C$1)-Q$208)/OFFSET(Assumptions!$B$24,0,$C$1),MIN(ABS(Q$208-P$208),ABS(OFFSET(Assumptions!$B$16,0,$C$1)-Q$208)))*SIGN(OFFSET(Assumptions!$B$16,0,$C$1)-Q$208))</f>
        <v>5.2999999999999999E-2</v>
      </c>
      <c r="S208" s="9">
        <f ca="1">SUM(R$208,IF(S$6=OFFSET(Assumptions!$B$8,0,$C$1),ABS(OFFSET(Assumptions!$B$16,0,$C$1)-R$208)/OFFSET(Assumptions!$B$24,0,$C$1),MIN(ABS(R$208-Q$208),ABS(OFFSET(Assumptions!$B$16,0,$C$1)-R$208)))*SIGN(OFFSET(Assumptions!$B$16,0,$C$1)-R$208))</f>
        <v>5.2999999999999999E-2</v>
      </c>
      <c r="T208" s="9">
        <f ca="1">SUM(S$208,IF(T$6=OFFSET(Assumptions!$B$8,0,$C$1),ABS(OFFSET(Assumptions!$B$16,0,$C$1)-S$208)/OFFSET(Assumptions!$B$24,0,$C$1),MIN(ABS(S$208-R$208),ABS(OFFSET(Assumptions!$B$16,0,$C$1)-S$208)))*SIGN(OFFSET(Assumptions!$B$16,0,$C$1)-S$208))</f>
        <v>5.2999999999999999E-2</v>
      </c>
    </row>
    <row r="209" spans="1:20" x14ac:dyDescent="0.2">
      <c r="A209" s="4"/>
      <c r="D209" s="51"/>
      <c r="E209" s="51"/>
      <c r="F209" s="52"/>
      <c r="G209" s="52"/>
      <c r="H209" s="52"/>
      <c r="I209" s="52"/>
      <c r="J209" s="52"/>
      <c r="K209" s="9"/>
      <c r="L209" s="9"/>
      <c r="M209" s="9"/>
      <c r="N209" s="9"/>
      <c r="O209" s="9"/>
      <c r="P209" s="9"/>
      <c r="Q209" s="9"/>
      <c r="R209" s="9"/>
      <c r="S209" s="9"/>
      <c r="T209" s="9"/>
    </row>
    <row r="210" spans="1:20" x14ac:dyDescent="0.2">
      <c r="A210" s="19" t="s">
        <v>154</v>
      </c>
    </row>
    <row r="211" spans="1:20" x14ac:dyDescent="0.2">
      <c r="A211" s="1" t="s">
        <v>307</v>
      </c>
      <c r="B211" s="4" t="str">
        <f t="shared" ref="B211:B227" si="117">$B$38</f>
        <v>From Fiscal</v>
      </c>
      <c r="D211" s="15">
        <f>'Fiscal Forecasts'!D$161</f>
        <v>6.0000000000000001E-3</v>
      </c>
      <c r="E211" s="15">
        <f>'Fiscal Forecasts'!E$161</f>
        <v>0</v>
      </c>
      <c r="F211" s="16">
        <f>'Fiscal Forecasts'!F$161</f>
        <v>3.0000000000000001E-3</v>
      </c>
      <c r="G211" s="16">
        <f>'Fiscal Forecasts'!G$161</f>
        <v>0</v>
      </c>
      <c r="H211" s="16">
        <f>'Fiscal Forecasts'!H$161</f>
        <v>4.0000000000000001E-3</v>
      </c>
      <c r="I211" s="16">
        <f>'Fiscal Forecasts'!I$161</f>
        <v>0</v>
      </c>
      <c r="J211" s="16">
        <f>'Fiscal Forecasts'!J$161</f>
        <v>0</v>
      </c>
      <c r="K211" s="7">
        <f ca="1">IF(K$6=OFFSET(Assumptions!$B$8,0,$C$1),0,J$211)</f>
        <v>0</v>
      </c>
      <c r="L211" s="7">
        <f ca="1">IF(L$6=OFFSET(Assumptions!$B$8,0,$C$1),0,K$211)</f>
        <v>0</v>
      </c>
      <c r="M211" s="7">
        <f ca="1">IF(M$6=OFFSET(Assumptions!$B$8,0,$C$1),0,L$211)</f>
        <v>0</v>
      </c>
      <c r="N211" s="7">
        <f ca="1">IF(N$6=OFFSET(Assumptions!$B$8,0,$C$1),0,M$211)</f>
        <v>0</v>
      </c>
      <c r="O211" s="7">
        <f ca="1">IF(O$6=OFFSET(Assumptions!$B$8,0,$C$1),0,N$211)</f>
        <v>0</v>
      </c>
      <c r="P211" s="7">
        <f ca="1">IF(P$6=OFFSET(Assumptions!$B$8,0,$C$1),0,O$211)</f>
        <v>0</v>
      </c>
      <c r="Q211" s="7">
        <f ca="1">IF(Q$6=OFFSET(Assumptions!$B$8,0,$C$1),0,P$211)</f>
        <v>0</v>
      </c>
      <c r="R211" s="7">
        <f ca="1">IF(R$6=OFFSET(Assumptions!$B$8,0,$C$1),0,Q$211)</f>
        <v>0</v>
      </c>
      <c r="S211" s="7">
        <f ca="1">IF(S$6=OFFSET(Assumptions!$B$8,0,$C$1),0,R$211)</f>
        <v>0</v>
      </c>
      <c r="T211" s="7">
        <f ca="1">IF(T$6=OFFSET(Assumptions!$B$8,0,$C$1),0,S$211)</f>
        <v>0</v>
      </c>
    </row>
    <row r="212" spans="1:20" x14ac:dyDescent="0.2">
      <c r="A212" s="1" t="s">
        <v>279</v>
      </c>
      <c r="B212" s="4" t="str">
        <f t="shared" si="117"/>
        <v>From Fiscal</v>
      </c>
      <c r="D212" s="15">
        <f>'Fiscal Forecasts'!D$190</f>
        <v>4.085</v>
      </c>
      <c r="E212" s="15">
        <f>'Fiscal Forecasts'!E$190</f>
        <v>4.7050000000000001</v>
      </c>
      <c r="F212" s="16">
        <f>'Fiscal Forecasts'!F$190</f>
        <v>5.2320000000000002</v>
      </c>
      <c r="G212" s="16">
        <f>'Fiscal Forecasts'!G$190</f>
        <v>4.5919999999999996</v>
      </c>
      <c r="H212" s="16">
        <f>'Fiscal Forecasts'!H$190</f>
        <v>5.0449999999999999</v>
      </c>
      <c r="I212" s="16">
        <f>'Fiscal Forecasts'!I$190</f>
        <v>5.617</v>
      </c>
      <c r="J212" s="16">
        <f>'Fiscal Forecasts'!J$190</f>
        <v>5.9450000000000003</v>
      </c>
      <c r="K212" s="7">
        <f ca="1">IF(K$6=OFFSET(Assumptions!$B$8,0,$C$1),AVERAGE(H$212/SUM(H$215:H$216),I$212/SUM(I$215:I$216),J$212/SUM(J$215:J$216)),J$212/SUM(J$215:J$216))*SUM(K$215:K$216)</f>
        <v>6.1833336490453101</v>
      </c>
      <c r="L212" s="7">
        <f ca="1">IF(L$6=OFFSET(Assumptions!$B$8,0,$C$1),AVERAGE(I$212/SUM(I$215:I$216),J$212/SUM(J$215:J$216),K$212/SUM(K$215:K$216)),K$212/SUM(K$215:K$216))*SUM(L$215:L$216)</f>
        <v>6.4647321457142795</v>
      </c>
      <c r="M212" s="7">
        <f ca="1">IF(M$6=OFFSET(Assumptions!$B$8,0,$C$1),AVERAGE(J$212/SUM(J$215:J$216),K$212/SUM(K$215:K$216),L$212/SUM(L$215:L$216)),L$212/SUM(L$215:L$216))*SUM(M$215:M$216)</f>
        <v>6.7731888593900935</v>
      </c>
      <c r="N212" s="7">
        <f ca="1">IF(N$6=OFFSET(Assumptions!$B$8,0,$C$1),AVERAGE(K$212/SUM(K$215:K$216),L$212/SUM(L$215:L$216),M$212/SUM(M$215:M$216)),M$212/SUM(M$215:M$216))*SUM(N$215:N$216)</f>
        <v>7.0567140634741543</v>
      </c>
      <c r="O212" s="7">
        <f ca="1">IF(O$6=OFFSET(Assumptions!$B$8,0,$C$1),AVERAGE(L$212/SUM(L$215:L$216),M$212/SUM(M$215:M$216),N$212/SUM(N$215:N$216)),N$212/SUM(N$215:N$216))*SUM(O$215:O$216)</f>
        <v>7.3532992092772824</v>
      </c>
      <c r="P212" s="7">
        <f ca="1">IF(P$6=OFFSET(Assumptions!$B$8,0,$C$1),AVERAGE(M$212/SUM(M$215:M$216),N$212/SUM(N$215:N$216),O$212/SUM(O$215:O$216)),O$212/SUM(O$215:O$216))*SUM(P$215:P$216)</f>
        <v>7.643531696918302</v>
      </c>
      <c r="Q212" s="7">
        <f ca="1">IF(Q$6=OFFSET(Assumptions!$B$8,0,$C$1),AVERAGE(N$212/SUM(N$215:N$216),O$212/SUM(O$215:O$216),P$212/SUM(P$215:P$216)),P$212/SUM(P$215:P$216))*SUM(Q$215:Q$216)</f>
        <v>7.9425785499004515</v>
      </c>
      <c r="R212" s="7">
        <f ca="1">IF(R$6=OFFSET(Assumptions!$B$8,0,$C$1),AVERAGE(O$212/SUM(O$215:O$216),P$212/SUM(P$215:P$216),Q$212/SUM(Q$215:Q$216)),Q$212/SUM(Q$215:Q$216))*SUM(R$215:R$216)</f>
        <v>8.2507996117677642</v>
      </c>
      <c r="S212" s="7">
        <f ca="1">IF(S$6=OFFSET(Assumptions!$B$8,0,$C$1),AVERAGE(P$212/SUM(P$215:P$216),Q$212/SUM(Q$215:Q$216),R$212/SUM(R$215:R$216)),R$212/SUM(R$215:R$216))*SUM(S$215:S$216)</f>
        <v>8.5686257870625759</v>
      </c>
      <c r="T212" s="7">
        <f ca="1">IF(T$6=OFFSET(Assumptions!$B$8,0,$C$1),AVERAGE(Q$212/SUM(Q$215:Q$216),R$212/SUM(R$215:R$216),S$212/SUM(S$215:S$216)),S$212/SUM(S$215:S$216))*SUM(T$215:T$216)</f>
        <v>8.8964456458656862</v>
      </c>
    </row>
    <row r="213" spans="1:20" x14ac:dyDescent="0.2">
      <c r="A213" s="1" t="s">
        <v>506</v>
      </c>
      <c r="B213" s="4" t="str">
        <f t="shared" si="117"/>
        <v>From Fiscal</v>
      </c>
      <c r="D213" s="15">
        <f>SUM('Fiscal Forecasts'!D$191:D$192)</f>
        <v>1.9E-2</v>
      </c>
      <c r="E213" s="15">
        <f>SUM('Fiscal Forecasts'!E$191:E$192)</f>
        <v>1.9999999999999997E-2</v>
      </c>
      <c r="F213" s="16">
        <f>SUM('Fiscal Forecasts'!F$191:F$192)</f>
        <v>5.0000000000000001E-3</v>
      </c>
      <c r="G213" s="16">
        <f>SUM('Fiscal Forecasts'!G$191:G$192)</f>
        <v>6.0000000000000001E-3</v>
      </c>
      <c r="H213" s="16">
        <f>SUM('Fiscal Forecasts'!H$191:H$192)</f>
        <v>2E-3</v>
      </c>
      <c r="I213" s="16">
        <f>SUM('Fiscal Forecasts'!I$191:I$192)</f>
        <v>6.0000000000000001E-3</v>
      </c>
      <c r="J213" s="16">
        <f>SUM('Fiscal Forecasts'!J$191:J$192)</f>
        <v>6.0000000000000001E-3</v>
      </c>
      <c r="K213" s="7">
        <f ca="1">SUM(K$215:K216,-K$212)</f>
        <v>6.7330667105078845E-3</v>
      </c>
      <c r="L213" s="7">
        <f ca="1">SUM(L$215:L216,-L$212)</f>
        <v>7.039483112702527E-3</v>
      </c>
      <c r="M213" s="7">
        <f ca="1">SUM(M$215:M216,-M$212)</f>
        <v>7.375363359243714E-3</v>
      </c>
      <c r="N213" s="7">
        <f ca="1">SUM(N$215:N216,-N$212)</f>
        <v>7.6840955450769854E-3</v>
      </c>
      <c r="O213" s="7">
        <f ca="1">SUM(O$215:O216,-O$212)</f>
        <v>8.0070487747390118E-3</v>
      </c>
      <c r="P213" s="7">
        <f ca="1">SUM(P$215:P216,-P$212)</f>
        <v>8.3230845592785485E-3</v>
      </c>
      <c r="Q213" s="7">
        <f ca="1">SUM(Q$215:Q216,-Q$212)</f>
        <v>8.6487183557029113E-3</v>
      </c>
      <c r="R213" s="7">
        <f ca="1">SUM(R$215:R216,-R$212)</f>
        <v>8.9843419996658014E-3</v>
      </c>
      <c r="S213" s="7">
        <f ca="1">SUM(S$215:S216,-S$212)</f>
        <v>9.3304247055439049E-3</v>
      </c>
      <c r="T213" s="7">
        <f ca="1">SUM(T$215:T216,-T$212)</f>
        <v>9.6873895894766804E-3</v>
      </c>
    </row>
    <row r="214" spans="1:20" ht="15" x14ac:dyDescent="0.25">
      <c r="A214" s="2" t="s">
        <v>514</v>
      </c>
      <c r="D214" s="35">
        <f t="shared" ref="D214:T214" si="118">SUM(D$211:D$213)</f>
        <v>4.1100000000000003</v>
      </c>
      <c r="E214" s="35">
        <f t="shared" si="118"/>
        <v>4.7249999999999996</v>
      </c>
      <c r="F214" s="34">
        <f t="shared" si="118"/>
        <v>5.24</v>
      </c>
      <c r="G214" s="34">
        <f t="shared" si="118"/>
        <v>4.5979999999999999</v>
      </c>
      <c r="H214" s="34">
        <f t="shared" si="118"/>
        <v>5.0509999999999993</v>
      </c>
      <c r="I214" s="34">
        <f t="shared" si="118"/>
        <v>5.6230000000000002</v>
      </c>
      <c r="J214" s="34">
        <f t="shared" si="118"/>
        <v>5.9510000000000005</v>
      </c>
      <c r="K214" s="38">
        <f t="shared" ca="1" si="118"/>
        <v>6.190066715755818</v>
      </c>
      <c r="L214" s="38">
        <f t="shared" ca="1" si="118"/>
        <v>6.471771628826982</v>
      </c>
      <c r="M214" s="38">
        <f t="shared" ca="1" si="118"/>
        <v>6.7805642227493372</v>
      </c>
      <c r="N214" s="38">
        <f t="shared" ca="1" si="118"/>
        <v>7.0643981590192313</v>
      </c>
      <c r="O214" s="38">
        <f t="shared" ca="1" si="118"/>
        <v>7.3613062580520214</v>
      </c>
      <c r="P214" s="38">
        <f t="shared" ca="1" si="118"/>
        <v>7.6518547814775806</v>
      </c>
      <c r="Q214" s="38">
        <f t="shared" ca="1" si="118"/>
        <v>7.9512272682561544</v>
      </c>
      <c r="R214" s="38">
        <f t="shared" ca="1" si="118"/>
        <v>8.25978395376743</v>
      </c>
      <c r="S214" s="38">
        <f t="shared" ca="1" si="118"/>
        <v>8.5779562117681198</v>
      </c>
      <c r="T214" s="38">
        <f t="shared" ca="1" si="118"/>
        <v>8.9061330354551629</v>
      </c>
    </row>
    <row r="215" spans="1:20" x14ac:dyDescent="0.2">
      <c r="A215" s="1" t="s">
        <v>515</v>
      </c>
      <c r="B215" s="4" t="str">
        <f t="shared" si="117"/>
        <v>From Fiscal</v>
      </c>
      <c r="D215" s="15">
        <f>'Fiscal Forecasts'!D$258</f>
        <v>4.1040000000000001</v>
      </c>
      <c r="E215" s="15">
        <f>'Fiscal Forecasts'!E$258</f>
        <v>4.1660000000000004</v>
      </c>
      <c r="F215" s="16">
        <f>'Fiscal Forecasts'!F$258</f>
        <v>4.5970000000000004</v>
      </c>
      <c r="G215" s="16">
        <f>'Fiscal Forecasts'!G$258</f>
        <v>4.7990000000000004</v>
      </c>
      <c r="H215" s="16">
        <f>'Fiscal Forecasts'!H$258</f>
        <v>4.968</v>
      </c>
      <c r="I215" s="16">
        <f>'Fiscal Forecasts'!I$258</f>
        <v>5.415</v>
      </c>
      <c r="J215" s="16">
        <f>'Fiscal Forecasts'!J$258</f>
        <v>5.7430000000000003</v>
      </c>
      <c r="K215" s="7">
        <f>J$215*Exogenous!R$25/Exogenous!Q$25</f>
        <v>6.0110561326782772</v>
      </c>
      <c r="L215" s="7">
        <f>K$215*Exogenous!S$25/Exogenous!R$25</f>
        <v>6.2849072373734414</v>
      </c>
      <c r="M215" s="7">
        <f>L$215*Exogenous!T$25/Exogenous!S$25</f>
        <v>6.5855338953505189</v>
      </c>
      <c r="N215" s="7">
        <f>M$215*Exogenous!U$25/Exogenous!T$25</f>
        <v>6.8608542665942522</v>
      </c>
      <c r="O215" s="7">
        <f>N$215*Exogenous!V$25/Exogenous!U$25</f>
        <v>7.1489656955488066</v>
      </c>
      <c r="P215" s="7">
        <f>O$215*Exogenous!W$25/Exogenous!V$25</f>
        <v>7.4303997016919583</v>
      </c>
      <c r="Q215" s="7">
        <f>P$215*Exogenous!X$25/Exogenous!W$25</f>
        <v>7.7203539210845937</v>
      </c>
      <c r="R215" s="7">
        <f>Q$215*Exogenous!Y$25/Exogenous!X$25</f>
        <v>8.0191990912873301</v>
      </c>
      <c r="S215" s="7">
        <f>R$215*Exogenous!Z$25/Exogenous!Y$25</f>
        <v>8.3273225031034706</v>
      </c>
      <c r="T215" s="7">
        <f>S$215*Exogenous!AA$25/Exogenous!Z$25</f>
        <v>8.6451287552818847</v>
      </c>
    </row>
    <row r="216" spans="1:20" x14ac:dyDescent="0.2">
      <c r="A216" s="1" t="s">
        <v>516</v>
      </c>
      <c r="B216" s="4" t="str">
        <f t="shared" si="117"/>
        <v>From Fiscal</v>
      </c>
      <c r="D216" s="15">
        <f>SUM('Fiscal Forecasts'!D$259:D$260)</f>
        <v>6.0000000000000053E-3</v>
      </c>
      <c r="E216" s="15">
        <f>SUM('Fiscal Forecasts'!E$259:E$260)</f>
        <v>0.55900000000000005</v>
      </c>
      <c r="F216" s="16">
        <f>SUM('Fiscal Forecasts'!F$259:F$260)</f>
        <v>0.64300000000000002</v>
      </c>
      <c r="G216" s="16">
        <f>SUM('Fiscal Forecasts'!G$259:G$260)</f>
        <v>-0.20099999999999998</v>
      </c>
      <c r="H216" s="16">
        <f>SUM('Fiscal Forecasts'!H$259:H$260)</f>
        <v>8.299999999999999E-2</v>
      </c>
      <c r="I216" s="16">
        <f>SUM('Fiscal Forecasts'!I$259:I$260)</f>
        <v>0.20800000000000002</v>
      </c>
      <c r="J216" s="16">
        <f>SUM('Fiscal Forecasts'!J$259:J$260)</f>
        <v>0.20800000000000002</v>
      </c>
      <c r="K216" s="7">
        <f ca="1">IF(K$6=OFFSET(Assumptions!$B$8,0,$C$1),AVERAGE(H$216/H$13,I$216/I$13,J$216/J$13),J$216/J$13)*K$13</f>
        <v>0.17901058307754064</v>
      </c>
      <c r="L216" s="7">
        <f ca="1">IF(L$6=OFFSET(Assumptions!$B$8,0,$C$1),AVERAGE(I$216/I$13,J$216/J$13,K$216/K$13),K$216/K$13)*L$13</f>
        <v>0.1868643914535407</v>
      </c>
      <c r="M216" s="7">
        <f ca="1">IF(M$6=OFFSET(Assumptions!$B$8,0,$C$1),AVERAGE(J$216/J$13,K$216/K$13,L$216/L$13),L$216/L$13)*M$13</f>
        <v>0.1950303273988187</v>
      </c>
      <c r="N216" s="7">
        <f ca="1">IF(N$6=OFFSET(Assumptions!$B$8,0,$C$1),AVERAGE(K$216/K$13,L$216/L$13,M$216/M$13),M$216/M$13)*N$13</f>
        <v>0.20354389242497881</v>
      </c>
      <c r="O216" s="7">
        <f ca="1">IF(O$6=OFFSET(Assumptions!$B$8,0,$C$1),AVERAGE(L$216/L$13,M$216/M$13,N$216/N$13),N$216/N$13)*O$13</f>
        <v>0.21234056250321479</v>
      </c>
      <c r="P216" s="7">
        <f ca="1">IF(P$6=OFFSET(Assumptions!$B$8,0,$C$1),AVERAGE(M$216/M$13,N$216/N$13,O$216/O$13),O$216/O$13)*P$13</f>
        <v>0.22145507978562259</v>
      </c>
      <c r="Q216" s="7">
        <f ca="1">IF(Q$6=OFFSET(Assumptions!$B$8,0,$C$1),AVERAGE(N$216/N$13,O$216/O$13,P$216/P$13),P$216/P$13)*Q$13</f>
        <v>0.23087334717156094</v>
      </c>
      <c r="R216" s="7">
        <f ca="1">IF(R$6=OFFSET(Assumptions!$B$8,0,$C$1),AVERAGE(O$216/O$13,P$216/P$13,Q$216/Q$13),Q$216/Q$13)*R$13</f>
        <v>0.2405848624800995</v>
      </c>
      <c r="S216" s="7">
        <f ca="1">IF(S$6=OFFSET(Assumptions!$B$8,0,$C$1),AVERAGE(P$216/P$13,Q$216/Q$13,R$216/R$13),R$216/R$13)*S$13</f>
        <v>0.25063370866464951</v>
      </c>
      <c r="T216" s="7">
        <f ca="1">IF(T$6=OFFSET(Assumptions!$B$8,0,$C$1),AVERAGE(Q$216/Q$13,R$216/R$13,S$216/S$13),S$216/S$13)*T$13</f>
        <v>0.26100428017327898</v>
      </c>
    </row>
    <row r="217" spans="1:20" x14ac:dyDescent="0.2">
      <c r="B217" s="4"/>
      <c r="D217" s="15"/>
      <c r="E217" s="15"/>
      <c r="F217" s="16"/>
      <c r="G217" s="16"/>
      <c r="H217" s="16"/>
      <c r="I217" s="16"/>
      <c r="J217" s="16"/>
      <c r="K217" s="7"/>
      <c r="L217" s="7"/>
      <c r="M217" s="7"/>
      <c r="N217" s="7"/>
      <c r="O217" s="7"/>
      <c r="P217" s="7"/>
      <c r="Q217" s="7"/>
      <c r="R217" s="7"/>
      <c r="S217" s="7"/>
      <c r="T217" s="7"/>
    </row>
    <row r="218" spans="1:20" x14ac:dyDescent="0.2">
      <c r="A218" s="19" t="s">
        <v>597</v>
      </c>
    </row>
    <row r="219" spans="1:20" ht="15" x14ac:dyDescent="0.25">
      <c r="A219" s="2" t="s">
        <v>517</v>
      </c>
      <c r="B219" s="4"/>
      <c r="D219" s="40">
        <f>SUM($D$220:D$220)</f>
        <v>0</v>
      </c>
      <c r="E219" s="40">
        <f>SUM($D$220:E$220)</f>
        <v>0</v>
      </c>
      <c r="F219" s="39">
        <f>SUM($D$220:F$220)</f>
        <v>0</v>
      </c>
      <c r="G219" s="39">
        <f>SUM($D$220:G$220)</f>
        <v>0.49199999999999999</v>
      </c>
      <c r="H219" s="39">
        <f>SUM($D$220:H$220)</f>
        <v>2.0339999999999998</v>
      </c>
      <c r="I219" s="39">
        <f>SUM($D$220:I$220)</f>
        <v>3.746</v>
      </c>
      <c r="J219" s="39">
        <f>SUM($D$220:J$220)</f>
        <v>5.4950000000000001</v>
      </c>
      <c r="K219" s="8">
        <f ca="1">IF(OFFSET(Assumptions!$B$57,0,$C$1)="Yes",0,SUM($D$220:K$220))</f>
        <v>7.4950000000000001</v>
      </c>
      <c r="L219" s="8">
        <f ca="1">IF(OFFSET(Assumptions!$B$57,0,$C$1)="Yes",0,SUM($D$220:L$220))</f>
        <v>9.5749999999999993</v>
      </c>
      <c r="M219" s="8">
        <f ca="1">IF(OFFSET(Assumptions!$B$57,0,$C$1)="Yes",0,SUM($D$220:M$220))</f>
        <v>11.738199999999999</v>
      </c>
      <c r="N219" s="8">
        <f ca="1">IF(OFFSET(Assumptions!$B$57,0,$C$1)="Yes",0,SUM($D$220:N$220))</f>
        <v>13.987928</v>
      </c>
      <c r="O219" s="8">
        <f ca="1">IF(OFFSET(Assumptions!$B$57,0,$C$1)="Yes",0,SUM($D$220:O$220))</f>
        <v>16.32764512</v>
      </c>
      <c r="P219" s="8">
        <f ca="1">IF(OFFSET(Assumptions!$B$57,0,$C$1)="Yes",0,SUM($D$220:P$220))</f>
        <v>18.760950924799999</v>
      </c>
      <c r="Q219" s="8">
        <f ca="1">IF(OFFSET(Assumptions!$B$57,0,$C$1)="Yes",0,SUM($D$220:Q$220))</f>
        <v>21.291588961792002</v>
      </c>
      <c r="R219" s="8">
        <f ca="1">IF(OFFSET(Assumptions!$B$57,0,$C$1)="Yes",0,SUM($D$220:R$220))</f>
        <v>23.923452520263684</v>
      </c>
      <c r="S219" s="8">
        <f ca="1">IF(OFFSET(Assumptions!$B$57,0,$C$1)="Yes",0,SUM($D$220:S$220))</f>
        <v>26.660590621074231</v>
      </c>
      <c r="T219" s="8">
        <f ca="1">IF(OFFSET(Assumptions!$B$57,0,$C$1)="Yes",0,SUM($D$220:T$220))</f>
        <v>29.507214245917201</v>
      </c>
    </row>
    <row r="220" spans="1:20" x14ac:dyDescent="0.2">
      <c r="A220" s="1" t="s">
        <v>894</v>
      </c>
      <c r="B220" s="4" t="str">
        <f t="shared" si="117"/>
        <v>From Fiscal</v>
      </c>
      <c r="D220" s="15">
        <f>'Fiscal Forecasts'!D$21-'Fiscal Forecasts'!C$21</f>
        <v>0</v>
      </c>
      <c r="E220" s="15">
        <f>'Fiscal Forecasts'!E$21-'Fiscal Forecasts'!D$21</f>
        <v>0</v>
      </c>
      <c r="F220" s="16">
        <f>'Fiscal Forecasts'!F$21-'Fiscal Forecasts'!E$21</f>
        <v>0</v>
      </c>
      <c r="G220" s="16">
        <f>'Fiscal Forecasts'!G$21-'Fiscal Forecasts'!F$21</f>
        <v>0.49199999999999999</v>
      </c>
      <c r="H220" s="16">
        <f>'Fiscal Forecasts'!H$21-'Fiscal Forecasts'!G$21</f>
        <v>1.5419999999999998</v>
      </c>
      <c r="I220" s="16">
        <f>'Fiscal Forecasts'!I$21-'Fiscal Forecasts'!H$21</f>
        <v>1.7120000000000002</v>
      </c>
      <c r="J220" s="16">
        <f>'Fiscal Forecasts'!J$21-'Fiscal Forecasts'!I$21</f>
        <v>1.7490000000000001</v>
      </c>
      <c r="K220" s="7">
        <f ca="1">IF(AND(OFFSET(Assumptions!$B$87,0,$C$1)="Yes",K$6&gt;=OFFSET(Assumptions!$B$88,0,$C$1)),K$221*K$13,IF(K$6=OFFSET(Assumptions!$B$8,0,$C$1),OFFSET(Assumptions!$B$55,0,$C$1),J$220*(1+OFFSET(Assumptions!$B$56,0,$C$1))))</f>
        <v>2</v>
      </c>
      <c r="L220" s="7">
        <f ca="1">IF(AND(OFFSET(Assumptions!$B$87,0,$C$1)="Yes",L$6&gt;=OFFSET(Assumptions!$B$88,0,$C$1)),L$221*L$13,IF(L$6=OFFSET(Assumptions!$B$8,0,$C$1),OFFSET(Assumptions!$B$55,0,$C$1),K$220*(1+OFFSET(Assumptions!$B$56,0,$C$1))))</f>
        <v>2.08</v>
      </c>
      <c r="M220" s="7">
        <f ca="1">IF(AND(OFFSET(Assumptions!$B$87,0,$C$1)="Yes",M$6&gt;=OFFSET(Assumptions!$B$88,0,$C$1)),M$221*M$13,IF(M$6=OFFSET(Assumptions!$B$8,0,$C$1),OFFSET(Assumptions!$B$55,0,$C$1),L$220*(1+OFFSET(Assumptions!$B$56,0,$C$1))))</f>
        <v>2.1632000000000002</v>
      </c>
      <c r="N220" s="7">
        <f ca="1">IF(AND(OFFSET(Assumptions!$B$87,0,$C$1)="Yes",N$6&gt;=OFFSET(Assumptions!$B$88,0,$C$1)),N$221*N$13,IF(N$6=OFFSET(Assumptions!$B$8,0,$C$1),OFFSET(Assumptions!$B$55,0,$C$1),M$220*(1+OFFSET(Assumptions!$B$56,0,$C$1))))</f>
        <v>2.2497280000000002</v>
      </c>
      <c r="O220" s="7">
        <f ca="1">IF(AND(OFFSET(Assumptions!$B$87,0,$C$1)="Yes",O$6&gt;=OFFSET(Assumptions!$B$88,0,$C$1)),O$221*O$13,IF(O$6=OFFSET(Assumptions!$B$8,0,$C$1),OFFSET(Assumptions!$B$55,0,$C$1),N$220*(1+OFFSET(Assumptions!$B$56,0,$C$1))))</f>
        <v>2.3397171200000004</v>
      </c>
      <c r="P220" s="7">
        <f ca="1">IF(AND(OFFSET(Assumptions!$B$87,0,$C$1)="Yes",P$6&gt;=OFFSET(Assumptions!$B$88,0,$C$1)),P$221*P$13,IF(P$6=OFFSET(Assumptions!$B$8,0,$C$1),OFFSET(Assumptions!$B$55,0,$C$1),O$220*(1+OFFSET(Assumptions!$B$56,0,$C$1))))</f>
        <v>2.4333058048000007</v>
      </c>
      <c r="Q220" s="7">
        <f ca="1">IF(AND(OFFSET(Assumptions!$B$87,0,$C$1)="Yes",Q$6&gt;=OFFSET(Assumptions!$B$88,0,$C$1)),Q$221*Q$13,IF(Q$6=OFFSET(Assumptions!$B$8,0,$C$1),OFFSET(Assumptions!$B$55,0,$C$1),P$220*(1+OFFSET(Assumptions!$B$56,0,$C$1))))</f>
        <v>2.5306380369920007</v>
      </c>
      <c r="R220" s="7">
        <f ca="1">IF(AND(OFFSET(Assumptions!$B$87,0,$C$1)="Yes",R$6&gt;=OFFSET(Assumptions!$B$88,0,$C$1)),R$221*R$13,IF(R$6=OFFSET(Assumptions!$B$8,0,$C$1),OFFSET(Assumptions!$B$55,0,$C$1),Q$220*(1+OFFSET(Assumptions!$B$56,0,$C$1))))</f>
        <v>2.631863558471681</v>
      </c>
      <c r="S220" s="7">
        <f ca="1">IF(AND(OFFSET(Assumptions!$B$87,0,$C$1)="Yes",S$6&gt;=OFFSET(Assumptions!$B$88,0,$C$1)),S$221*S$13,IF(S$6=OFFSET(Assumptions!$B$8,0,$C$1),OFFSET(Assumptions!$B$55,0,$C$1),R$220*(1+OFFSET(Assumptions!$B$56,0,$C$1))))</f>
        <v>2.7371381008105482</v>
      </c>
      <c r="T220" s="7">
        <f ca="1">IF(AND(OFFSET(Assumptions!$B$87,0,$C$1)="Yes",T$6&gt;=OFFSET(Assumptions!$B$88,0,$C$1)),T$221*T$13,IF(T$6=OFFSET(Assumptions!$B$8,0,$C$1),OFFSET(Assumptions!$B$55,0,$C$1),S$220*(1+OFFSET(Assumptions!$B$56,0,$C$1))))</f>
        <v>2.8466236248429704</v>
      </c>
    </row>
    <row r="221" spans="1:20" x14ac:dyDescent="0.2">
      <c r="A221" s="1" t="s">
        <v>869</v>
      </c>
      <c r="B221" s="4"/>
      <c r="D221" s="51">
        <f t="shared" ref="D221:J221" si="119">D$220/D$13</f>
        <v>0</v>
      </c>
      <c r="E221" s="51">
        <f t="shared" si="119"/>
        <v>0</v>
      </c>
      <c r="F221" s="52">
        <f t="shared" si="119"/>
        <v>0</v>
      </c>
      <c r="G221" s="52">
        <f t="shared" si="119"/>
        <v>1.7408164853905869E-3</v>
      </c>
      <c r="H221" s="52">
        <f t="shared" si="119"/>
        <v>5.1998327420855976E-3</v>
      </c>
      <c r="I221" s="52">
        <f t="shared" si="119"/>
        <v>5.5129241361099755E-3</v>
      </c>
      <c r="J221" s="52">
        <f t="shared" si="119"/>
        <v>5.41084024254424E-3</v>
      </c>
      <c r="K221" s="9">
        <f ca="1">IF(J$76/J$13-OFFSET(Assumptions!$B$89,0,$C$1)&gt;OFFSET(Assumptions!$B$90,0,$C$1),OFFSET(Assumptions!$B$91,0,$C$1),IF(J$76/J$13-OFFSET(Assumptions!$B$89,0,$C$1)&lt;-OFFSET(Assumptions!$B$90,0,$C$1),OFFSET(Assumptions!$B$93,0,$C$1),OFFSET(Assumptions!$B$92,0,$C$1)))</f>
        <v>5.0000000000000001E-3</v>
      </c>
      <c r="L221" s="9">
        <f ca="1">IF(K$76/K$13-OFFSET(Assumptions!$B$89,0,$C$1)&gt;OFFSET(Assumptions!$B$90,0,$C$1),OFFSET(Assumptions!$B$91,0,$C$1),IF(K$76/K$13-OFFSET(Assumptions!$B$89,0,$C$1)&lt;-OFFSET(Assumptions!$B$90,0,$C$1),OFFSET(Assumptions!$B$93,0,$C$1),OFFSET(Assumptions!$B$92,0,$C$1)))</f>
        <v>5.0000000000000001E-3</v>
      </c>
      <c r="M221" s="9">
        <f ca="1">IF(L$76/L$13-OFFSET(Assumptions!$B$89,0,$C$1)&gt;OFFSET(Assumptions!$B$90,0,$C$1),OFFSET(Assumptions!$B$91,0,$C$1),IF(L$76/L$13-OFFSET(Assumptions!$B$89,0,$C$1)&lt;-OFFSET(Assumptions!$B$90,0,$C$1),OFFSET(Assumptions!$B$93,0,$C$1),OFFSET(Assumptions!$B$92,0,$C$1)))</f>
        <v>7.4999999999999997E-3</v>
      </c>
      <c r="N221" s="9">
        <f ca="1">IF(M$76/M$13-OFFSET(Assumptions!$B$89,0,$C$1)&gt;OFFSET(Assumptions!$B$90,0,$C$1),OFFSET(Assumptions!$B$91,0,$C$1),IF(M$76/M$13-OFFSET(Assumptions!$B$89,0,$C$1)&lt;-OFFSET(Assumptions!$B$90,0,$C$1),OFFSET(Assumptions!$B$93,0,$C$1),OFFSET(Assumptions!$B$92,0,$C$1)))</f>
        <v>7.4999999999999997E-3</v>
      </c>
      <c r="O221" s="9">
        <f ca="1">IF(N$76/N$13-OFFSET(Assumptions!$B$89,0,$C$1)&gt;OFFSET(Assumptions!$B$90,0,$C$1),OFFSET(Assumptions!$B$91,0,$C$1),IF(N$76/N$13-OFFSET(Assumptions!$B$89,0,$C$1)&lt;-OFFSET(Assumptions!$B$90,0,$C$1),OFFSET(Assumptions!$B$93,0,$C$1),OFFSET(Assumptions!$B$92,0,$C$1)))</f>
        <v>7.4999999999999997E-3</v>
      </c>
      <c r="P221" s="9">
        <f ca="1">IF(O$76/O$13-OFFSET(Assumptions!$B$89,0,$C$1)&gt;OFFSET(Assumptions!$B$90,0,$C$1),OFFSET(Assumptions!$B$91,0,$C$1),IF(O$76/O$13-OFFSET(Assumptions!$B$89,0,$C$1)&lt;-OFFSET(Assumptions!$B$90,0,$C$1),OFFSET(Assumptions!$B$93,0,$C$1),OFFSET(Assumptions!$B$92,0,$C$1)))</f>
        <v>7.4999999999999997E-3</v>
      </c>
      <c r="Q221" s="9">
        <f ca="1">IF(P$76/P$13-OFFSET(Assumptions!$B$89,0,$C$1)&gt;OFFSET(Assumptions!$B$90,0,$C$1),OFFSET(Assumptions!$B$91,0,$C$1),IF(P$76/P$13-OFFSET(Assumptions!$B$89,0,$C$1)&lt;-OFFSET(Assumptions!$B$90,0,$C$1),OFFSET(Assumptions!$B$93,0,$C$1),OFFSET(Assumptions!$B$92,0,$C$1)))</f>
        <v>7.4999999999999997E-3</v>
      </c>
      <c r="R221" s="9">
        <f ca="1">IF(Q$76/Q$13-OFFSET(Assumptions!$B$89,0,$C$1)&gt;OFFSET(Assumptions!$B$90,0,$C$1),OFFSET(Assumptions!$B$91,0,$C$1),IF(Q$76/Q$13-OFFSET(Assumptions!$B$89,0,$C$1)&lt;-OFFSET(Assumptions!$B$90,0,$C$1),OFFSET(Assumptions!$B$93,0,$C$1),OFFSET(Assumptions!$B$92,0,$C$1)))</f>
        <v>7.4999999999999997E-3</v>
      </c>
      <c r="S221" s="9">
        <f ca="1">IF(R$76/R$13-OFFSET(Assumptions!$B$89,0,$C$1)&gt;OFFSET(Assumptions!$B$90,0,$C$1),OFFSET(Assumptions!$B$91,0,$C$1),IF(R$76/R$13-OFFSET(Assumptions!$B$89,0,$C$1)&lt;-OFFSET(Assumptions!$B$90,0,$C$1),OFFSET(Assumptions!$B$93,0,$C$1),OFFSET(Assumptions!$B$92,0,$C$1)))</f>
        <v>7.4999999999999997E-3</v>
      </c>
      <c r="T221" s="9">
        <f ca="1">IF(S$76/S$13-OFFSET(Assumptions!$B$89,0,$C$1)&gt;OFFSET(Assumptions!$B$90,0,$C$1),OFFSET(Assumptions!$B$91,0,$C$1),IF(S$76/S$13-OFFSET(Assumptions!$B$89,0,$C$1)&lt;-OFFSET(Assumptions!$B$90,0,$C$1),OFFSET(Assumptions!$B$93,0,$C$1),OFFSET(Assumptions!$B$92,0,$C$1)))</f>
        <v>7.4999999999999997E-3</v>
      </c>
    </row>
    <row r="222" spans="1:20" ht="15" x14ac:dyDescent="0.25">
      <c r="A222" s="2" t="s">
        <v>156</v>
      </c>
      <c r="B222" s="4"/>
      <c r="D222" s="40">
        <f>SUM($D$223:D$223)</f>
        <v>0</v>
      </c>
      <c r="E222" s="40">
        <f>SUM($D$223:E$223)</f>
        <v>0</v>
      </c>
      <c r="F222" s="39">
        <f>SUM($D$223:F$223)</f>
        <v>0</v>
      </c>
      <c r="G222" s="39">
        <f>SUM($D$223:G$223)</f>
        <v>-1.175</v>
      </c>
      <c r="H222" s="39">
        <f>SUM($D$223:H$223)</f>
        <v>-0.56999999999999995</v>
      </c>
      <c r="I222" s="39">
        <f>SUM($D$223:I$223)</f>
        <v>-0.52500000000000002</v>
      </c>
      <c r="J222" s="39">
        <f>SUM($D$223:J$223)</f>
        <v>-0.5</v>
      </c>
      <c r="K222" s="8">
        <f ca="1">IF(OFFSET(Assumptions!$B$57,0,$C$1)="Yes",0,SUM($D$223:K$223))</f>
        <v>-0.52</v>
      </c>
      <c r="L222" s="8">
        <f ca="1">IF(OFFSET(Assumptions!$B$57,0,$C$1)="Yes",0,SUM($D$223:L$223))</f>
        <v>-0.54080000000000006</v>
      </c>
      <c r="M222" s="8">
        <f ca="1">IF(OFFSET(Assumptions!$B$57,0,$C$1)="Yes",0,SUM($D$223:M$223))</f>
        <v>-0.56243200000000004</v>
      </c>
      <c r="N222" s="8">
        <f ca="1">IF(OFFSET(Assumptions!$B$57,0,$C$1)="Yes",0,SUM($D$223:N$223))</f>
        <v>-0.58492928</v>
      </c>
      <c r="O222" s="8">
        <f ca="1">IF(OFFSET(Assumptions!$B$57,0,$C$1)="Yes",0,SUM($D$223:O$223))</f>
        <v>-0.60832645119999995</v>
      </c>
      <c r="P222" s="8">
        <f ca="1">IF(OFFSET(Assumptions!$B$57,0,$C$1)="Yes",0,SUM($D$223:P$223))</f>
        <v>-0.63265950924799996</v>
      </c>
      <c r="Q222" s="8">
        <f ca="1">IF(OFFSET(Assumptions!$B$57,0,$C$1)="Yes",0,SUM($D$223:Q$223))</f>
        <v>-0.65796588961791991</v>
      </c>
      <c r="R222" s="8">
        <f ca="1">IF(OFFSET(Assumptions!$B$57,0,$C$1)="Yes",0,SUM($D$223:R$223))</f>
        <v>-0.68428452520263672</v>
      </c>
      <c r="S222" s="8">
        <f ca="1">IF(OFFSET(Assumptions!$B$57,0,$C$1)="Yes",0,SUM($D$223:S$223))</f>
        <v>-0.71165590621074215</v>
      </c>
      <c r="T222" s="8">
        <f ca="1">IF(OFFSET(Assumptions!$B$57,0,$C$1)="Yes",0,SUM($D$223:T$223))</f>
        <v>-0.74012214245917185</v>
      </c>
    </row>
    <row r="223" spans="1:20" x14ac:dyDescent="0.2">
      <c r="A223" s="1" t="s">
        <v>895</v>
      </c>
      <c r="B223" s="4" t="str">
        <f t="shared" si="117"/>
        <v>From Fiscal</v>
      </c>
      <c r="D223" s="15">
        <f>'Fiscal Forecasts'!D$22-'Fiscal Forecasts'!C$22</f>
        <v>0</v>
      </c>
      <c r="E223" s="15">
        <f>'Fiscal Forecasts'!E$22-'Fiscal Forecasts'!D$22</f>
        <v>0</v>
      </c>
      <c r="F223" s="16">
        <f>'Fiscal Forecasts'!F$22-'Fiscal Forecasts'!E$22</f>
        <v>0</v>
      </c>
      <c r="G223" s="16">
        <f>'Fiscal Forecasts'!G$22-'Fiscal Forecasts'!F$22</f>
        <v>-1.175</v>
      </c>
      <c r="H223" s="16">
        <f>'Fiscal Forecasts'!H$22-'Fiscal Forecasts'!G$22</f>
        <v>0.60500000000000009</v>
      </c>
      <c r="I223" s="16">
        <f>'Fiscal Forecasts'!I$22-'Fiscal Forecasts'!H$22</f>
        <v>4.4999999999999929E-2</v>
      </c>
      <c r="J223" s="16">
        <f>'Fiscal Forecasts'!J$22-'Fiscal Forecasts'!I$22</f>
        <v>2.5000000000000022E-2</v>
      </c>
      <c r="K223" s="7">
        <f ca="1">SUM($D$223:J$223)*OFFSET(Assumptions!$B$56,0,$C$1)</f>
        <v>-0.02</v>
      </c>
      <c r="L223" s="7">
        <f ca="1">SUM($D$223:K$223)*OFFSET(Assumptions!$B$56,0,$C$1)</f>
        <v>-2.0800000000000003E-2</v>
      </c>
      <c r="M223" s="7">
        <f ca="1">SUM($D$223:L$223)*OFFSET(Assumptions!$B$56,0,$C$1)</f>
        <v>-2.1632000000000002E-2</v>
      </c>
      <c r="N223" s="7">
        <f ca="1">SUM($D$223:M$223)*OFFSET(Assumptions!$B$56,0,$C$1)</f>
        <v>-2.2497280000000001E-2</v>
      </c>
      <c r="O223" s="7">
        <f ca="1">SUM($D$223:N$223)*OFFSET(Assumptions!$B$56,0,$C$1)</f>
        <v>-2.3397171200000001E-2</v>
      </c>
      <c r="P223" s="7">
        <f ca="1">SUM($D$223:O$223)*OFFSET(Assumptions!$B$56,0,$C$1)</f>
        <v>-2.4333058047999997E-2</v>
      </c>
      <c r="Q223" s="7">
        <f ca="1">SUM($D$223:P$223)*OFFSET(Assumptions!$B$56,0,$C$1)</f>
        <v>-2.5306380369920001E-2</v>
      </c>
      <c r="R223" s="7">
        <f ca="1">SUM($D$223:Q$223)*OFFSET(Assumptions!$B$56,0,$C$1)</f>
        <v>-2.6318635584716796E-2</v>
      </c>
      <c r="S223" s="7">
        <f ca="1">SUM($D$223:R$223)*OFFSET(Assumptions!$B$56,0,$C$1)</f>
        <v>-2.7371381008105468E-2</v>
      </c>
      <c r="T223" s="7">
        <f ca="1">SUM($D$223:S$223)*OFFSET(Assumptions!$B$56,0,$C$1)</f>
        <v>-2.8466236248429685E-2</v>
      </c>
    </row>
    <row r="224" spans="1:20" x14ac:dyDescent="0.2">
      <c r="B224" s="4"/>
      <c r="D224" s="15"/>
      <c r="E224" s="15"/>
      <c r="F224" s="16"/>
      <c r="G224" s="16"/>
      <c r="H224" s="16"/>
      <c r="I224" s="16"/>
      <c r="J224" s="16"/>
      <c r="K224" s="7"/>
      <c r="L224" s="7"/>
      <c r="M224" s="7"/>
      <c r="N224" s="7"/>
      <c r="O224" s="7"/>
      <c r="P224" s="7"/>
      <c r="Q224" s="7"/>
      <c r="R224" s="7"/>
      <c r="S224" s="7"/>
      <c r="T224" s="7"/>
    </row>
    <row r="225" spans="1:20" x14ac:dyDescent="0.2">
      <c r="A225" s="19" t="s">
        <v>598</v>
      </c>
    </row>
    <row r="226" spans="1:20" ht="15" x14ac:dyDescent="0.25">
      <c r="A226" s="2" t="s">
        <v>599</v>
      </c>
      <c r="B226" s="4" t="str">
        <f t="shared" si="117"/>
        <v>From Fiscal</v>
      </c>
      <c r="D226" s="40">
        <f>'Fiscal Forecasts'!D$54</f>
        <v>0.35799999999999998</v>
      </c>
      <c r="E226" s="40">
        <f>'Fiscal Forecasts'!E$54</f>
        <v>0.27100000000000002</v>
      </c>
      <c r="F226" s="39">
        <f>'Fiscal Forecasts'!F$54</f>
        <v>0.218</v>
      </c>
      <c r="G226" s="39">
        <f>'Fiscal Forecasts'!G$54</f>
        <v>0.151</v>
      </c>
      <c r="H226" s="39">
        <f>'Fiscal Forecasts'!H$54</f>
        <v>0.19700000000000001</v>
      </c>
      <c r="I226" s="39">
        <f>'Fiscal Forecasts'!I$54</f>
        <v>0.224</v>
      </c>
      <c r="J226" s="39">
        <f>'Fiscal Forecasts'!J$54</f>
        <v>0.24</v>
      </c>
      <c r="K226" s="8">
        <f>J$226*Exogenous!R$32/Exogenous!Q$32</f>
        <v>0.23158878504672895</v>
      </c>
      <c r="L226" s="8">
        <f>K$226*Exogenous!S$32/Exogenous!R$32</f>
        <v>0.22766355140186914</v>
      </c>
      <c r="M226" s="8">
        <f>L$226*Exogenous!T$32/Exogenous!S$32</f>
        <v>0.22934579439252331</v>
      </c>
      <c r="N226" s="8">
        <f>M$226*Exogenous!U$32/Exogenous!T$32</f>
        <v>0.2304672897196261</v>
      </c>
      <c r="O226" s="8">
        <f>N$226*Exogenous!V$32/Exogenous!U$32</f>
        <v>0.23158878504672889</v>
      </c>
      <c r="P226" s="8">
        <f>O$226*Exogenous!W$32/Exogenous!V$32</f>
        <v>0.2321495327102803</v>
      </c>
      <c r="Q226" s="8">
        <f>P$226*Exogenous!X$32/Exogenous!W$32</f>
        <v>0.22934579439252328</v>
      </c>
      <c r="R226" s="8">
        <f>Q$226*Exogenous!Y$32/Exogenous!X$32</f>
        <v>0.22037383177570086</v>
      </c>
      <c r="S226" s="8">
        <f>R$226*Exogenous!Z$32/Exogenous!Y$32</f>
        <v>0.21196261682242984</v>
      </c>
      <c r="T226" s="8">
        <f>S$226*Exogenous!AA$32/Exogenous!Z$32</f>
        <v>0.202429906542056</v>
      </c>
    </row>
    <row r="227" spans="1:20" ht="15" x14ac:dyDescent="0.25">
      <c r="A227" s="2" t="s">
        <v>600</v>
      </c>
      <c r="B227" s="4" t="str">
        <f t="shared" si="117"/>
        <v>From Fiscal</v>
      </c>
      <c r="D227" s="40">
        <f>'Fiscal Forecasts'!D$37</f>
        <v>0.373</v>
      </c>
      <c r="E227" s="40">
        <f>'Fiscal Forecasts'!E$37</f>
        <v>0.28599999999999998</v>
      </c>
      <c r="F227" s="39">
        <f>'Fiscal Forecasts'!F$37</f>
        <v>0.23400000000000001</v>
      </c>
      <c r="G227" s="39">
        <f>'Fiscal Forecasts'!G$37</f>
        <v>0.16700000000000001</v>
      </c>
      <c r="H227" s="39">
        <f>'Fiscal Forecasts'!H$37</f>
        <v>0.21299999999999999</v>
      </c>
      <c r="I227" s="39">
        <f>'Fiscal Forecasts'!I$37</f>
        <v>0.24</v>
      </c>
      <c r="J227" s="39">
        <f>'Fiscal Forecasts'!J$37</f>
        <v>0.25600000000000001</v>
      </c>
      <c r="K227" s="8">
        <f>J$227*Exogenous!R$32/Exogenous!Q$32</f>
        <v>0.24702803738317758</v>
      </c>
      <c r="L227" s="8">
        <f>K$227*Exogenous!S$32/Exogenous!R$32</f>
        <v>0.24284112149532713</v>
      </c>
      <c r="M227" s="8">
        <f>L$227*Exogenous!T$32/Exogenous!S$32</f>
        <v>0.2446355140186916</v>
      </c>
      <c r="N227" s="8">
        <f>M$227*Exogenous!U$32/Exogenous!T$32</f>
        <v>0.24583177570093462</v>
      </c>
      <c r="O227" s="8">
        <f>N$227*Exogenous!V$32/Exogenous!U$32</f>
        <v>0.24702803738317761</v>
      </c>
      <c r="P227" s="8">
        <f>O$227*Exogenous!W$32/Exogenous!V$32</f>
        <v>0.24762616822429909</v>
      </c>
      <c r="Q227" s="8">
        <f>P$227*Exogenous!X$32/Exogenous!W$32</f>
        <v>0.2446355140186916</v>
      </c>
      <c r="R227" s="8">
        <f>Q$227*Exogenous!Y$32/Exogenous!X$32</f>
        <v>0.23506542056074772</v>
      </c>
      <c r="S227" s="8">
        <f>R$227*Exogenous!Z$32/Exogenous!Y$32</f>
        <v>0.2260934579439253</v>
      </c>
      <c r="T227" s="8">
        <f>S$227*Exogenous!AA$32/Exogenous!Z$32</f>
        <v>0.21592523364485985</v>
      </c>
    </row>
    <row r="228" spans="1:20" ht="15" x14ac:dyDescent="0.25">
      <c r="A228" s="2"/>
      <c r="B228" s="4"/>
      <c r="D228" s="40"/>
      <c r="E228" s="40"/>
      <c r="F228" s="39"/>
      <c r="G228" s="39"/>
      <c r="H228" s="39"/>
      <c r="I228" s="39"/>
      <c r="J228" s="39"/>
      <c r="K228" s="8"/>
      <c r="L228" s="8"/>
      <c r="M228" s="8"/>
      <c r="N228" s="8"/>
      <c r="O228" s="8"/>
      <c r="P228" s="8"/>
      <c r="Q228" s="8"/>
      <c r="R228" s="8"/>
      <c r="S228" s="8"/>
      <c r="T228" s="8"/>
    </row>
    <row r="229" spans="1:20" x14ac:dyDescent="0.2">
      <c r="A229" s="19" t="s">
        <v>520</v>
      </c>
    </row>
    <row r="230" spans="1:20" x14ac:dyDescent="0.2">
      <c r="A230" s="1" t="s">
        <v>307</v>
      </c>
      <c r="B230" s="4" t="str">
        <f>$B$38</f>
        <v>From Fiscal</v>
      </c>
      <c r="D230" s="15">
        <f>'Fiscal Forecasts'!D$55</f>
        <v>15.058</v>
      </c>
      <c r="E230" s="15">
        <f>'Fiscal Forecasts'!E$55</f>
        <v>15.625999999999999</v>
      </c>
      <c r="F230" s="16">
        <f>'Fiscal Forecasts'!F$55</f>
        <v>16.189</v>
      </c>
      <c r="G230" s="16">
        <f>'Fiscal Forecasts'!G$55</f>
        <v>17.12</v>
      </c>
      <c r="H230" s="16">
        <f>'Fiscal Forecasts'!H$55</f>
        <v>17.225000000000001</v>
      </c>
      <c r="I230" s="16">
        <f>'Fiscal Forecasts'!I$55</f>
        <v>17.234000000000002</v>
      </c>
      <c r="J230" s="16">
        <f>'Fiscal Forecasts'!J$55</f>
        <v>17.193000000000001</v>
      </c>
      <c r="K230" s="7">
        <f ca="1">SUM(J$230,IF(OFFSET(Assumptions!$B$57,0,$C$1)="Yes",Allocate!$B$15,0)*SUM(K$220,K$223))</f>
        <v>17.193000000000001</v>
      </c>
      <c r="L230" s="7">
        <f ca="1">SUM(K$230,IF(OFFSET(Assumptions!$B$57,0,$C$1)="Yes",Allocate!$B$15,0)*SUM(L$220,L$223))</f>
        <v>17.193000000000001</v>
      </c>
      <c r="M230" s="7">
        <f ca="1">SUM(L$230,IF(OFFSET(Assumptions!$B$57,0,$C$1)="Yes",Allocate!$B$15,0)*SUM(M$220,M$223))</f>
        <v>17.193000000000001</v>
      </c>
      <c r="N230" s="7">
        <f ca="1">SUM(M$230,IF(OFFSET(Assumptions!$B$57,0,$C$1)="Yes",Allocate!$B$15,0)*SUM(N$220,N$223))</f>
        <v>17.193000000000001</v>
      </c>
      <c r="O230" s="7">
        <f ca="1">SUM(N$230,IF(OFFSET(Assumptions!$B$57,0,$C$1)="Yes",Allocate!$B$15,0)*SUM(O$220,O$223))</f>
        <v>17.193000000000001</v>
      </c>
      <c r="P230" s="7">
        <f ca="1">SUM(O$230,IF(OFFSET(Assumptions!$B$57,0,$C$1)="Yes",Allocate!$B$15,0)*SUM(P$220,P$223))</f>
        <v>17.193000000000001</v>
      </c>
      <c r="Q230" s="7">
        <f ca="1">SUM(P$230,IF(OFFSET(Assumptions!$B$57,0,$C$1)="Yes",Allocate!$B$15,0)*SUM(Q$220,Q$223))</f>
        <v>17.193000000000001</v>
      </c>
      <c r="R230" s="7">
        <f ca="1">SUM(Q$230,IF(OFFSET(Assumptions!$B$57,0,$C$1)="Yes",Allocate!$B$15,0)*SUM(R$220,R$223))</f>
        <v>17.193000000000001</v>
      </c>
      <c r="S230" s="7">
        <f ca="1">SUM(R$230,IF(OFFSET(Assumptions!$B$57,0,$C$1)="Yes",Allocate!$B$15,0)*SUM(S$220,S$223))</f>
        <v>17.193000000000001</v>
      </c>
      <c r="T230" s="7">
        <f ca="1">SUM(S$230,IF(OFFSET(Assumptions!$B$57,0,$C$1)="Yes",Allocate!$B$15,0)*SUM(T$220,T$223))</f>
        <v>17.193000000000001</v>
      </c>
    </row>
    <row r="231" spans="1:20" x14ac:dyDescent="0.2">
      <c r="A231" s="1" t="s">
        <v>279</v>
      </c>
      <c r="B231" s="4" t="str">
        <f>$B$38</f>
        <v>From Fiscal</v>
      </c>
      <c r="D231" s="15">
        <f>'Fiscal Forecasts'!D$195</f>
        <v>12.922000000000001</v>
      </c>
      <c r="E231" s="15">
        <f>'Fiscal Forecasts'!E$195</f>
        <v>13.347</v>
      </c>
      <c r="F231" s="16">
        <f>'Fiscal Forecasts'!F$195</f>
        <v>14.004</v>
      </c>
      <c r="G231" s="16">
        <f>'Fiscal Forecasts'!G$195</f>
        <v>14.398</v>
      </c>
      <c r="H231" s="16">
        <f>'Fiscal Forecasts'!H$195</f>
        <v>14.458</v>
      </c>
      <c r="I231" s="16">
        <f>'Fiscal Forecasts'!I$195</f>
        <v>14.465</v>
      </c>
      <c r="J231" s="16">
        <f>'Fiscal Forecasts'!J$195</f>
        <v>14.413</v>
      </c>
      <c r="K231" s="7">
        <f ca="1">IF(K$6=OFFSET(Assumptions!$B$8,0,$C$1),AVERAGE(H$231/H$230,I$231/I$230,J$231/J$230),J$231/J$230)*K$230</f>
        <v>14.424909312288088</v>
      </c>
      <c r="L231" s="7">
        <f ca="1">IF(L$6=OFFSET(Assumptions!$B$8,0,$C$1),AVERAGE(I$231/I$230,J$231/J$230,K$231/K$230),K$231/K$230)*L$230</f>
        <v>14.424909312288088</v>
      </c>
      <c r="M231" s="7">
        <f ca="1">IF(M$6=OFFSET(Assumptions!$B$8,0,$C$1),AVERAGE(J$231/J$230,K$231/K$230,L$231/L$230),L$231/L$230)*M$230</f>
        <v>14.424909312288088</v>
      </c>
      <c r="N231" s="7">
        <f ca="1">IF(N$6=OFFSET(Assumptions!$B$8,0,$C$1),AVERAGE(K$231/K$230,L$231/L$230,M$231/M$230),M$231/M$230)*N$230</f>
        <v>14.424909312288088</v>
      </c>
      <c r="O231" s="7">
        <f ca="1">IF(O$6=OFFSET(Assumptions!$B$8,0,$C$1),AVERAGE(L$231/L$230,M$231/M$230,N$231/N$230),N$231/N$230)*O$230</f>
        <v>14.424909312288088</v>
      </c>
      <c r="P231" s="7">
        <f ca="1">IF(P$6=OFFSET(Assumptions!$B$8,0,$C$1),AVERAGE(M$231/M$230,N$231/N$230,O$231/O$230),O$231/O$230)*P$230</f>
        <v>14.424909312288088</v>
      </c>
      <c r="Q231" s="7">
        <f ca="1">IF(Q$6=OFFSET(Assumptions!$B$8,0,$C$1),AVERAGE(N$231/N$230,O$231/O$230,P$231/P$230),P$231/P$230)*Q$230</f>
        <v>14.424909312288088</v>
      </c>
      <c r="R231" s="7">
        <f ca="1">IF(R$6=OFFSET(Assumptions!$B$8,0,$C$1),AVERAGE(O$231/O$230,P$231/P$230,Q$231/Q$230),Q$231/Q$230)*R$230</f>
        <v>14.424909312288088</v>
      </c>
      <c r="S231" s="7">
        <f ca="1">IF(S$6=OFFSET(Assumptions!$B$8,0,$C$1),AVERAGE(P$231/P$230,Q$231/Q$230,R$231/R$230),R$231/R$230)*S$230</f>
        <v>14.424909312288088</v>
      </c>
      <c r="T231" s="7">
        <f ca="1">IF(T$6=OFFSET(Assumptions!$B$8,0,$C$1),AVERAGE(Q$231/Q$230,R$231/R$230,S$231/S$230),S$231/S$230)*T$230</f>
        <v>14.424909312288088</v>
      </c>
    </row>
    <row r="232" spans="1:20" x14ac:dyDescent="0.2">
      <c r="A232" s="1" t="s">
        <v>507</v>
      </c>
      <c r="B232" s="4" t="str">
        <f>$B$38</f>
        <v>From Fiscal</v>
      </c>
      <c r="D232" s="15">
        <f>'Fiscal Forecasts'!D$38-SUM(D$230:D$231)</f>
        <v>-13.284000000000001</v>
      </c>
      <c r="E232" s="15">
        <f>'Fiscal Forecasts'!E$38-SUM(E$230:E$231)</f>
        <v>-13.812999999999999</v>
      </c>
      <c r="F232" s="16">
        <f>'Fiscal Forecasts'!F$38-SUM(F$230:F$231)</f>
        <v>-14.470999999999998</v>
      </c>
      <c r="G232" s="16">
        <f>'Fiscal Forecasts'!G$38-SUM(G$230:G$231)</f>
        <v>-15.086000000000002</v>
      </c>
      <c r="H232" s="16">
        <f>'Fiscal Forecasts'!H$38-SUM(H$230:H$231)</f>
        <v>-15.233999999999998</v>
      </c>
      <c r="I232" s="16">
        <f>'Fiscal Forecasts'!I$38-SUM(I$230:I$231)</f>
        <v>-15.218</v>
      </c>
      <c r="J232" s="16">
        <f>'Fiscal Forecasts'!J$38-SUM(J$230:J$231)</f>
        <v>-15.21</v>
      </c>
      <c r="K232" s="7">
        <f ca="1">IF(K$6=OFFSET(Assumptions!$B$8,0,$C$1),AVERAGE(H$232/H$230,I$232/I$230,J$232/J$230),J$232/J$230)*K$230</f>
        <v>-15.199164970200162</v>
      </c>
      <c r="L232" s="7">
        <f ca="1">IF(L$6=OFFSET(Assumptions!$B$8,0,$C$1),AVERAGE(I$232/I$230,J$232/J$230,K$232/K$230),K$232/K$230)*L$230</f>
        <v>-15.199164970200162</v>
      </c>
      <c r="M232" s="7">
        <f ca="1">IF(M$6=OFFSET(Assumptions!$B$8,0,$C$1),AVERAGE(J$232/J$230,K$232/K$230,L$232/L$230),L$232/L$230)*M$230</f>
        <v>-15.199164970200162</v>
      </c>
      <c r="N232" s="7">
        <f ca="1">IF(N$6=OFFSET(Assumptions!$B$8,0,$C$1),AVERAGE(K$232/K$230,L$232/L$230,M$232/M$230),M$232/M$230)*N$230</f>
        <v>-15.199164970200162</v>
      </c>
      <c r="O232" s="7">
        <f ca="1">IF(O$6=OFFSET(Assumptions!$B$8,0,$C$1),AVERAGE(L$232/L$230,M$232/M$230,N$232/N$230),N$232/N$230)*O$230</f>
        <v>-15.199164970200162</v>
      </c>
      <c r="P232" s="7">
        <f ca="1">IF(P$6=OFFSET(Assumptions!$B$8,0,$C$1),AVERAGE(M$232/M$230,N$232/N$230,O$232/O$230),O$232/O$230)*P$230</f>
        <v>-15.199164970200162</v>
      </c>
      <c r="Q232" s="7">
        <f ca="1">IF(Q$6=OFFSET(Assumptions!$B$8,0,$C$1),AVERAGE(N$232/N$230,O$232/O$230,P$232/P$230),P$232/P$230)*Q$230</f>
        <v>-15.199164970200162</v>
      </c>
      <c r="R232" s="7">
        <f ca="1">IF(R$6=OFFSET(Assumptions!$B$8,0,$C$1),AVERAGE(O$232/O$230,P$232/P$230,Q$232/Q$230),Q$232/Q$230)*R$230</f>
        <v>-15.199164970200162</v>
      </c>
      <c r="S232" s="7">
        <f ca="1">IF(S$6=OFFSET(Assumptions!$B$8,0,$C$1),AVERAGE(P$232/P$230,Q$232/Q$230,R$232/R$230),R$232/R$230)*S$230</f>
        <v>-15.199164970200162</v>
      </c>
      <c r="T232" s="7">
        <f ca="1">IF(T$6=OFFSET(Assumptions!$B$8,0,$C$1),AVERAGE(Q$232/Q$230,R$232/R$230,S$232/S$230),S$232/S$230)*T$230</f>
        <v>-15.199164970200162</v>
      </c>
    </row>
    <row r="233" spans="1:20" ht="15" x14ac:dyDescent="0.25">
      <c r="A233" s="2" t="s">
        <v>521</v>
      </c>
      <c r="D233" s="35">
        <f t="shared" ref="D233:T233" si="120">SUM(D$230:D$232)</f>
        <v>14.696</v>
      </c>
      <c r="E233" s="35">
        <f t="shared" si="120"/>
        <v>15.16</v>
      </c>
      <c r="F233" s="34">
        <f t="shared" si="120"/>
        <v>15.722</v>
      </c>
      <c r="G233" s="34">
        <f t="shared" si="120"/>
        <v>16.431999999999999</v>
      </c>
      <c r="H233" s="34">
        <f t="shared" si="120"/>
        <v>16.449000000000002</v>
      </c>
      <c r="I233" s="34">
        <f t="shared" si="120"/>
        <v>16.481000000000002</v>
      </c>
      <c r="J233" s="34">
        <f t="shared" si="120"/>
        <v>16.396000000000001</v>
      </c>
      <c r="K233" s="38">
        <f t="shared" ca="1" si="120"/>
        <v>16.41874434208793</v>
      </c>
      <c r="L233" s="38">
        <f t="shared" ca="1" si="120"/>
        <v>16.41874434208793</v>
      </c>
      <c r="M233" s="38">
        <f t="shared" ca="1" si="120"/>
        <v>16.41874434208793</v>
      </c>
      <c r="N233" s="38">
        <f t="shared" ca="1" si="120"/>
        <v>16.41874434208793</v>
      </c>
      <c r="O233" s="38">
        <f t="shared" ca="1" si="120"/>
        <v>16.41874434208793</v>
      </c>
      <c r="P233" s="38">
        <f t="shared" ca="1" si="120"/>
        <v>16.41874434208793</v>
      </c>
      <c r="Q233" s="38">
        <f t="shared" ca="1" si="120"/>
        <v>16.41874434208793</v>
      </c>
      <c r="R233" s="38">
        <f t="shared" ca="1" si="120"/>
        <v>16.41874434208793</v>
      </c>
      <c r="S233" s="38">
        <f t="shared" ca="1" si="120"/>
        <v>16.41874434208793</v>
      </c>
      <c r="T233" s="38">
        <f t="shared" ca="1" si="120"/>
        <v>16.41874434208793</v>
      </c>
    </row>
    <row r="234" spans="1:20" ht="15" x14ac:dyDescent="0.25">
      <c r="A234" s="2"/>
      <c r="D234" s="47"/>
      <c r="E234" s="47"/>
      <c r="F234" s="48"/>
      <c r="G234" s="48"/>
      <c r="H234" s="48"/>
      <c r="I234" s="48"/>
      <c r="J234" s="48"/>
      <c r="K234" s="49"/>
      <c r="L234" s="49"/>
      <c r="M234" s="49"/>
      <c r="N234" s="49"/>
      <c r="O234" s="49"/>
      <c r="P234" s="49"/>
      <c r="Q234" s="49"/>
      <c r="R234" s="49"/>
      <c r="S234" s="49"/>
      <c r="T234" s="49"/>
    </row>
    <row r="235" spans="1:20" x14ac:dyDescent="0.2">
      <c r="A235" s="19" t="s">
        <v>522</v>
      </c>
    </row>
    <row r="236" spans="1:20" x14ac:dyDescent="0.2">
      <c r="A236" s="1" t="s">
        <v>301</v>
      </c>
      <c r="D236" s="15">
        <f t="shared" ref="D236:T236" si="121">D$165</f>
        <v>0.51100000000000001</v>
      </c>
      <c r="E236" s="15">
        <f t="shared" si="121"/>
        <v>0.48599999999999999</v>
      </c>
      <c r="F236" s="16">
        <f t="shared" si="121"/>
        <v>0.47699999999999998</v>
      </c>
      <c r="G236" s="16">
        <f t="shared" si="121"/>
        <v>0.505</v>
      </c>
      <c r="H236" s="16">
        <f t="shared" si="121"/>
        <v>0.51700000000000002</v>
      </c>
      <c r="I236" s="16">
        <f t="shared" si="121"/>
        <v>0.51900000000000002</v>
      </c>
      <c r="J236" s="16">
        <f t="shared" si="121"/>
        <v>0.52600000000000002</v>
      </c>
      <c r="K236" s="7">
        <f t="shared" ca="1" si="121"/>
        <v>0.54231663245195649</v>
      </c>
      <c r="L236" s="7">
        <f t="shared" ca="1" si="121"/>
        <v>0.55936019936259529</v>
      </c>
      <c r="M236" s="7">
        <f t="shared" ca="1" si="121"/>
        <v>0.57678679003081523</v>
      </c>
      <c r="N236" s="7">
        <f t="shared" ca="1" si="121"/>
        <v>0.59477569023127863</v>
      </c>
      <c r="O236" s="7">
        <f t="shared" ca="1" si="121"/>
        <v>0.61301657931610543</v>
      </c>
      <c r="P236" s="7">
        <f t="shared" ca="1" si="121"/>
        <v>0.63150326430209358</v>
      </c>
      <c r="Q236" s="7">
        <f t="shared" ca="1" si="121"/>
        <v>0.65029976301619041</v>
      </c>
      <c r="R236" s="7">
        <f t="shared" ca="1" si="121"/>
        <v>0.66923279420292581</v>
      </c>
      <c r="S236" s="7">
        <f t="shared" ca="1" si="121"/>
        <v>0.68850336701352055</v>
      </c>
      <c r="T236" s="7">
        <f t="shared" ca="1" si="121"/>
        <v>0.70814083689375062</v>
      </c>
    </row>
    <row r="237" spans="1:20" x14ac:dyDescent="0.2">
      <c r="A237" s="1" t="s">
        <v>523</v>
      </c>
      <c r="D237" s="15">
        <f t="shared" ref="D237:T237" si="122">SUM(D$372,D$375)</f>
        <v>0.871</v>
      </c>
      <c r="E237" s="15">
        <f t="shared" si="122"/>
        <v>0.79900000000000004</v>
      </c>
      <c r="F237" s="16">
        <f t="shared" si="122"/>
        <v>0.60000000000000009</v>
      </c>
      <c r="G237" s="16">
        <f t="shared" si="122"/>
        <v>0.77</v>
      </c>
      <c r="H237" s="16">
        <f t="shared" si="122"/>
        <v>0.76900000000000002</v>
      </c>
      <c r="I237" s="16">
        <f t="shared" si="122"/>
        <v>0.77400000000000002</v>
      </c>
      <c r="J237" s="16">
        <f t="shared" si="122"/>
        <v>0.78300000000000003</v>
      </c>
      <c r="K237" s="7">
        <f t="shared" si="122"/>
        <v>0.66800000000000004</v>
      </c>
      <c r="L237" s="7">
        <f t="shared" si="122"/>
        <v>0.68799999999999994</v>
      </c>
      <c r="M237" s="7">
        <f t="shared" si="122"/>
        <v>0.70699999999999996</v>
      </c>
      <c r="N237" s="7">
        <f t="shared" si="122"/>
        <v>0.72699999999999998</v>
      </c>
      <c r="O237" s="7">
        <f t="shared" si="122"/>
        <v>0.74399999999999999</v>
      </c>
      <c r="P237" s="7">
        <f t="shared" si="122"/>
        <v>0.76400000000000001</v>
      </c>
      <c r="Q237" s="7">
        <f t="shared" si="122"/>
        <v>0.78400000000000003</v>
      </c>
      <c r="R237" s="7">
        <f t="shared" si="122"/>
        <v>0.8</v>
      </c>
      <c r="S237" s="7">
        <f t="shared" si="122"/>
        <v>0.81599999999999995</v>
      </c>
      <c r="T237" s="7">
        <f t="shared" si="122"/>
        <v>0.83299999999999996</v>
      </c>
    </row>
    <row r="238" spans="1:20" x14ac:dyDescent="0.2">
      <c r="A238" s="1" t="s">
        <v>526</v>
      </c>
      <c r="B238" s="4" t="str">
        <f>$B$38</f>
        <v>From Fiscal</v>
      </c>
      <c r="D238" s="15">
        <f>'Fiscal Forecasts'!D$56-SUM(D$236:D$237)</f>
        <v>11.497</v>
      </c>
      <c r="E238" s="15">
        <f>'Fiscal Forecasts'!E$56-SUM(E$236:E$237)</f>
        <v>11.872999999999999</v>
      </c>
      <c r="F238" s="16">
        <f>'Fiscal Forecasts'!F$56-SUM(F$236:F$237)</f>
        <v>12.239000000000001</v>
      </c>
      <c r="G238" s="16">
        <f>'Fiscal Forecasts'!G$56-SUM(G$236:G$237)</f>
        <v>12.757</v>
      </c>
      <c r="H238" s="16">
        <f>'Fiscal Forecasts'!H$56-SUM(H$236:H$237)</f>
        <v>12.874000000000001</v>
      </c>
      <c r="I238" s="16">
        <f>'Fiscal Forecasts'!I$56-SUM(I$236:I$237)</f>
        <v>12.917000000000002</v>
      </c>
      <c r="J238" s="16">
        <f>'Fiscal Forecasts'!J$56-SUM(J$236:J$237)</f>
        <v>13.120999999999999</v>
      </c>
      <c r="K238" s="7">
        <f ca="1">SUM(J$238,IF(OFFSET(Assumptions!$B$57,0,$C$1)="Yes",Allocate!$B$16,0)*SUM(K$220,K$223))</f>
        <v>13.120999999999999</v>
      </c>
      <c r="L238" s="7">
        <f ca="1">SUM(K$238,IF(OFFSET(Assumptions!$B$57,0,$C$1)="Yes",Allocate!$B$16,0)*SUM(L$220,L$223))</f>
        <v>13.120999999999999</v>
      </c>
      <c r="M238" s="7">
        <f ca="1">SUM(L$238,IF(OFFSET(Assumptions!$B$57,0,$C$1)="Yes",Allocate!$B$16,0)*SUM(M$220,M$223))</f>
        <v>13.120999999999999</v>
      </c>
      <c r="N238" s="7">
        <f ca="1">SUM(M$238,IF(OFFSET(Assumptions!$B$57,0,$C$1)="Yes",Allocate!$B$16,0)*SUM(N$220,N$223))</f>
        <v>13.120999999999999</v>
      </c>
      <c r="O238" s="7">
        <f ca="1">SUM(N$238,IF(OFFSET(Assumptions!$B$57,0,$C$1)="Yes",Allocate!$B$16,0)*SUM(O$220,O$223))</f>
        <v>13.120999999999999</v>
      </c>
      <c r="P238" s="7">
        <f ca="1">SUM(O$238,IF(OFFSET(Assumptions!$B$57,0,$C$1)="Yes",Allocate!$B$16,0)*SUM(P$220,P$223))</f>
        <v>13.120999999999999</v>
      </c>
      <c r="Q238" s="7">
        <f ca="1">SUM(P$238,IF(OFFSET(Assumptions!$B$57,0,$C$1)="Yes",Allocate!$B$16,0)*SUM(Q$220,Q$223))</f>
        <v>13.120999999999999</v>
      </c>
      <c r="R238" s="7">
        <f ca="1">SUM(Q$238,IF(OFFSET(Assumptions!$B$57,0,$C$1)="Yes",Allocate!$B$16,0)*SUM(R$220,R$223))</f>
        <v>13.120999999999999</v>
      </c>
      <c r="S238" s="7">
        <f ca="1">SUM(R$238,IF(OFFSET(Assumptions!$B$57,0,$C$1)="Yes",Allocate!$B$16,0)*SUM(S$220,S$223))</f>
        <v>13.120999999999999</v>
      </c>
      <c r="T238" s="7">
        <f ca="1">SUM(S$238,IF(OFFSET(Assumptions!$B$57,0,$C$1)="Yes",Allocate!$B$16,0)*SUM(T$220,T$223))</f>
        <v>13.120999999999999</v>
      </c>
    </row>
    <row r="239" spans="1:20" ht="15" x14ac:dyDescent="0.25">
      <c r="A239" s="2" t="s">
        <v>527</v>
      </c>
      <c r="D239" s="35">
        <f t="shared" ref="D239:T239" si="123">SUM(D$236:D$238)</f>
        <v>12.879</v>
      </c>
      <c r="E239" s="35">
        <f t="shared" si="123"/>
        <v>13.157999999999999</v>
      </c>
      <c r="F239" s="34">
        <f t="shared" si="123"/>
        <v>13.316000000000001</v>
      </c>
      <c r="G239" s="34">
        <f t="shared" si="123"/>
        <v>14.032</v>
      </c>
      <c r="H239" s="34">
        <f t="shared" si="123"/>
        <v>14.16</v>
      </c>
      <c r="I239" s="34">
        <f t="shared" si="123"/>
        <v>14.21</v>
      </c>
      <c r="J239" s="34">
        <f t="shared" si="123"/>
        <v>14.43</v>
      </c>
      <c r="K239" s="38">
        <f t="shared" ca="1" si="123"/>
        <v>14.331316632451955</v>
      </c>
      <c r="L239" s="38">
        <f t="shared" ca="1" si="123"/>
        <v>14.368360199362595</v>
      </c>
      <c r="M239" s="38">
        <f t="shared" ca="1" si="123"/>
        <v>14.404786790030814</v>
      </c>
      <c r="N239" s="38">
        <f t="shared" ca="1" si="123"/>
        <v>14.442775690231278</v>
      </c>
      <c r="O239" s="38">
        <f t="shared" ca="1" si="123"/>
        <v>14.478016579316105</v>
      </c>
      <c r="P239" s="38">
        <f t="shared" ca="1" si="123"/>
        <v>14.516503264302091</v>
      </c>
      <c r="Q239" s="38">
        <f t="shared" ca="1" si="123"/>
        <v>14.555299763016189</v>
      </c>
      <c r="R239" s="38">
        <f t="shared" ca="1" si="123"/>
        <v>14.590232794202924</v>
      </c>
      <c r="S239" s="38">
        <f t="shared" ca="1" si="123"/>
        <v>14.625503367013518</v>
      </c>
      <c r="T239" s="38">
        <f t="shared" ca="1" si="123"/>
        <v>14.66214083689375</v>
      </c>
    </row>
    <row r="240" spans="1:20" x14ac:dyDescent="0.2">
      <c r="A240" s="1" t="s">
        <v>279</v>
      </c>
      <c r="B240" s="4" t="str">
        <f>$B$38</f>
        <v>From Fiscal</v>
      </c>
      <c r="D240" s="15">
        <f>'Fiscal Forecasts'!D$196</f>
        <v>9.8529999999999998</v>
      </c>
      <c r="E240" s="15">
        <f>'Fiscal Forecasts'!E$196</f>
        <v>10.16</v>
      </c>
      <c r="F240" s="16">
        <f>'Fiscal Forecasts'!F$196</f>
        <v>10.211</v>
      </c>
      <c r="G240" s="16">
        <f>'Fiscal Forecasts'!G$196</f>
        <v>10.601000000000001</v>
      </c>
      <c r="H240" s="16">
        <f>'Fiscal Forecasts'!H$196</f>
        <v>10.64</v>
      </c>
      <c r="I240" s="16">
        <f>'Fiscal Forecasts'!I$196</f>
        <v>10.625999999999999</v>
      </c>
      <c r="J240" s="16">
        <f>'Fiscal Forecasts'!J$196</f>
        <v>10.77</v>
      </c>
      <c r="K240" s="7">
        <f ca="1">IF(K$6=OFFSET(Assumptions!$B$8,0,$C$1),AVERAGE(H$240/H$238,I$240/I$238,J$240/J$238),J$240/J$238)*K$238</f>
        <v>10.802652162748739</v>
      </c>
      <c r="L240" s="7">
        <f ca="1">IF(L$6=OFFSET(Assumptions!$B$8,0,$C$1),AVERAGE(I$240/I$238,J$240/J$238,K$240/K$238),K$240/K$238)*L$238</f>
        <v>10.802652162748739</v>
      </c>
      <c r="M240" s="7">
        <f ca="1">IF(M$6=OFFSET(Assumptions!$B$8,0,$C$1),AVERAGE(J$240/J$238,K$240/K$238,L$240/L$238),L$240/L$238)*M$238</f>
        <v>10.802652162748739</v>
      </c>
      <c r="N240" s="7">
        <f ca="1">IF(N$6=OFFSET(Assumptions!$B$8,0,$C$1),AVERAGE(K$240/K$238,L$240/L$238,M$240/M$238),M$240/M$238)*N$238</f>
        <v>10.802652162748739</v>
      </c>
      <c r="O240" s="7">
        <f ca="1">IF(O$6=OFFSET(Assumptions!$B$8,0,$C$1),AVERAGE(L$240/L$238,M$240/M$238,N$240/N$238),N$240/N$238)*O$238</f>
        <v>10.802652162748739</v>
      </c>
      <c r="P240" s="7">
        <f ca="1">IF(P$6=OFFSET(Assumptions!$B$8,0,$C$1),AVERAGE(M$240/M$238,N$240/N$238,O$240/O$238),O$240/O$238)*P$238</f>
        <v>10.802652162748739</v>
      </c>
      <c r="Q240" s="7">
        <f ca="1">IF(Q$6=OFFSET(Assumptions!$B$8,0,$C$1),AVERAGE(N$240/N$238,O$240/O$238,P$240/P$238),P$240/P$238)*Q$238</f>
        <v>10.802652162748739</v>
      </c>
      <c r="R240" s="7">
        <f ca="1">IF(R$6=OFFSET(Assumptions!$B$8,0,$C$1),AVERAGE(O$240/O$238,P$240/P$238,Q$240/Q$238),Q$240/Q$238)*R$238</f>
        <v>10.802652162748739</v>
      </c>
      <c r="S240" s="7">
        <f ca="1">IF(S$6=OFFSET(Assumptions!$B$8,0,$C$1),AVERAGE(P$240/P$238,Q$240/Q$238,R$240/R$238),R$240/R$238)*S$238</f>
        <v>10.802652162748739</v>
      </c>
      <c r="T240" s="7">
        <f ca="1">IF(T$6=OFFSET(Assumptions!$B$8,0,$C$1),AVERAGE(Q$240/Q$238,R$240/R$238,S$240/S$238),S$240/S$238)*T$238</f>
        <v>10.802652162748739</v>
      </c>
    </row>
    <row r="241" spans="1:20" x14ac:dyDescent="0.2">
      <c r="A241" s="1" t="s">
        <v>507</v>
      </c>
      <c r="B241" s="4" t="str">
        <f>$B$38</f>
        <v>From Fiscal</v>
      </c>
      <c r="D241" s="15">
        <f>'Fiscal Forecasts'!D$39-SUM(D$239:D$240)</f>
        <v>-9.1949999999999985</v>
      </c>
      <c r="E241" s="15">
        <f>'Fiscal Forecasts'!E$39-SUM(E$239:E$240)</f>
        <v>-9.5089999999999986</v>
      </c>
      <c r="F241" s="16">
        <f>'Fiscal Forecasts'!F$39-SUM(F$239:F$240)</f>
        <v>-9.5160000000000018</v>
      </c>
      <c r="G241" s="16">
        <f>'Fiscal Forecasts'!G$39-SUM(G$239:G$240)</f>
        <v>-9.849000000000002</v>
      </c>
      <c r="H241" s="16">
        <f>'Fiscal Forecasts'!H$39-SUM(H$239:H$240)</f>
        <v>-9.89</v>
      </c>
      <c r="I241" s="16">
        <f>'Fiscal Forecasts'!I$39-SUM(I$239:I$240)</f>
        <v>-9.8809999999999985</v>
      </c>
      <c r="J241" s="16">
        <f>'Fiscal Forecasts'!J$39-SUM(J$239:J$240)</f>
        <v>-10.027999999999999</v>
      </c>
      <c r="K241" s="7">
        <f ca="1">IF(K$6=OFFSET(Assumptions!$B$8,0,$C$1),AVERAGE(H$241/H$238,I$241/I$238,J$241/J$238),J$241/J$238)*K$238</f>
        <v>-10.048267043730206</v>
      </c>
      <c r="L241" s="7">
        <f ca="1">IF(L$6=OFFSET(Assumptions!$B$8,0,$C$1),AVERAGE(I$241/I$238,J$241/J$238,K$241/K$238),K$241/K$238)*L$238</f>
        <v>-10.048267043730206</v>
      </c>
      <c r="M241" s="7">
        <f ca="1">IF(M$6=OFFSET(Assumptions!$B$8,0,$C$1),AVERAGE(J$241/J$238,K$241/K$238,L$241/L$238),L$241/L$238)*M$238</f>
        <v>-10.048267043730206</v>
      </c>
      <c r="N241" s="7">
        <f ca="1">IF(N$6=OFFSET(Assumptions!$B$8,0,$C$1),AVERAGE(K$241/K$238,L$241/L$238,M$241/M$238),M$241/M$238)*N$238</f>
        <v>-10.048267043730206</v>
      </c>
      <c r="O241" s="7">
        <f ca="1">IF(O$6=OFFSET(Assumptions!$B$8,0,$C$1),AVERAGE(L$241/L$238,M$241/M$238,N$241/N$238),N$241/N$238)*O$238</f>
        <v>-10.048267043730206</v>
      </c>
      <c r="P241" s="7">
        <f ca="1">IF(P$6=OFFSET(Assumptions!$B$8,0,$C$1),AVERAGE(M$241/M$238,N$241/N$238,O$241/O$238),O$241/O$238)*P$238</f>
        <v>-10.048267043730206</v>
      </c>
      <c r="Q241" s="7">
        <f ca="1">IF(Q$6=OFFSET(Assumptions!$B$8,0,$C$1),AVERAGE(N$241/N$238,O$241/O$238,P$241/P$238),P$241/P$238)*Q$238</f>
        <v>-10.048267043730206</v>
      </c>
      <c r="R241" s="7">
        <f ca="1">IF(R$6=OFFSET(Assumptions!$B$8,0,$C$1),AVERAGE(O$241/O$238,P$241/P$238,Q$241/Q$238),Q$241/Q$238)*R$238</f>
        <v>-10.048267043730206</v>
      </c>
      <c r="S241" s="7">
        <f ca="1">IF(S$6=OFFSET(Assumptions!$B$8,0,$C$1),AVERAGE(P$241/P$238,Q$241/Q$238,R$241/R$238),R$241/R$238)*S$238</f>
        <v>-10.048267043730206</v>
      </c>
      <c r="T241" s="7">
        <f ca="1">IF(T$6=OFFSET(Assumptions!$B$8,0,$C$1),AVERAGE(Q$241/Q$238,R$241/R$238,S$241/S$238),S$241/S$238)*T$238</f>
        <v>-10.048267043730206</v>
      </c>
    </row>
    <row r="242" spans="1:20" ht="15" x14ac:dyDescent="0.25">
      <c r="A242" s="2" t="s">
        <v>528</v>
      </c>
      <c r="D242" s="35">
        <f t="shared" ref="D242:T242" si="124">SUM(D$239:D$241)</f>
        <v>13.537000000000001</v>
      </c>
      <c r="E242" s="35">
        <f t="shared" si="124"/>
        <v>13.808999999999999</v>
      </c>
      <c r="F242" s="34">
        <f t="shared" si="124"/>
        <v>14.010999999999999</v>
      </c>
      <c r="G242" s="34">
        <f t="shared" si="124"/>
        <v>14.784000000000001</v>
      </c>
      <c r="H242" s="34">
        <f t="shared" si="124"/>
        <v>14.91</v>
      </c>
      <c r="I242" s="34">
        <f t="shared" si="124"/>
        <v>14.955</v>
      </c>
      <c r="J242" s="34">
        <f t="shared" si="124"/>
        <v>15.172000000000001</v>
      </c>
      <c r="K242" s="38">
        <f t="shared" ca="1" si="124"/>
        <v>15.085701751470488</v>
      </c>
      <c r="L242" s="38">
        <f t="shared" ca="1" si="124"/>
        <v>15.122745318381128</v>
      </c>
      <c r="M242" s="38">
        <f t="shared" ca="1" si="124"/>
        <v>15.159171909049348</v>
      </c>
      <c r="N242" s="38">
        <f t="shared" ca="1" si="124"/>
        <v>15.197160809249809</v>
      </c>
      <c r="O242" s="38">
        <f t="shared" ca="1" si="124"/>
        <v>15.232401698334638</v>
      </c>
      <c r="P242" s="38">
        <f t="shared" ca="1" si="124"/>
        <v>15.270888383320624</v>
      </c>
      <c r="Q242" s="38">
        <f t="shared" ca="1" si="124"/>
        <v>15.309684882034723</v>
      </c>
      <c r="R242" s="38">
        <f t="shared" ca="1" si="124"/>
        <v>15.344617913221455</v>
      </c>
      <c r="S242" s="38">
        <f t="shared" ca="1" si="124"/>
        <v>15.379888486032051</v>
      </c>
      <c r="T242" s="38">
        <f t="shared" ca="1" si="124"/>
        <v>15.416525955912284</v>
      </c>
    </row>
    <row r="243" spans="1:20" ht="15" x14ac:dyDescent="0.25">
      <c r="A243" s="2"/>
      <c r="D243" s="47"/>
      <c r="E243" s="47"/>
      <c r="F243" s="48"/>
      <c r="G243" s="48"/>
      <c r="H243" s="48"/>
      <c r="I243" s="48"/>
      <c r="J243" s="48"/>
      <c r="K243" s="49"/>
      <c r="L243" s="49"/>
      <c r="M243" s="49"/>
      <c r="N243" s="49"/>
      <c r="O243" s="49"/>
      <c r="P243" s="49"/>
      <c r="Q243" s="49"/>
      <c r="R243" s="49"/>
      <c r="S243" s="49"/>
      <c r="T243" s="49"/>
    </row>
    <row r="244" spans="1:20" x14ac:dyDescent="0.2">
      <c r="A244" s="19" t="s">
        <v>529</v>
      </c>
    </row>
    <row r="245" spans="1:20" x14ac:dyDescent="0.2">
      <c r="A245" s="1" t="s">
        <v>1315</v>
      </c>
      <c r="D245" s="15">
        <f>D$349</f>
        <v>0.19800000000000001</v>
      </c>
      <c r="E245" s="15">
        <f t="shared" ref="E245:T245" si="125">E$349</f>
        <v>0.13800000000000001</v>
      </c>
      <c r="F245" s="16">
        <f t="shared" si="125"/>
        <v>0.22800000000000001</v>
      </c>
      <c r="G245" s="16">
        <f t="shared" si="125"/>
        <v>0.17799999999999999</v>
      </c>
      <c r="H245" s="16">
        <f t="shared" si="125"/>
        <v>0.185</v>
      </c>
      <c r="I245" s="16">
        <f t="shared" si="125"/>
        <v>0.19600000000000001</v>
      </c>
      <c r="J245" s="16">
        <f t="shared" si="125"/>
        <v>0.20699999999999999</v>
      </c>
      <c r="K245" s="7">
        <f t="shared" ca="1" si="125"/>
        <v>0.18435421134811586</v>
      </c>
      <c r="L245" s="7">
        <f t="shared" ca="1" si="125"/>
        <v>0.20794399704980085</v>
      </c>
      <c r="M245" s="7">
        <f t="shared" ca="1" si="125"/>
        <v>0.23306419068966891</v>
      </c>
      <c r="N245" s="7">
        <f t="shared" ca="1" si="125"/>
        <v>0.25967070026451827</v>
      </c>
      <c r="O245" s="7">
        <f t="shared" ca="1" si="125"/>
        <v>0.28772883174901842</v>
      </c>
      <c r="P245" s="7">
        <f t="shared" ca="1" si="125"/>
        <v>0.3151090483299861</v>
      </c>
      <c r="Q245" s="7">
        <f t="shared" ca="1" si="125"/>
        <v>0.33688417750952238</v>
      </c>
      <c r="R245" s="7">
        <f t="shared" ca="1" si="125"/>
        <v>0.35841635982851355</v>
      </c>
      <c r="S245" s="7">
        <f t="shared" ca="1" si="125"/>
        <v>0.37978381122813876</v>
      </c>
      <c r="T245" s="7">
        <f t="shared" ca="1" si="125"/>
        <v>0.40107068770808307</v>
      </c>
    </row>
    <row r="246" spans="1:20" x14ac:dyDescent="0.2">
      <c r="A246" s="1" t="s">
        <v>304</v>
      </c>
      <c r="B246" s="4"/>
      <c r="D246" s="15">
        <f t="shared" ref="D246:T246" si="126">D$168</f>
        <v>0.51300000000000001</v>
      </c>
      <c r="E246" s="15">
        <f t="shared" si="126"/>
        <v>0.53400000000000003</v>
      </c>
      <c r="F246" s="16">
        <f t="shared" si="126"/>
        <v>0.53900000000000003</v>
      </c>
      <c r="G246" s="16">
        <f t="shared" si="126"/>
        <v>0.64400000000000002</v>
      </c>
      <c r="H246" s="16">
        <f t="shared" si="126"/>
        <v>0.58599999999999997</v>
      </c>
      <c r="I246" s="16">
        <f t="shared" si="126"/>
        <v>0.58599999999999997</v>
      </c>
      <c r="J246" s="16">
        <f t="shared" si="126"/>
        <v>0.58599999999999997</v>
      </c>
      <c r="K246" s="7">
        <f t="shared" ca="1" si="126"/>
        <v>0.67416903119122229</v>
      </c>
      <c r="L246" s="7">
        <f t="shared" ca="1" si="126"/>
        <v>0.70374713932863886</v>
      </c>
      <c r="M246" s="7">
        <f t="shared" ca="1" si="126"/>
        <v>0.73450074635204587</v>
      </c>
      <c r="N246" s="7">
        <f t="shared" ca="1" si="126"/>
        <v>0.76656355396372577</v>
      </c>
      <c r="O246" s="7">
        <f t="shared" ca="1" si="126"/>
        <v>0.79969255920127835</v>
      </c>
      <c r="P246" s="7">
        <f t="shared" ca="1" si="126"/>
        <v>0.83401860395470417</v>
      </c>
      <c r="Q246" s="7">
        <f t="shared" ca="1" si="126"/>
        <v>0.86948859734793038</v>
      </c>
      <c r="R246" s="7">
        <f t="shared" ca="1" si="126"/>
        <v>0.90606298727726864</v>
      </c>
      <c r="S246" s="7">
        <f t="shared" ca="1" si="126"/>
        <v>0.94390779388232393</v>
      </c>
      <c r="T246" s="7">
        <f t="shared" ca="1" si="126"/>
        <v>0.98296424533158566</v>
      </c>
    </row>
    <row r="247" spans="1:20" x14ac:dyDescent="0.2">
      <c r="A247" s="1" t="s">
        <v>536</v>
      </c>
      <c r="B247" s="4" t="s">
        <v>537</v>
      </c>
      <c r="D247" s="15">
        <f>Exogenous!K$38</f>
        <v>0.873</v>
      </c>
      <c r="E247" s="15">
        <f>Exogenous!L$38</f>
        <v>0.68</v>
      </c>
      <c r="F247" s="16">
        <f>Exogenous!M$38</f>
        <v>0.75</v>
      </c>
      <c r="G247" s="16">
        <f>Exogenous!N$38</f>
        <v>0.8</v>
      </c>
      <c r="H247" s="16">
        <f>Exogenous!O$38</f>
        <v>0.8</v>
      </c>
      <c r="I247" s="16">
        <f>Exogenous!P$38</f>
        <v>0.8</v>
      </c>
      <c r="J247" s="16">
        <f>Exogenous!Q$38</f>
        <v>0.8</v>
      </c>
      <c r="K247" s="7">
        <f ca="1">J$247*K$131/J$131</f>
        <v>0.8402691857387381</v>
      </c>
      <c r="L247" s="7">
        <f t="shared" ref="L247:T247" ca="1" si="127">K$247*L$131/K$131</f>
        <v>0.88236043824282573</v>
      </c>
      <c r="M247" s="7">
        <f t="shared" ca="1" si="127"/>
        <v>0.92464468227119101</v>
      </c>
      <c r="N247" s="7">
        <f t="shared" ca="1" si="127"/>
        <v>0.96730508333731624</v>
      </c>
      <c r="O247" s="7">
        <f t="shared" ca="1" si="127"/>
        <v>1.010890362727902</v>
      </c>
      <c r="P247" s="7">
        <f t="shared" ca="1" si="127"/>
        <v>1.0561390238005954</v>
      </c>
      <c r="Q247" s="7">
        <f t="shared" ca="1" si="127"/>
        <v>1.1029917145282566</v>
      </c>
      <c r="R247" s="7">
        <f t="shared" ca="1" si="127"/>
        <v>1.1495657537866744</v>
      </c>
      <c r="S247" s="7">
        <f t="shared" ca="1" si="127"/>
        <v>1.1975812827760932</v>
      </c>
      <c r="T247" s="7">
        <f t="shared" ca="1" si="127"/>
        <v>1.2471340839399754</v>
      </c>
    </row>
    <row r="248" spans="1:20" x14ac:dyDescent="0.2">
      <c r="A248" s="1" t="s">
        <v>540</v>
      </c>
      <c r="B248" s="4" t="str">
        <f>$B$38</f>
        <v>From Fiscal</v>
      </c>
      <c r="D248" s="15">
        <f>'Fiscal Forecasts'!D$57-SUM(D$245:D$247)</f>
        <v>2.5500000000000003</v>
      </c>
      <c r="E248" s="15">
        <f>'Fiscal Forecasts'!E$57-SUM(E$245:E$247)</f>
        <v>2.75</v>
      </c>
      <c r="F248" s="16">
        <f>'Fiscal Forecasts'!F$57-SUM(F$245:F$247)</f>
        <v>2.64</v>
      </c>
      <c r="G248" s="16">
        <f>'Fiscal Forecasts'!G$57-SUM(G$245:G$247)</f>
        <v>3.593</v>
      </c>
      <c r="H248" s="16">
        <f>'Fiscal Forecasts'!H$57-SUM(H$245:H$247)</f>
        <v>3.0950000000000006</v>
      </c>
      <c r="I248" s="16">
        <f>'Fiscal Forecasts'!I$57-SUM(I$245:I$247)</f>
        <v>2.9219999999999997</v>
      </c>
      <c r="J248" s="16">
        <f>'Fiscal Forecasts'!J$57-SUM(J$245:J$247)</f>
        <v>2.7880000000000003</v>
      </c>
      <c r="K248" s="7">
        <f ca="1">SUM(J$248,IF(OFFSET(Assumptions!$B$57,0,$C$1)="Yes",Allocate!$B$17,0)*SUM(K$220,K$223))</f>
        <v>2.7880000000000003</v>
      </c>
      <c r="L248" s="7">
        <f ca="1">SUM(K$248,IF(OFFSET(Assumptions!$B$57,0,$C$1)="Yes",Allocate!$B$17,0)*SUM(L$220,L$223))</f>
        <v>2.7880000000000003</v>
      </c>
      <c r="M248" s="7">
        <f ca="1">SUM(L$248,IF(OFFSET(Assumptions!$B$57,0,$C$1)="Yes",Allocate!$B$17,0)*SUM(M$220,M$223))</f>
        <v>2.7880000000000003</v>
      </c>
      <c r="N248" s="7">
        <f ca="1">SUM(M$248,IF(OFFSET(Assumptions!$B$57,0,$C$1)="Yes",Allocate!$B$17,0)*SUM(N$220,N$223))</f>
        <v>2.7880000000000003</v>
      </c>
      <c r="O248" s="7">
        <f ca="1">SUM(N$248,IF(OFFSET(Assumptions!$B$57,0,$C$1)="Yes",Allocate!$B$17,0)*SUM(O$220,O$223))</f>
        <v>2.7880000000000003</v>
      </c>
      <c r="P248" s="7">
        <f ca="1">SUM(O$248,IF(OFFSET(Assumptions!$B$57,0,$C$1)="Yes",Allocate!$B$17,0)*SUM(P$220,P$223))</f>
        <v>2.7880000000000003</v>
      </c>
      <c r="Q248" s="7">
        <f ca="1">SUM(P$248,IF(OFFSET(Assumptions!$B$57,0,$C$1)="Yes",Allocate!$B$17,0)*SUM(Q$220,Q$223))</f>
        <v>2.7880000000000003</v>
      </c>
      <c r="R248" s="7">
        <f ca="1">SUM(Q$248,IF(OFFSET(Assumptions!$B$57,0,$C$1)="Yes",Allocate!$B$17,0)*SUM(R$220,R$223))</f>
        <v>2.7880000000000003</v>
      </c>
      <c r="S248" s="7">
        <f ca="1">SUM(R$248,IF(OFFSET(Assumptions!$B$57,0,$C$1)="Yes",Allocate!$B$17,0)*SUM(S$220,S$223))</f>
        <v>2.7880000000000003</v>
      </c>
      <c r="T248" s="7">
        <f ca="1">SUM(S$248,IF(OFFSET(Assumptions!$B$57,0,$C$1)="Yes",Allocate!$B$17,0)*SUM(T$220,T$223))</f>
        <v>2.7880000000000003</v>
      </c>
    </row>
    <row r="249" spans="1:20" ht="15" x14ac:dyDescent="0.25">
      <c r="A249" s="2" t="s">
        <v>541</v>
      </c>
      <c r="D249" s="35">
        <f>SUM(D$245:D$248)</f>
        <v>4.1340000000000003</v>
      </c>
      <c r="E249" s="35">
        <f>SUM(E$245:E$248)</f>
        <v>4.1020000000000003</v>
      </c>
      <c r="F249" s="34">
        <f>SUM(F$245:F$248)</f>
        <v>4.157</v>
      </c>
      <c r="G249" s="34">
        <f t="shared" ref="G249:J249" si="128">SUM(G$245:G$248)</f>
        <v>5.2149999999999999</v>
      </c>
      <c r="H249" s="34">
        <f t="shared" si="128"/>
        <v>4.6660000000000004</v>
      </c>
      <c r="I249" s="34">
        <f t="shared" si="128"/>
        <v>4.5039999999999996</v>
      </c>
      <c r="J249" s="34">
        <f t="shared" si="128"/>
        <v>4.3810000000000002</v>
      </c>
      <c r="K249" s="38">
        <f t="shared" ref="K249:T249" ca="1" si="129">SUM(K$245:K$248)</f>
        <v>4.4867924282780764</v>
      </c>
      <c r="L249" s="38">
        <f t="shared" ca="1" si="129"/>
        <v>4.582051574621266</v>
      </c>
      <c r="M249" s="38">
        <f t="shared" ca="1" si="129"/>
        <v>4.6802096193129064</v>
      </c>
      <c r="N249" s="38">
        <f t="shared" ca="1" si="129"/>
        <v>4.7815393375655608</v>
      </c>
      <c r="O249" s="38">
        <f t="shared" ca="1" si="129"/>
        <v>4.886311753678199</v>
      </c>
      <c r="P249" s="38">
        <f t="shared" ca="1" si="129"/>
        <v>4.9932666760852857</v>
      </c>
      <c r="Q249" s="38">
        <f t="shared" ca="1" si="129"/>
        <v>5.0973644893857095</v>
      </c>
      <c r="R249" s="38">
        <f t="shared" ca="1" si="129"/>
        <v>5.2020451008924571</v>
      </c>
      <c r="S249" s="38">
        <f t="shared" ca="1" si="129"/>
        <v>5.3092728878865563</v>
      </c>
      <c r="T249" s="38">
        <f t="shared" ca="1" si="129"/>
        <v>5.4191690169796445</v>
      </c>
    </row>
    <row r="250" spans="1:20" ht="15" x14ac:dyDescent="0.25">
      <c r="A250" s="2" t="s">
        <v>542</v>
      </c>
      <c r="B250" s="4" t="str">
        <f>$B$38</f>
        <v>From Fiscal</v>
      </c>
      <c r="D250" s="40">
        <f>'Fiscal Forecasts'!D$40</f>
        <v>3.8980000000000001</v>
      </c>
      <c r="E250" s="40">
        <f>'Fiscal Forecasts'!E$40</f>
        <v>3.95</v>
      </c>
      <c r="F250" s="39">
        <f>'Fiscal Forecasts'!F$40</f>
        <v>4.1529999999999996</v>
      </c>
      <c r="G250" s="39">
        <f>'Fiscal Forecasts'!G$40</f>
        <v>5.343</v>
      </c>
      <c r="H250" s="39">
        <f>'Fiscal Forecasts'!H$40</f>
        <v>4.6550000000000002</v>
      </c>
      <c r="I250" s="39">
        <f>'Fiscal Forecasts'!I$40</f>
        <v>4.4770000000000003</v>
      </c>
      <c r="J250" s="39">
        <f>'Fiscal Forecasts'!J$40</f>
        <v>4.32</v>
      </c>
      <c r="K250" s="8">
        <f ca="1">IF(K$6=OFFSET(Assumptions!$B$8,0,$C$1),AVERAGE(H$250/H$249,I$250/I$249,J$250/J$249),J$250/J$249)*K$249</f>
        <v>4.4534766294043955</v>
      </c>
      <c r="L250" s="8">
        <f ca="1">IF(L$6=OFFSET(Assumptions!$B$8,0,$C$1),AVERAGE(I$250/I$249,J$250/J$249,K$250/K$249),K$250/K$249)*L$249</f>
        <v>4.5480284476036648</v>
      </c>
      <c r="M250" s="8">
        <f ca="1">IF(M$6=OFFSET(Assumptions!$B$8,0,$C$1),AVERAGE(J$250/J$249,K$250/K$249,L$250/L$249),L$250/L$249)*M$249</f>
        <v>4.645457638949166</v>
      </c>
      <c r="N250" s="8">
        <f ca="1">IF(N$6=OFFSET(Assumptions!$B$8,0,$C$1),AVERAGE(K$250/K$249,L$250/L$249,M$250/M$249),M$250/M$249)*N$249</f>
        <v>4.7460349532145187</v>
      </c>
      <c r="O250" s="8">
        <f ca="1">IF(O$6=OFFSET(Assumptions!$B$8,0,$C$1),AVERAGE(L$250/L$249,M$250/M$249,N$250/N$249),N$250/N$249)*O$249</f>
        <v>4.8500294022608141</v>
      </c>
      <c r="P250" s="8">
        <f ca="1">IF(P$6=OFFSET(Assumptions!$B$8,0,$C$1),AVERAGE(M$250/M$249,N$250/N$249,O$250/O$249),O$250/O$249)*P$249</f>
        <v>4.9561901518282996</v>
      </c>
      <c r="Q250" s="8">
        <f ca="1">IF(Q$6=OFFSET(Assumptions!$B$8,0,$C$1),AVERAGE(N$250/N$249,O$250/O$249,P$250/P$249),P$250/P$249)*Q$249</f>
        <v>5.0595150071935064</v>
      </c>
      <c r="R250" s="8">
        <f ca="1">IF(R$6=OFFSET(Assumptions!$B$8,0,$C$1),AVERAGE(O$250/O$249,P$250/P$249,Q$250/Q$249),Q$250/Q$249)*R$249</f>
        <v>5.1634183333110411</v>
      </c>
      <c r="S250" s="8">
        <f ca="1">IF(S$6=OFFSET(Assumptions!$B$8,0,$C$1),AVERAGE(P$250/P$249,Q$250/Q$249,R$250/R$249),R$250/R$249)*S$249</f>
        <v>5.2698499213629626</v>
      </c>
      <c r="T250" s="8">
        <f ca="1">IF(T$6=OFFSET(Assumptions!$B$8,0,$C$1),AVERAGE(Q$250/Q$249,R$250/R$249,S$250/S$249),S$250/S$249)*T$249</f>
        <v>5.3789300382619532</v>
      </c>
    </row>
    <row r="251" spans="1:20" ht="15" x14ac:dyDescent="0.25">
      <c r="A251" s="2"/>
      <c r="B251" s="4"/>
      <c r="D251" s="40"/>
      <c r="E251" s="40"/>
      <c r="F251" s="39"/>
      <c r="G251" s="39"/>
      <c r="H251" s="39"/>
      <c r="I251" s="39"/>
      <c r="J251" s="39"/>
      <c r="K251" s="8"/>
      <c r="L251" s="8"/>
      <c r="M251" s="8"/>
      <c r="N251" s="8"/>
      <c r="O251" s="8"/>
      <c r="P251" s="8"/>
      <c r="Q251" s="8"/>
      <c r="R251" s="8"/>
      <c r="S251" s="8"/>
      <c r="T251" s="8"/>
    </row>
    <row r="252" spans="1:20" ht="15" x14ac:dyDescent="0.25">
      <c r="A252" s="19" t="s">
        <v>601</v>
      </c>
      <c r="B252" s="4"/>
      <c r="C252" s="8"/>
      <c r="D252" s="8"/>
      <c r="E252" s="8"/>
      <c r="F252" s="8"/>
      <c r="G252" s="8"/>
      <c r="H252" s="8"/>
      <c r="I252" s="8"/>
      <c r="J252" s="8"/>
      <c r="K252" s="8"/>
      <c r="L252" s="8"/>
      <c r="M252" s="8"/>
      <c r="N252" s="8"/>
      <c r="O252" s="8"/>
      <c r="P252" s="8"/>
      <c r="Q252" s="8"/>
      <c r="R252" s="8"/>
      <c r="S252" s="8"/>
      <c r="T252" s="8"/>
    </row>
    <row r="253" spans="1:20" ht="15" x14ac:dyDescent="0.25">
      <c r="A253" s="2" t="s">
        <v>543</v>
      </c>
      <c r="B253" s="4" t="str">
        <f t="shared" ref="B253:B258" si="130">$B$38</f>
        <v>From Fiscal</v>
      </c>
      <c r="D253" s="40">
        <f>'Fiscal Forecasts'!D$58</f>
        <v>3.5150000000000001</v>
      </c>
      <c r="E253" s="40">
        <f>'Fiscal Forecasts'!E$58</f>
        <v>3.6480000000000001</v>
      </c>
      <c r="F253" s="39">
        <f>'Fiscal Forecasts'!F$58</f>
        <v>3.9860000000000002</v>
      </c>
      <c r="G253" s="39">
        <f>'Fiscal Forecasts'!G$58</f>
        <v>4.1189999999999998</v>
      </c>
      <c r="H253" s="39">
        <f>'Fiscal Forecasts'!H$58</f>
        <v>4.1779999999999999</v>
      </c>
      <c r="I253" s="39">
        <f>'Fiscal Forecasts'!I$58</f>
        <v>4.2220000000000004</v>
      </c>
      <c r="J253" s="39">
        <f>'Fiscal Forecasts'!J$58</f>
        <v>4.2779999999999996</v>
      </c>
      <c r="K253" s="8">
        <f ca="1">SUM(J$253,IF(OFFSET(Assumptions!$B$57,0,$C$1)="Yes",Allocate!$B$18,0)*SUM(K$220,K$223))</f>
        <v>4.2779999999999996</v>
      </c>
      <c r="L253" s="8">
        <f ca="1">SUM(K$253,IF(OFFSET(Assumptions!$B$57,0,$C$1)="Yes",Allocate!$B$18,0)*SUM(L$220,L$223))</f>
        <v>4.2779999999999996</v>
      </c>
      <c r="M253" s="8">
        <f ca="1">SUM(L$253,IF(OFFSET(Assumptions!$B$57,0,$C$1)="Yes",Allocate!$B$18,0)*SUM(M$220,M$223))</f>
        <v>4.2779999999999996</v>
      </c>
      <c r="N253" s="8">
        <f ca="1">SUM(M$253,IF(OFFSET(Assumptions!$B$57,0,$C$1)="Yes",Allocate!$B$18,0)*SUM(N$220,N$223))</f>
        <v>4.2779999999999996</v>
      </c>
      <c r="O253" s="8">
        <f ca="1">SUM(N$253,IF(OFFSET(Assumptions!$B$57,0,$C$1)="Yes",Allocate!$B$18,0)*SUM(O$220,O$223))</f>
        <v>4.2779999999999996</v>
      </c>
      <c r="P253" s="8">
        <f ca="1">SUM(O$253,IF(OFFSET(Assumptions!$B$57,0,$C$1)="Yes",Allocate!$B$18,0)*SUM(P$220,P$223))</f>
        <v>4.2779999999999996</v>
      </c>
      <c r="Q253" s="8">
        <f ca="1">SUM(P$253,IF(OFFSET(Assumptions!$B$57,0,$C$1)="Yes",Allocate!$B$18,0)*SUM(Q$220,Q$223))</f>
        <v>4.2779999999999996</v>
      </c>
      <c r="R253" s="8">
        <f ca="1">SUM(Q$253,IF(OFFSET(Assumptions!$B$57,0,$C$1)="Yes",Allocate!$B$18,0)*SUM(R$220,R$223))</f>
        <v>4.2779999999999996</v>
      </c>
      <c r="S253" s="8">
        <f ca="1">SUM(R$253,IF(OFFSET(Assumptions!$B$57,0,$C$1)="Yes",Allocate!$B$18,0)*SUM(S$220,S$223))</f>
        <v>4.2779999999999996</v>
      </c>
      <c r="T253" s="8">
        <f ca="1">SUM(S$253,IF(OFFSET(Assumptions!$B$57,0,$C$1)="Yes",Allocate!$B$18,0)*SUM(T$220,T$223))</f>
        <v>4.2779999999999996</v>
      </c>
    </row>
    <row r="254" spans="1:20" ht="15" x14ac:dyDescent="0.25">
      <c r="A254" s="2" t="s">
        <v>544</v>
      </c>
      <c r="B254" s="4" t="str">
        <f t="shared" si="130"/>
        <v>From Fiscal</v>
      </c>
      <c r="D254" s="40">
        <f>'Fiscal Forecasts'!D$41</f>
        <v>3.73</v>
      </c>
      <c r="E254" s="40">
        <f>'Fiscal Forecasts'!E$41</f>
        <v>3.8940000000000001</v>
      </c>
      <c r="F254" s="39">
        <f>'Fiscal Forecasts'!F$41</f>
        <v>4.2530000000000001</v>
      </c>
      <c r="G254" s="39">
        <f>'Fiscal Forecasts'!G$41</f>
        <v>4.4349999999999996</v>
      </c>
      <c r="H254" s="39">
        <f>'Fiscal Forecasts'!H$41</f>
        <v>4.5369999999999999</v>
      </c>
      <c r="I254" s="39">
        <f>'Fiscal Forecasts'!I$41</f>
        <v>4.59</v>
      </c>
      <c r="J254" s="39">
        <f>'Fiscal Forecasts'!J$41</f>
        <v>4.6310000000000002</v>
      </c>
      <c r="K254" s="8">
        <f ca="1">IF(K$6=OFFSET(Assumptions!$B$8,0,$C$1),AVERAGE(H$254/H$253,I$254/I$253,J$254/J$253),J$254/J$253)*K$253</f>
        <v>4.6424912423523033</v>
      </c>
      <c r="L254" s="8">
        <f ca="1">IF(L$6=OFFSET(Assumptions!$B$8,0,$C$1),AVERAGE(I$254/I$253,J$254/J$253,K$254/K$253),K$254/K$253)*L$253</f>
        <v>4.6424912423523033</v>
      </c>
      <c r="M254" s="8">
        <f ca="1">IF(M$6=OFFSET(Assumptions!$B$8,0,$C$1),AVERAGE(J$254/J$253,K$254/K$253,L$254/L$253),L$254/L$253)*M$253</f>
        <v>4.6424912423523033</v>
      </c>
      <c r="N254" s="8">
        <f ca="1">IF(N$6=OFFSET(Assumptions!$B$8,0,$C$1),AVERAGE(K$254/K$253,L$254/L$253,M$254/M$253),M$254/M$253)*N$253</f>
        <v>4.6424912423523033</v>
      </c>
      <c r="O254" s="8">
        <f ca="1">IF(O$6=OFFSET(Assumptions!$B$8,0,$C$1),AVERAGE(L$254/L$253,M$254/M$253,N$254/N$253),N$254/N$253)*O$253</f>
        <v>4.6424912423523033</v>
      </c>
      <c r="P254" s="8">
        <f ca="1">IF(P$6=OFFSET(Assumptions!$B$8,0,$C$1),AVERAGE(M$254/M$253,N$254/N$253,O$254/O$253),O$254/O$253)*P$253</f>
        <v>4.6424912423523033</v>
      </c>
      <c r="Q254" s="8">
        <f ca="1">IF(Q$6=OFFSET(Assumptions!$B$8,0,$C$1),AVERAGE(N$254/N$253,O$254/O$253,P$254/P$253),P$254/P$253)*Q$253</f>
        <v>4.6424912423523033</v>
      </c>
      <c r="R254" s="8">
        <f ca="1">IF(R$6=OFFSET(Assumptions!$B$8,0,$C$1),AVERAGE(O$254/O$253,P$254/P$253,Q$254/Q$253),Q$254/Q$253)*R$253</f>
        <v>4.6424912423523033</v>
      </c>
      <c r="S254" s="8">
        <f ca="1">IF(S$6=OFFSET(Assumptions!$B$8,0,$C$1),AVERAGE(P$254/P$253,Q$254/Q$253,R$254/R$253),R$254/R$253)*S$253</f>
        <v>4.6424912423523033</v>
      </c>
      <c r="T254" s="8">
        <f ca="1">IF(T$6=OFFSET(Assumptions!$B$8,0,$C$1),AVERAGE(Q$254/Q$253,R$254/R$253,S$254/S$253),S$254/S$253)*T$253</f>
        <v>4.6424912423523033</v>
      </c>
    </row>
    <row r="255" spans="1:20" ht="15" x14ac:dyDescent="0.25">
      <c r="A255" s="2"/>
      <c r="B255" s="4"/>
      <c r="D255" s="40"/>
      <c r="E255" s="40"/>
      <c r="F255" s="39"/>
      <c r="G255" s="39"/>
      <c r="H255" s="39"/>
      <c r="I255" s="39"/>
      <c r="J255" s="39"/>
      <c r="K255" s="8"/>
      <c r="L255" s="8"/>
      <c r="M255" s="8"/>
      <c r="N255" s="8"/>
      <c r="O255" s="8"/>
      <c r="P255" s="8"/>
      <c r="Q255" s="8"/>
      <c r="R255" s="8"/>
      <c r="S255" s="8"/>
      <c r="T255" s="8"/>
    </row>
    <row r="256" spans="1:20" ht="15" x14ac:dyDescent="0.25">
      <c r="A256" s="19" t="s">
        <v>602</v>
      </c>
      <c r="B256" s="4"/>
      <c r="D256" s="40"/>
      <c r="E256" s="40"/>
      <c r="F256" s="40"/>
      <c r="G256" s="40"/>
      <c r="H256" s="40"/>
      <c r="I256" s="40"/>
      <c r="J256" s="40"/>
      <c r="K256" s="8"/>
      <c r="L256" s="8"/>
      <c r="M256" s="8"/>
      <c r="N256" s="8"/>
      <c r="O256" s="8"/>
      <c r="P256" s="8"/>
      <c r="Q256" s="8"/>
      <c r="R256" s="8"/>
      <c r="S256" s="8"/>
      <c r="T256" s="8"/>
    </row>
    <row r="257" spans="1:20" ht="15" x14ac:dyDescent="0.25">
      <c r="A257" s="2" t="s">
        <v>545</v>
      </c>
      <c r="B257" s="4" t="str">
        <f t="shared" si="130"/>
        <v>From Fiscal</v>
      </c>
      <c r="D257" s="40">
        <f>'Fiscal Forecasts'!D$59</f>
        <v>1.9610000000000001</v>
      </c>
      <c r="E257" s="40">
        <f>'Fiscal Forecasts'!E$59</f>
        <v>2.0259999999999998</v>
      </c>
      <c r="F257" s="39">
        <f>'Fiscal Forecasts'!F$59</f>
        <v>2.145</v>
      </c>
      <c r="G257" s="39">
        <f>'Fiscal Forecasts'!G$59</f>
        <v>2.294</v>
      </c>
      <c r="H257" s="39">
        <f>'Fiscal Forecasts'!H$59</f>
        <v>2.36</v>
      </c>
      <c r="I257" s="39">
        <f>'Fiscal Forecasts'!I$59</f>
        <v>2.37</v>
      </c>
      <c r="J257" s="39">
        <f>'Fiscal Forecasts'!J$59</f>
        <v>2.38</v>
      </c>
      <c r="K257" s="8">
        <f ca="1">SUM(J$257,IF(OFFSET(Assumptions!$B$57,0,$C$1)="Yes",Allocate!$B$19,0)*SUM(K$220,K$223))</f>
        <v>2.38</v>
      </c>
      <c r="L257" s="8">
        <f ca="1">SUM(K$257,IF(OFFSET(Assumptions!$B$57,0,$C$1)="Yes",Allocate!$B$19,0)*SUM(L$220,L$223))</f>
        <v>2.38</v>
      </c>
      <c r="M257" s="8">
        <f ca="1">SUM(L$257,IF(OFFSET(Assumptions!$B$57,0,$C$1)="Yes",Allocate!$B$19,0)*SUM(M$220,M$223))</f>
        <v>2.38</v>
      </c>
      <c r="N257" s="8">
        <f ca="1">SUM(M$257,IF(OFFSET(Assumptions!$B$57,0,$C$1)="Yes",Allocate!$B$19,0)*SUM(N$220,N$223))</f>
        <v>2.38</v>
      </c>
      <c r="O257" s="8">
        <f ca="1">SUM(N$257,IF(OFFSET(Assumptions!$B$57,0,$C$1)="Yes",Allocate!$B$19,0)*SUM(O$220,O$223))</f>
        <v>2.38</v>
      </c>
      <c r="P257" s="8">
        <f ca="1">SUM(O$257,IF(OFFSET(Assumptions!$B$57,0,$C$1)="Yes",Allocate!$B$19,0)*SUM(P$220,P$223))</f>
        <v>2.38</v>
      </c>
      <c r="Q257" s="8">
        <f ca="1">SUM(P$257,IF(OFFSET(Assumptions!$B$57,0,$C$1)="Yes",Allocate!$B$19,0)*SUM(Q$220,Q$223))</f>
        <v>2.38</v>
      </c>
      <c r="R257" s="8">
        <f ca="1">SUM(Q$257,IF(OFFSET(Assumptions!$B$57,0,$C$1)="Yes",Allocate!$B$19,0)*SUM(R$220,R$223))</f>
        <v>2.38</v>
      </c>
      <c r="S257" s="8">
        <f ca="1">SUM(R$257,IF(OFFSET(Assumptions!$B$57,0,$C$1)="Yes",Allocate!$B$19,0)*SUM(S$220,S$223))</f>
        <v>2.38</v>
      </c>
      <c r="T257" s="8">
        <f ca="1">SUM(S$257,IF(OFFSET(Assumptions!$B$57,0,$C$1)="Yes",Allocate!$B$19,0)*SUM(T$220,T$223))</f>
        <v>2.38</v>
      </c>
    </row>
    <row r="258" spans="1:20" ht="15" x14ac:dyDescent="0.25">
      <c r="A258" s="2" t="s">
        <v>546</v>
      </c>
      <c r="B258" s="4" t="str">
        <f t="shared" si="130"/>
        <v>From Fiscal</v>
      </c>
      <c r="D258" s="40">
        <f>'Fiscal Forecasts'!D$42</f>
        <v>1.917</v>
      </c>
      <c r="E258" s="40">
        <f>'Fiscal Forecasts'!E$42</f>
        <v>2.0129999999999999</v>
      </c>
      <c r="F258" s="39">
        <f>'Fiscal Forecasts'!F$42</f>
        <v>2.137</v>
      </c>
      <c r="G258" s="39">
        <f>'Fiscal Forecasts'!G$42</f>
        <v>2.286</v>
      </c>
      <c r="H258" s="39">
        <f>'Fiscal Forecasts'!H$42</f>
        <v>2.351</v>
      </c>
      <c r="I258" s="39">
        <f>'Fiscal Forecasts'!I$42</f>
        <v>2.3620000000000001</v>
      </c>
      <c r="J258" s="39">
        <f>'Fiscal Forecasts'!J$42</f>
        <v>2.3719999999999999</v>
      </c>
      <c r="K258" s="8">
        <f ca="1">IF(K$6=OFFSET(Assumptions!$B$8,0,$C$1),AVERAGE(H$258/H$257,I$258/I$257,J$258/J$257),J$258/J$257)*K$257</f>
        <v>2.3716299911797658</v>
      </c>
      <c r="L258" s="8">
        <f ca="1">IF(L$6=OFFSET(Assumptions!$B$8,0,$C$1),AVERAGE(I$258/I$257,J$258/J$257,K$258/K$257),K$258/K$257)*L$257</f>
        <v>2.3716299911797658</v>
      </c>
      <c r="M258" s="8">
        <f ca="1">IF(M$6=OFFSET(Assumptions!$B$8,0,$C$1),AVERAGE(J$258/J$257,K$258/K$257,L$258/L$257),L$258/L$257)*M$257</f>
        <v>2.3716299911797658</v>
      </c>
      <c r="N258" s="8">
        <f ca="1">IF(N$6=OFFSET(Assumptions!$B$8,0,$C$1),AVERAGE(K$258/K$257,L$258/L$257,M$258/M$257),M$258/M$257)*N$257</f>
        <v>2.3716299911797658</v>
      </c>
      <c r="O258" s="8">
        <f ca="1">IF(O$6=OFFSET(Assumptions!$B$8,0,$C$1),AVERAGE(L$258/L$257,M$258/M$257,N$258/N$257),N$258/N$257)*O$257</f>
        <v>2.3716299911797658</v>
      </c>
      <c r="P258" s="8">
        <f ca="1">IF(P$6=OFFSET(Assumptions!$B$8,0,$C$1),AVERAGE(M$258/M$257,N$258/N$257,O$258/O$257),O$258/O$257)*P$257</f>
        <v>2.3716299911797658</v>
      </c>
      <c r="Q258" s="8">
        <f ca="1">IF(Q$6=OFFSET(Assumptions!$B$8,0,$C$1),AVERAGE(N$258/N$257,O$258/O$257,P$258/P$257),P$258/P$257)*Q$257</f>
        <v>2.3716299911797658</v>
      </c>
      <c r="R258" s="8">
        <f ca="1">IF(R$6=OFFSET(Assumptions!$B$8,0,$C$1),AVERAGE(O$258/O$257,P$258/P$257,Q$258/Q$257),Q$258/Q$257)*R$257</f>
        <v>2.3716299911797658</v>
      </c>
      <c r="S258" s="8">
        <f ca="1">IF(S$6=OFFSET(Assumptions!$B$8,0,$C$1),AVERAGE(P$258/P$257,Q$258/Q$257,R$258/R$257),R$258/R$257)*S$257</f>
        <v>2.3716299911797658</v>
      </c>
      <c r="T258" s="8">
        <f ca="1">IF(T$6=OFFSET(Assumptions!$B$8,0,$C$1),AVERAGE(Q$258/Q$257,R$258/R$257,S$258/S$257),S$258/S$257)*T$257</f>
        <v>2.3716299911797658</v>
      </c>
    </row>
    <row r="259" spans="1:20" ht="15" x14ac:dyDescent="0.25">
      <c r="A259" s="2"/>
      <c r="B259" s="4"/>
      <c r="D259" s="40"/>
      <c r="E259" s="40"/>
      <c r="F259" s="39"/>
      <c r="G259" s="39"/>
      <c r="H259" s="39"/>
      <c r="I259" s="39"/>
      <c r="J259" s="39"/>
      <c r="K259" s="8"/>
      <c r="L259" s="8"/>
      <c r="M259" s="8"/>
      <c r="N259" s="8"/>
      <c r="O259" s="8"/>
      <c r="P259" s="8"/>
      <c r="Q259" s="8"/>
      <c r="R259" s="8"/>
      <c r="S259" s="8"/>
      <c r="T259" s="8"/>
    </row>
    <row r="260" spans="1:20" ht="15" x14ac:dyDescent="0.25">
      <c r="A260" s="19" t="s">
        <v>547</v>
      </c>
      <c r="B260" s="4"/>
      <c r="D260" s="8"/>
      <c r="E260" s="8"/>
      <c r="F260" s="8"/>
      <c r="G260" s="8"/>
      <c r="H260" s="8"/>
      <c r="I260" s="8"/>
      <c r="J260" s="8"/>
      <c r="K260" s="8"/>
      <c r="L260" s="8"/>
      <c r="M260" s="8"/>
      <c r="N260" s="8"/>
      <c r="O260" s="8"/>
      <c r="P260" s="8"/>
      <c r="Q260" s="8"/>
      <c r="R260" s="8"/>
      <c r="S260" s="8"/>
      <c r="T260" s="8"/>
    </row>
    <row r="261" spans="1:20" x14ac:dyDescent="0.2">
      <c r="A261" s="1" t="s">
        <v>307</v>
      </c>
      <c r="B261" s="4" t="str">
        <f t="shared" ref="B261:B264" si="131">$B$38</f>
        <v>From Fiscal</v>
      </c>
      <c r="D261" s="15">
        <f>'Fiscal Forecasts'!D$60</f>
        <v>2.2909999999999999</v>
      </c>
      <c r="E261" s="15">
        <f>'Fiscal Forecasts'!E$60</f>
        <v>2.1779999999999999</v>
      </c>
      <c r="F261" s="16">
        <f>'Fiscal Forecasts'!F$60</f>
        <v>2.1819999999999999</v>
      </c>
      <c r="G261" s="16">
        <f>'Fiscal Forecasts'!G$60</f>
        <v>2.5369999999999999</v>
      </c>
      <c r="H261" s="16">
        <f>'Fiscal Forecasts'!H$60</f>
        <v>2.34</v>
      </c>
      <c r="I261" s="16">
        <f>'Fiscal Forecasts'!I$60</f>
        <v>2.274</v>
      </c>
      <c r="J261" s="16">
        <f>'Fiscal Forecasts'!J$60</f>
        <v>2.8069999999999999</v>
      </c>
      <c r="K261" s="7">
        <f ca="1">IF(K$6=OFFSET(Assumptions!$B$8,0,$C$1),AVERAGE(H$261/H$127,I$261/I$127,J$261/J$127),J$261/J$127)*K$127</f>
        <v>2.7325527866780224</v>
      </c>
      <c r="L261" s="7">
        <f ca="1">IF(L$6=OFFSET(Assumptions!$B$8,0,$C$1),AVERAGE(I$261/I$127,J$261/J$127,K$261/K$127),K$261/K$127)*L$127</f>
        <v>2.9678183995832921</v>
      </c>
      <c r="M261" s="7">
        <f ca="1">IF(M$6=OFFSET(Assumptions!$B$8,0,$C$1),AVERAGE(J$261/J$127,K$261/K$127,L$261/L$127),L$261/L$127)*M$127</f>
        <v>3.1309510298639762</v>
      </c>
      <c r="N261" s="7">
        <f ca="1">IF(N$6=OFFSET(Assumptions!$B$8,0,$C$1),AVERAGE(K$261/K$127,L$261/L$127,M$261/M$127),M$261/M$127)*N$127</f>
        <v>3.2676249284416148</v>
      </c>
      <c r="O261" s="7">
        <f ca="1">IF(O$6=OFFSET(Assumptions!$B$8,0,$C$1),AVERAGE(L$261/L$127,M$261/M$127,N$261/N$127),N$261/N$127)*O$127</f>
        <v>3.4088436999432692</v>
      </c>
      <c r="P261" s="7">
        <f ca="1">IF(P$6=OFFSET(Assumptions!$B$8,0,$C$1),AVERAGE(M$261/M$127,N$261/N$127,O$261/O$127),O$261/O$127)*P$127</f>
        <v>3.5551650831490309</v>
      </c>
      <c r="Q261" s="7">
        <f ca="1">IF(Q$6=OFFSET(Assumptions!$B$8,0,$C$1),AVERAGE(N$261/N$127,O$261/O$127,P$261/P$127),P$261/P$127)*Q$127</f>
        <v>3.7063627679646722</v>
      </c>
      <c r="R261" s="7">
        <f ca="1">IF(R$6=OFFSET(Assumptions!$B$8,0,$C$1),AVERAGE(O$261/O$127,P$261/P$127,Q$261/Q$127),Q$261/Q$127)*R$127</f>
        <v>3.8622681559232874</v>
      </c>
      <c r="S261" s="7">
        <f ca="1">IF(S$6=OFFSET(Assumptions!$B$8,0,$C$1),AVERAGE(P$261/P$127,Q$261/Q$127,R$261/R$127),R$261/R$127)*S$127</f>
        <v>4.0235889398756406</v>
      </c>
      <c r="T261" s="7">
        <f ca="1">IF(T$6=OFFSET(Assumptions!$B$8,0,$C$1),AVERAGE(Q$261/Q$127,R$261/R$127,S$261/S$127),S$261/S$127)*T$127</f>
        <v>4.1900745935597667</v>
      </c>
    </row>
    <row r="262" spans="1:20" x14ac:dyDescent="0.2">
      <c r="A262" s="1" t="s">
        <v>279</v>
      </c>
      <c r="B262" s="4" t="str">
        <f t="shared" si="131"/>
        <v>From Fiscal</v>
      </c>
      <c r="D262" s="15">
        <f>'Fiscal Forecasts'!D$198</f>
        <v>2.5640000000000001</v>
      </c>
      <c r="E262" s="15">
        <f>'Fiscal Forecasts'!E$198</f>
        <v>2.6579999999999999</v>
      </c>
      <c r="F262" s="16">
        <f>'Fiscal Forecasts'!F$198</f>
        <v>2.6339999999999999</v>
      </c>
      <c r="G262" s="16">
        <f>'Fiscal Forecasts'!G$198</f>
        <v>2.8359999999999999</v>
      </c>
      <c r="H262" s="16">
        <f>'Fiscal Forecasts'!H$198</f>
        <v>2.6459999999999999</v>
      </c>
      <c r="I262" s="16">
        <f>'Fiscal Forecasts'!I$198</f>
        <v>2.5430000000000001</v>
      </c>
      <c r="J262" s="16">
        <f>'Fiscal Forecasts'!J$198</f>
        <v>3.0489999999999999</v>
      </c>
      <c r="K262" s="7">
        <f ca="1">IF(K$6=OFFSET(Assumptions!$B$8,0,$C$1),AVERAGE(H$262/H$261,I$262/I$261,J$262/J$261),J$262/J$261)*K$261</f>
        <v>3.0379392655736557</v>
      </c>
      <c r="L262" s="7">
        <f ca="1">IF(L$6=OFFSET(Assumptions!$B$8,0,$C$1),AVERAGE(I$262/I$261,J$262/J$261,K$262/K$261),K$262/K$261)*L$261</f>
        <v>3.299497851657939</v>
      </c>
      <c r="M262" s="7">
        <f ca="1">IF(M$6=OFFSET(Assumptions!$B$8,0,$C$1),AVERAGE(J$262/J$261,K$262/K$261,L$262/L$261),L$262/L$261)*M$261</f>
        <v>3.4808619685533668</v>
      </c>
      <c r="N262" s="7">
        <f ca="1">IF(N$6=OFFSET(Assumptions!$B$8,0,$C$1),AVERAGE(K$262/K$261,L$262/L$261,M$262/M$261),M$262/M$261)*N$261</f>
        <v>3.632810360947575</v>
      </c>
      <c r="O262" s="7">
        <f ca="1">IF(O$6=OFFSET(Assumptions!$B$8,0,$C$1),AVERAGE(L$262/L$261,M$262/M$261,N$262/N$261),N$262/N$261)*O$261</f>
        <v>3.7898115552419789</v>
      </c>
      <c r="P262" s="7">
        <f ca="1">IF(P$6=OFFSET(Assumptions!$B$8,0,$C$1),AVERAGE(M$262/M$261,N$262/N$261,O$262/O$261),O$262/O$261)*P$261</f>
        <v>3.9524856223637461</v>
      </c>
      <c r="Q262" s="7">
        <f ca="1">IF(Q$6=OFFSET(Assumptions!$B$8,0,$C$1),AVERAGE(N$262/N$261,O$262/O$261,P$262/P$261),P$262/P$261)*Q$261</f>
        <v>4.1205809601023722</v>
      </c>
      <c r="R262" s="7">
        <f ca="1">IF(R$6=OFFSET(Assumptions!$B$8,0,$C$1),AVERAGE(O$262/O$261,P$262/P$261,Q$262/Q$261),Q$262/Q$261)*R$261</f>
        <v>4.2939101276496778</v>
      </c>
      <c r="S262" s="7">
        <f ca="1">IF(S$6=OFFSET(Assumptions!$B$8,0,$C$1),AVERAGE(P$262/P$261,Q$262/Q$261,R$262/R$261),R$262/R$261)*S$261</f>
        <v>4.4732599086717579</v>
      </c>
      <c r="T262" s="7">
        <f ca="1">IF(T$6=OFFSET(Assumptions!$B$8,0,$C$1),AVERAGE(Q$262/Q$261,R$262/R$261,S$262/S$261),S$262/S$261)*T$261</f>
        <v>4.6583517784235493</v>
      </c>
    </row>
    <row r="263" spans="1:20" x14ac:dyDescent="0.2">
      <c r="A263" s="1" t="s">
        <v>506</v>
      </c>
      <c r="B263" s="4" t="str">
        <f t="shared" si="131"/>
        <v>From Fiscal</v>
      </c>
      <c r="D263" s="15">
        <f>'Fiscal Forecasts'!D$199</f>
        <v>6.9189999999999996</v>
      </c>
      <c r="E263" s="15">
        <f>'Fiscal Forecasts'!E$199</f>
        <v>7.0590000000000002</v>
      </c>
      <c r="F263" s="16">
        <f>'Fiscal Forecasts'!F$199</f>
        <v>6.9130000000000003</v>
      </c>
      <c r="G263" s="16">
        <f>'Fiscal Forecasts'!G$199</f>
        <v>7.2080000000000002</v>
      </c>
      <c r="H263" s="16">
        <f>'Fiscal Forecasts'!H$199</f>
        <v>7.5880000000000001</v>
      </c>
      <c r="I263" s="16">
        <f>'Fiscal Forecasts'!I$199</f>
        <v>7.9039999999999999</v>
      </c>
      <c r="J263" s="16">
        <f>'Fiscal Forecasts'!J$199</f>
        <v>8.2989999999999995</v>
      </c>
      <c r="K263" s="7">
        <f ca="1">IF(K$6=OFFSET(Assumptions!$B$8,0,$C$1),AVERAGE(H$263/H$13,I$263/I$13,J$263/J$13),J$263/J$13)*K$13</f>
        <v>8.6197428120669279</v>
      </c>
      <c r="L263" s="7">
        <f ca="1">IF(L$6=OFFSET(Assumptions!$B$8,0,$C$1),AVERAGE(I$263/I$13,J$263/J$13,K$263/K$13),K$263/K$13)*L$13</f>
        <v>8.9979204992880994</v>
      </c>
      <c r="M263" s="7">
        <f ca="1">IF(M$6=OFFSET(Assumptions!$B$8,0,$C$1),AVERAGE(J$263/J$13,K$263/K$13,L$263/L$13),L$263/L$13)*M$13</f>
        <v>9.3911277971919311</v>
      </c>
      <c r="N263" s="7">
        <f ca="1">IF(N$6=OFFSET(Assumptions!$B$8,0,$C$1),AVERAGE(K$263/K$13,L$263/L$13,M$263/M$13),M$263/M$13)*N$13</f>
        <v>9.801074179565985</v>
      </c>
      <c r="O263" s="7">
        <f ca="1">IF(O$6=OFFSET(Assumptions!$B$8,0,$C$1),AVERAGE(L$263/L$13,M$263/M$13,N$263/N$13),N$263/N$13)*O$13</f>
        <v>10.22465267628623</v>
      </c>
      <c r="P263" s="7">
        <f ca="1">IF(P$6=OFFSET(Assumptions!$B$8,0,$C$1),AVERAGE(M$263/M$13,N$263/N$13,O$263/O$13),O$263/O$13)*P$13</f>
        <v>10.663536196354221</v>
      </c>
      <c r="Q263" s="7">
        <f ca="1">IF(Q$6=OFFSET(Assumptions!$B$8,0,$C$1),AVERAGE(N$263/N$13,O$263/O$13,P$263/P$13),P$263/P$13)*Q$13</f>
        <v>11.11704593419414</v>
      </c>
      <c r="R263" s="7">
        <f ca="1">IF(R$6=OFFSET(Assumptions!$B$8,0,$C$1),AVERAGE(O$263/O$13,P$263/P$13,Q$263/Q$13),Q$263/Q$13)*R$13</f>
        <v>11.584676187310475</v>
      </c>
      <c r="S263" s="7">
        <f ca="1">IF(S$6=OFFSET(Assumptions!$B$8,0,$C$1),AVERAGE(P$263/P$13,Q$263/Q$13,R$263/R$13),R$263/R$13)*S$13</f>
        <v>12.068549644285483</v>
      </c>
      <c r="T263" s="7">
        <f ca="1">IF(T$6=OFFSET(Assumptions!$B$8,0,$C$1),AVERAGE(Q$263/Q$13,R$263/R$13,S$263/S$13),S$263/S$13)*T$13</f>
        <v>12.567914864384305</v>
      </c>
    </row>
    <row r="264" spans="1:20" x14ac:dyDescent="0.2">
      <c r="A264" s="1" t="s">
        <v>507</v>
      </c>
      <c r="B264" s="4" t="str">
        <f t="shared" si="131"/>
        <v>From Fiscal</v>
      </c>
      <c r="D264" s="15">
        <f>'Fiscal Forecasts'!D$43-SUM(D$261:D$263)</f>
        <v>-2.495000000000001</v>
      </c>
      <c r="E264" s="15">
        <f>'Fiscal Forecasts'!E$43-SUM(E$261:E$263)</f>
        <v>-2.4949999999999992</v>
      </c>
      <c r="F264" s="16">
        <f>'Fiscal Forecasts'!F$43-SUM(F$261:F$263)</f>
        <v>-2.4329999999999998</v>
      </c>
      <c r="G264" s="16">
        <f>'Fiscal Forecasts'!G$43-SUM(G$261:G$263)</f>
        <v>-2.802999999999999</v>
      </c>
      <c r="H264" s="16">
        <f>'Fiscal Forecasts'!H$43-SUM(H$261:H$263)</f>
        <v>-2.4909999999999997</v>
      </c>
      <c r="I264" s="16">
        <f>'Fiscal Forecasts'!I$43-SUM(I$261:I$263)</f>
        <v>-2.5299999999999994</v>
      </c>
      <c r="J264" s="16">
        <f>'Fiscal Forecasts'!J$43-SUM(J$261:J$263)</f>
        <v>-3.0350000000000001</v>
      </c>
      <c r="K264" s="7">
        <f ca="1">IF(K$6=OFFSET(Assumptions!$B$8,0,$C$1),AVERAGE(H$264/H$261,I$264/I$261,J$264/J$261),J$264/J$261)*K$261</f>
        <v>-2.9678550741383645</v>
      </c>
      <c r="L264" s="7">
        <f ca="1">IF(L$6=OFFSET(Assumptions!$B$8,0,$C$1),AVERAGE(I$264/I$261,J$264/J$261,K$264/K$261),K$264/K$261)*L$261</f>
        <v>-3.223379595543868</v>
      </c>
      <c r="M264" s="7">
        <f ca="1">IF(M$6=OFFSET(Assumptions!$B$8,0,$C$1),AVERAGE(J$264/J$261,K$264/K$261,L$264/L$261),L$264/L$261)*M$261</f>
        <v>-3.4005597059872805</v>
      </c>
      <c r="N264" s="7">
        <f ca="1">IF(N$6=OFFSET(Assumptions!$B$8,0,$C$1),AVERAGE(K$264/K$261,L$264/L$261,M$264/M$261),M$264/M$261)*N$261</f>
        <v>-3.5490027023580994</v>
      </c>
      <c r="O264" s="7">
        <f ca="1">IF(O$6=OFFSET(Assumptions!$B$8,0,$C$1),AVERAGE(L$264/L$261,M$264/M$261,N$264/N$261),N$264/N$261)*O$261</f>
        <v>-3.7023819342646469</v>
      </c>
      <c r="P264" s="7">
        <f ca="1">IF(P$6=OFFSET(Assumptions!$B$8,0,$C$1),AVERAGE(M$264/M$261,N$264/N$261,O$264/O$261),O$264/O$261)*P$261</f>
        <v>-3.8613031678156728</v>
      </c>
      <c r="Q264" s="7">
        <f ca="1">IF(Q$6=OFFSET(Assumptions!$B$8,0,$C$1),AVERAGE(N$264/N$261,O$264/O$261,P$264/P$261),P$264/P$261)*Q$261</f>
        <v>-4.0255206051752639</v>
      </c>
      <c r="R264" s="7">
        <f ca="1">IF(R$6=OFFSET(Assumptions!$B$8,0,$C$1),AVERAGE(O$264/O$261,P$264/P$261,Q$264/Q$261),Q$264/Q$261)*R$261</f>
        <v>-4.1948511297288258</v>
      </c>
      <c r="S264" s="7">
        <f ca="1">IF(S$6=OFFSET(Assumptions!$B$8,0,$C$1),AVERAGE(P$264/P$261,Q$264/Q$261,R$264/R$261),R$264/R$261)*S$261</f>
        <v>-4.3700633743197237</v>
      </c>
      <c r="T264" s="7">
        <f ca="1">IF(T$6=OFFSET(Assumptions!$B$8,0,$C$1),AVERAGE(Q$264/Q$261,R$264/R$261,S$264/S$261),S$264/S$261)*T$261</f>
        <v>-4.550885239670901</v>
      </c>
    </row>
    <row r="265" spans="1:20" ht="15" x14ac:dyDescent="0.25">
      <c r="A265" s="2" t="s">
        <v>548</v>
      </c>
      <c r="D265" s="35">
        <f t="shared" ref="D265:T265" si="132">SUM(D$261:D$264)</f>
        <v>9.2789999999999999</v>
      </c>
      <c r="E265" s="35">
        <f t="shared" si="132"/>
        <v>9.4</v>
      </c>
      <c r="F265" s="34">
        <f t="shared" si="132"/>
        <v>9.2959999999999994</v>
      </c>
      <c r="G265" s="34">
        <f t="shared" si="132"/>
        <v>9.7780000000000005</v>
      </c>
      <c r="H265" s="34">
        <f t="shared" si="132"/>
        <v>10.083</v>
      </c>
      <c r="I265" s="34">
        <f t="shared" si="132"/>
        <v>10.191000000000001</v>
      </c>
      <c r="J265" s="34">
        <f t="shared" si="132"/>
        <v>11.12</v>
      </c>
      <c r="K265" s="38">
        <f t="shared" ca="1" si="132"/>
        <v>11.422379790180241</v>
      </c>
      <c r="L265" s="38">
        <f t="shared" ca="1" si="132"/>
        <v>12.041857154985463</v>
      </c>
      <c r="M265" s="38">
        <f t="shared" ca="1" si="132"/>
        <v>12.602381089621993</v>
      </c>
      <c r="N265" s="38">
        <f t="shared" ca="1" si="132"/>
        <v>13.152506766597075</v>
      </c>
      <c r="O265" s="38">
        <f t="shared" ca="1" si="132"/>
        <v>13.72092599720683</v>
      </c>
      <c r="P265" s="38">
        <f t="shared" ca="1" si="132"/>
        <v>14.309883734051322</v>
      </c>
      <c r="Q265" s="38">
        <f t="shared" ca="1" si="132"/>
        <v>14.918469057085922</v>
      </c>
      <c r="R265" s="38">
        <f t="shared" ca="1" si="132"/>
        <v>15.546003341154616</v>
      </c>
      <c r="S265" s="38">
        <f t="shared" ca="1" si="132"/>
        <v>16.195335118513157</v>
      </c>
      <c r="T265" s="38">
        <f t="shared" ca="1" si="132"/>
        <v>16.865455996696721</v>
      </c>
    </row>
    <row r="266" spans="1:20" ht="15" x14ac:dyDescent="0.25">
      <c r="A266" s="2"/>
      <c r="D266" s="47"/>
      <c r="E266" s="47"/>
      <c r="F266" s="48"/>
      <c r="G266" s="48"/>
      <c r="H266" s="48"/>
      <c r="I266" s="48"/>
      <c r="J266" s="48"/>
      <c r="K266" s="49"/>
      <c r="L266" s="49"/>
      <c r="M266" s="49"/>
      <c r="N266" s="49"/>
      <c r="O266" s="49"/>
      <c r="P266" s="49"/>
      <c r="Q266" s="49"/>
      <c r="R266" s="49"/>
      <c r="S266" s="49"/>
      <c r="T266" s="49"/>
    </row>
    <row r="267" spans="1:20" ht="15" x14ac:dyDescent="0.25">
      <c r="A267" s="19" t="s">
        <v>549</v>
      </c>
      <c r="D267" s="47"/>
      <c r="E267" s="47"/>
      <c r="F267" s="48"/>
      <c r="G267" s="48"/>
      <c r="H267" s="48"/>
      <c r="I267" s="48"/>
      <c r="J267" s="48"/>
      <c r="K267" s="49"/>
      <c r="L267" s="49"/>
      <c r="M267" s="49"/>
      <c r="N267" s="49"/>
      <c r="O267" s="49"/>
      <c r="P267" s="49"/>
      <c r="Q267" s="49"/>
      <c r="R267" s="49"/>
      <c r="S267" s="49"/>
      <c r="T267" s="49"/>
    </row>
    <row r="268" spans="1:20" x14ac:dyDescent="0.2">
      <c r="A268" s="1" t="s">
        <v>1326</v>
      </c>
      <c r="D268" s="15">
        <f>D$211</f>
        <v>6.0000000000000001E-3</v>
      </c>
      <c r="E268" s="15">
        <f t="shared" ref="E268:T268" si="133">E$211</f>
        <v>0</v>
      </c>
      <c r="F268" s="16">
        <f t="shared" si="133"/>
        <v>3.0000000000000001E-3</v>
      </c>
      <c r="G268" s="16">
        <f t="shared" si="133"/>
        <v>0</v>
      </c>
      <c r="H268" s="16">
        <f t="shared" si="133"/>
        <v>4.0000000000000001E-3</v>
      </c>
      <c r="I268" s="16">
        <f t="shared" si="133"/>
        <v>0</v>
      </c>
      <c r="J268" s="16">
        <f t="shared" si="133"/>
        <v>0</v>
      </c>
      <c r="K268" s="7">
        <f t="shared" ca="1" si="133"/>
        <v>0</v>
      </c>
      <c r="L268" s="7">
        <f t="shared" ca="1" si="133"/>
        <v>0</v>
      </c>
      <c r="M268" s="7">
        <f t="shared" ca="1" si="133"/>
        <v>0</v>
      </c>
      <c r="N268" s="7">
        <f t="shared" ca="1" si="133"/>
        <v>0</v>
      </c>
      <c r="O268" s="7">
        <f t="shared" ca="1" si="133"/>
        <v>0</v>
      </c>
      <c r="P268" s="7">
        <f t="shared" ca="1" si="133"/>
        <v>0</v>
      </c>
      <c r="Q268" s="7">
        <f t="shared" ca="1" si="133"/>
        <v>0</v>
      </c>
      <c r="R268" s="7">
        <f t="shared" ca="1" si="133"/>
        <v>0</v>
      </c>
      <c r="S268" s="7">
        <f t="shared" ca="1" si="133"/>
        <v>0</v>
      </c>
      <c r="T268" s="7">
        <f t="shared" ca="1" si="133"/>
        <v>0</v>
      </c>
    </row>
    <row r="269" spans="1:20" x14ac:dyDescent="0.2">
      <c r="A269" s="1" t="s">
        <v>497</v>
      </c>
      <c r="D269" s="15">
        <f t="shared" ref="D269:T269" si="134">D$167</f>
        <v>0.85599999999999998</v>
      </c>
      <c r="E269" s="15">
        <f t="shared" si="134"/>
        <v>0.69799999999999995</v>
      </c>
      <c r="F269" s="16">
        <f t="shared" si="134"/>
        <v>0.80500000000000005</v>
      </c>
      <c r="G269" s="16">
        <f t="shared" si="134"/>
        <v>0.82799999999999996</v>
      </c>
      <c r="H269" s="16">
        <f t="shared" si="134"/>
        <v>0.86899999999999999</v>
      </c>
      <c r="I269" s="16">
        <f t="shared" si="134"/>
        <v>0.90900000000000003</v>
      </c>
      <c r="J269" s="16">
        <f t="shared" si="134"/>
        <v>0.95399999999999996</v>
      </c>
      <c r="K269" s="7">
        <f t="shared" ca="1" si="134"/>
        <v>0.995</v>
      </c>
      <c r="L269" s="7">
        <f t="shared" ca="1" si="134"/>
        <v>1.0386540633507413</v>
      </c>
      <c r="M269" s="7">
        <f t="shared" ca="1" si="134"/>
        <v>1.0840430349180374</v>
      </c>
      <c r="N269" s="7">
        <f t="shared" ca="1" si="134"/>
        <v>1.1313642438398583</v>
      </c>
      <c r="O269" s="7">
        <f t="shared" ca="1" si="134"/>
        <v>1.1802590442330478</v>
      </c>
      <c r="P269" s="7">
        <f t="shared" ca="1" si="134"/>
        <v>1.2309205444643914</v>
      </c>
      <c r="Q269" s="7">
        <f t="shared" ca="1" si="134"/>
        <v>1.2832703881881529</v>
      </c>
      <c r="R269" s="7">
        <f t="shared" ca="1" si="134"/>
        <v>1.3372502008107967</v>
      </c>
      <c r="S269" s="7">
        <f t="shared" ca="1" si="134"/>
        <v>1.3931050099608024</v>
      </c>
      <c r="T269" s="7">
        <f t="shared" ca="1" si="134"/>
        <v>1.4507480748214796</v>
      </c>
    </row>
    <row r="270" spans="1:20" x14ac:dyDescent="0.2">
      <c r="A270" s="1" t="s">
        <v>550</v>
      </c>
      <c r="B270" s="4" t="str">
        <f>$B$38</f>
        <v>From Fiscal</v>
      </c>
      <c r="D270" s="15">
        <f>'Fiscal Forecasts'!D$61-SUM(D$268:D$269)</f>
        <v>1.3660000000000001</v>
      </c>
      <c r="E270" s="15">
        <f>'Fiscal Forecasts'!E$61-SUM(E$268:E$269)</f>
        <v>1.4090000000000003</v>
      </c>
      <c r="F270" s="16">
        <f>'Fiscal Forecasts'!F$61-SUM(F$268:F$269)</f>
        <v>1.7750000000000001</v>
      </c>
      <c r="G270" s="16">
        <f>'Fiscal Forecasts'!G$61-SUM(G$268:G$269)</f>
        <v>2.0060000000000002</v>
      </c>
      <c r="H270" s="16">
        <f>'Fiscal Forecasts'!H$61-SUM(H$268:H$269)</f>
        <v>1.9080000000000001</v>
      </c>
      <c r="I270" s="16">
        <f>'Fiscal Forecasts'!I$61-SUM(I$268:I$269)</f>
        <v>1.8299999999999998</v>
      </c>
      <c r="J270" s="16">
        <f>'Fiscal Forecasts'!J$61-SUM(J$268:J$269)</f>
        <v>1.7950000000000002</v>
      </c>
      <c r="K270" s="7">
        <f ca="1">SUM(J$270,IF(OFFSET(Assumptions!$B$57,0,$C$1)="Yes",Allocate!$B$20,0)*SUM(K$220,K$223))</f>
        <v>1.7950000000000002</v>
      </c>
      <c r="L270" s="7">
        <f ca="1">SUM(K$270,IF(OFFSET(Assumptions!$B$57,0,$C$1)="Yes",Allocate!$B$20,0)*SUM(L$220,L$223))</f>
        <v>1.7950000000000002</v>
      </c>
      <c r="M270" s="7">
        <f ca="1">SUM(L$270,IF(OFFSET(Assumptions!$B$57,0,$C$1)="Yes",Allocate!$B$20,0)*SUM(M$220,M$223))</f>
        <v>1.7950000000000002</v>
      </c>
      <c r="N270" s="7">
        <f ca="1">SUM(M$270,IF(OFFSET(Assumptions!$B$57,0,$C$1)="Yes",Allocate!$B$20,0)*SUM(N$220,N$223))</f>
        <v>1.7950000000000002</v>
      </c>
      <c r="O270" s="7">
        <f ca="1">SUM(N$270,IF(OFFSET(Assumptions!$B$57,0,$C$1)="Yes",Allocate!$B$20,0)*SUM(O$220,O$223))</f>
        <v>1.7950000000000002</v>
      </c>
      <c r="P270" s="7">
        <f ca="1">SUM(O$270,IF(OFFSET(Assumptions!$B$57,0,$C$1)="Yes",Allocate!$B$20,0)*SUM(P$220,P$223))</f>
        <v>1.7950000000000002</v>
      </c>
      <c r="Q270" s="7">
        <f ca="1">SUM(P$270,IF(OFFSET(Assumptions!$B$57,0,$C$1)="Yes",Allocate!$B$20,0)*SUM(Q$220,Q$223))</f>
        <v>1.7950000000000002</v>
      </c>
      <c r="R270" s="7">
        <f ca="1">SUM(Q$270,IF(OFFSET(Assumptions!$B$57,0,$C$1)="Yes",Allocate!$B$20,0)*SUM(R$220,R$223))</f>
        <v>1.7950000000000002</v>
      </c>
      <c r="S270" s="7">
        <f ca="1">SUM(R$270,IF(OFFSET(Assumptions!$B$57,0,$C$1)="Yes",Allocate!$B$20,0)*SUM(S$220,S$223))</f>
        <v>1.7950000000000002</v>
      </c>
      <c r="T270" s="7">
        <f ca="1">SUM(S$270,IF(OFFSET(Assumptions!$B$57,0,$C$1)="Yes",Allocate!$B$20,0)*SUM(T$220,T$223))</f>
        <v>1.7950000000000002</v>
      </c>
    </row>
    <row r="271" spans="1:20" ht="15" x14ac:dyDescent="0.25">
      <c r="A271" s="2" t="s">
        <v>551</v>
      </c>
      <c r="D271" s="35">
        <f>SUM(D$268:D$270)</f>
        <v>2.2280000000000002</v>
      </c>
      <c r="E271" s="35">
        <f>SUM(E$268:E$270)</f>
        <v>2.1070000000000002</v>
      </c>
      <c r="F271" s="34">
        <f>SUM(F$268:F$270)</f>
        <v>2.5830000000000002</v>
      </c>
      <c r="G271" s="34">
        <f t="shared" ref="G271:J271" si="135">SUM(G$268:G$270)</f>
        <v>2.8340000000000001</v>
      </c>
      <c r="H271" s="34">
        <f t="shared" si="135"/>
        <v>2.7810000000000001</v>
      </c>
      <c r="I271" s="34">
        <f t="shared" si="135"/>
        <v>2.7389999999999999</v>
      </c>
      <c r="J271" s="34">
        <f t="shared" si="135"/>
        <v>2.7490000000000001</v>
      </c>
      <c r="K271" s="38">
        <f ca="1">SUM(K$268:K$270)</f>
        <v>2.79</v>
      </c>
      <c r="L271" s="38">
        <f t="shared" ref="L271:T271" ca="1" si="136">SUM(L$268:L$270)</f>
        <v>2.8336540633507417</v>
      </c>
      <c r="M271" s="38">
        <f t="shared" ca="1" si="136"/>
        <v>2.8790430349180376</v>
      </c>
      <c r="N271" s="38">
        <f t="shared" ca="1" si="136"/>
        <v>2.9263642438398585</v>
      </c>
      <c r="O271" s="38">
        <f t="shared" ca="1" si="136"/>
        <v>2.9752590442330478</v>
      </c>
      <c r="P271" s="38">
        <f t="shared" ca="1" si="136"/>
        <v>3.0259205444643915</v>
      </c>
      <c r="Q271" s="38">
        <f t="shared" ca="1" si="136"/>
        <v>3.078270388188153</v>
      </c>
      <c r="R271" s="38">
        <f t="shared" ca="1" si="136"/>
        <v>3.1322502008107969</v>
      </c>
      <c r="S271" s="38">
        <f t="shared" ca="1" si="136"/>
        <v>3.1881050099608026</v>
      </c>
      <c r="T271" s="38">
        <f t="shared" ca="1" si="136"/>
        <v>3.2457480748214795</v>
      </c>
    </row>
    <row r="272" spans="1:20" ht="15" x14ac:dyDescent="0.25">
      <c r="A272" s="2" t="s">
        <v>552</v>
      </c>
      <c r="B272" s="4" t="str">
        <f>$B$38</f>
        <v>From Fiscal</v>
      </c>
      <c r="D272" s="40">
        <f>'Fiscal Forecasts'!D$44</f>
        <v>8.2349999999999994</v>
      </c>
      <c r="E272" s="40">
        <f>'Fiscal Forecasts'!E$44</f>
        <v>7.4279999999999999</v>
      </c>
      <c r="F272" s="39">
        <f>'Fiscal Forecasts'!F$44</f>
        <v>8.2530000000000001</v>
      </c>
      <c r="G272" s="39">
        <f>'Fiscal Forecasts'!G$44</f>
        <v>8.0969999999999995</v>
      </c>
      <c r="H272" s="39">
        <f>'Fiscal Forecasts'!H$44</f>
        <v>8.5030000000000001</v>
      </c>
      <c r="I272" s="39">
        <f>'Fiscal Forecasts'!I$44</f>
        <v>8.7620000000000005</v>
      </c>
      <c r="J272" s="39">
        <f>'Fiscal Forecasts'!J$44</f>
        <v>8.8010000000000002</v>
      </c>
      <c r="K272" s="8">
        <f ca="1">SUM(K$271,IF(K$6=OFFSET(Assumptions!$B$8,0,$C$1),AVERAGE((H$272-H$271)/H$13,(I$272-I$271)/I$13,(J$272-J$271)/J$13),(J$272-J$271)/J$13)*K$13)</f>
        <v>9.2410502609654337</v>
      </c>
      <c r="L272" s="8">
        <f ca="1">SUM(L$271,IF(L$6=OFFSET(Assumptions!$B$8,0,$C$1),AVERAGE((I$272-I$271)/I$13,(J$272-J$271)/J$13,(K$272-K$271)/K$13),(K$272-K$271)/K$13)*L$13)</f>
        <v>9.5677340296136624</v>
      </c>
      <c r="M272" s="8">
        <f ca="1">SUM(M$271,IF(M$6=OFFSET(Assumptions!$B$8,0,$C$1),AVERAGE((J$272-J$271)/J$13,(K$272-K$271)/K$13,(L$272-L$271)/L$13),(L$272-L$271)/L$13)*M$13)</f>
        <v>9.9074009276876502</v>
      </c>
      <c r="N272" s="8">
        <f ca="1">SUM(N$271,IF(N$6=OFFSET(Assumptions!$B$8,0,$C$1),AVERAGE((K$272-K$271)/K$13,(L$272-L$271)/L$13,(M$272-M$271)/M$13),(M$272-M$271)/M$13)*N$13)</f>
        <v>10.261527661397725</v>
      </c>
      <c r="O272" s="8">
        <f ca="1">SUM(O$271,IF(O$6=OFFSET(Assumptions!$B$8,0,$C$1),AVERAGE((L$272-L$271)/L$13,(M$272-M$271)/M$13,(N$272-N$271)/N$13),(N$272-N$271)/N$13)*O$13)</f>
        <v>10.627430315897787</v>
      </c>
      <c r="P272" s="8">
        <f ca="1">SUM(P$271,IF(P$6=OFFSET(Assumptions!$B$8,0,$C$1),AVERAGE((M$272-M$271)/M$13,(N$272-N$271)/N$13,(O$272-O$271)/O$13),(O$272-O$271)/O$13)*P$13)</f>
        <v>11.006554011393762</v>
      </c>
      <c r="Q272" s="8">
        <f ca="1">SUM(Q$271,IF(Q$6=OFFSET(Assumptions!$B$8,0,$C$1),AVERAGE((N$272-N$271)/N$13,(O$272-O$271)/O$13,(P$272-P$271)/P$13),(P$272-P$271)/P$13)*Q$13)</f>
        <v>11.398312370711164</v>
      </c>
      <c r="R272" s="8">
        <f ca="1">SUM(R$271,IF(R$6=OFFSET(Assumptions!$B$8,0,$C$1),AVERAGE((O$272-O$271)/O$13,(P$272-P$271)/P$13,(Q$272-Q$271)/Q$13),(Q$272-Q$271)/Q$13)*R$13)</f>
        <v>11.802268549470661</v>
      </c>
      <c r="S272" s="8">
        <f ca="1">SUM(S$271,IF(S$6=OFFSET(Assumptions!$B$8,0,$C$1),AVERAGE((P$272-P$271)/P$13,(Q$272-Q$271)/Q$13,(R$272-R$271)/R$13),(R$272-R$271)/R$13)*S$13)</f>
        <v>12.220256203990836</v>
      </c>
      <c r="T272" s="8">
        <f ca="1">SUM(T$271,IF(T$6=OFFSET(Assumptions!$B$8,0,$C$1),AVERAGE((Q$272-Q$271)/Q$13,(R$272-R$271)/R$13,(S$272-S$271)/S$13),(S$272-S$271)/S$13)*T$13)</f>
        <v>12.651626212180476</v>
      </c>
    </row>
    <row r="273" spans="1:20" ht="15" x14ac:dyDescent="0.25">
      <c r="A273" s="2"/>
      <c r="B273" s="4"/>
      <c r="D273" s="40"/>
      <c r="E273" s="40"/>
      <c r="F273" s="39"/>
      <c r="G273" s="39"/>
      <c r="H273" s="39"/>
      <c r="I273" s="39"/>
      <c r="J273" s="39"/>
      <c r="K273" s="8"/>
      <c r="L273" s="8"/>
      <c r="M273" s="8"/>
      <c r="N273" s="8"/>
      <c r="O273" s="8"/>
      <c r="P273" s="8"/>
      <c r="Q273" s="8"/>
      <c r="R273" s="8"/>
      <c r="S273" s="8"/>
      <c r="T273" s="8"/>
    </row>
    <row r="274" spans="1:20" ht="15" x14ac:dyDescent="0.25">
      <c r="A274" s="19" t="s">
        <v>603</v>
      </c>
      <c r="D274" s="47"/>
      <c r="E274" s="47"/>
      <c r="F274" s="48"/>
      <c r="G274" s="48"/>
      <c r="H274" s="48"/>
      <c r="I274" s="48"/>
      <c r="J274" s="48"/>
      <c r="K274" s="49"/>
      <c r="L274" s="49"/>
      <c r="M274" s="49"/>
      <c r="N274" s="49"/>
      <c r="O274" s="49"/>
      <c r="P274" s="49"/>
      <c r="Q274" s="49"/>
      <c r="R274" s="49"/>
      <c r="S274" s="49"/>
      <c r="T274" s="49"/>
    </row>
    <row r="275" spans="1:20" ht="15" x14ac:dyDescent="0.25">
      <c r="A275" s="2" t="s">
        <v>553</v>
      </c>
      <c r="B275" s="4" t="str">
        <f t="shared" ref="B275:B300" si="137">$B$38</f>
        <v>From Fiscal</v>
      </c>
      <c r="D275" s="40">
        <f>'Fiscal Forecasts'!D$62</f>
        <v>0.77800000000000002</v>
      </c>
      <c r="E275" s="40">
        <f>'Fiscal Forecasts'!E$62</f>
        <v>0.78700000000000003</v>
      </c>
      <c r="F275" s="39">
        <f>'Fiscal Forecasts'!F$62</f>
        <v>0.86099999999999999</v>
      </c>
      <c r="G275" s="39">
        <f>'Fiscal Forecasts'!G$62</f>
        <v>0.88500000000000001</v>
      </c>
      <c r="H275" s="39">
        <f>'Fiscal Forecasts'!H$62</f>
        <v>0.875</v>
      </c>
      <c r="I275" s="39">
        <f>'Fiscal Forecasts'!I$62</f>
        <v>0.84099999999999997</v>
      </c>
      <c r="J275" s="39">
        <f>'Fiscal Forecasts'!J$62</f>
        <v>0.81399999999999995</v>
      </c>
      <c r="K275" s="49">
        <f ca="1">SUM(J$275,IF(OFFSET(Assumptions!$B$57,0,$C$1)="Yes",Allocate!$B$21,0)*SUM(K$220,K$223))</f>
        <v>0.81399999999999995</v>
      </c>
      <c r="L275" s="49">
        <f ca="1">SUM(K$275,IF(OFFSET(Assumptions!$B$57,0,$C$1)="Yes",Allocate!$B$21,0)*SUM(L$220,L$223))</f>
        <v>0.81399999999999995</v>
      </c>
      <c r="M275" s="49">
        <f ca="1">SUM(L$275,IF(OFFSET(Assumptions!$B$57,0,$C$1)="Yes",Allocate!$B$21,0)*SUM(M$220,M$223))</f>
        <v>0.81399999999999995</v>
      </c>
      <c r="N275" s="49">
        <f ca="1">SUM(M$275,IF(OFFSET(Assumptions!$B$57,0,$C$1)="Yes",Allocate!$B$21,0)*SUM(N$220,N$223))</f>
        <v>0.81399999999999995</v>
      </c>
      <c r="O275" s="49">
        <f ca="1">SUM(N$275,IF(OFFSET(Assumptions!$B$57,0,$C$1)="Yes",Allocate!$B$21,0)*SUM(O$220,O$223))</f>
        <v>0.81399999999999995</v>
      </c>
      <c r="P275" s="49">
        <f ca="1">SUM(O$275,IF(OFFSET(Assumptions!$B$57,0,$C$1)="Yes",Allocate!$B$21,0)*SUM(P$220,P$223))</f>
        <v>0.81399999999999995</v>
      </c>
      <c r="Q275" s="49">
        <f ca="1">SUM(P$275,IF(OFFSET(Assumptions!$B$57,0,$C$1)="Yes",Allocate!$B$21,0)*SUM(Q$220,Q$223))</f>
        <v>0.81399999999999995</v>
      </c>
      <c r="R275" s="49">
        <f ca="1">SUM(Q$275,IF(OFFSET(Assumptions!$B$57,0,$C$1)="Yes",Allocate!$B$21,0)*SUM(R$220,R$223))</f>
        <v>0.81399999999999995</v>
      </c>
      <c r="S275" s="49">
        <f ca="1">SUM(R$275,IF(OFFSET(Assumptions!$B$57,0,$C$1)="Yes",Allocate!$B$21,0)*SUM(S$220,S$223))</f>
        <v>0.81399999999999995</v>
      </c>
      <c r="T275" s="49">
        <f ca="1">SUM(S$275,IF(OFFSET(Assumptions!$B$57,0,$C$1)="Yes",Allocate!$B$21,0)*SUM(T$220,T$223))</f>
        <v>0.81399999999999995</v>
      </c>
    </row>
    <row r="276" spans="1:20" ht="15" x14ac:dyDescent="0.25">
      <c r="A276" s="2" t="s">
        <v>554</v>
      </c>
      <c r="B276" s="4" t="str">
        <f t="shared" si="137"/>
        <v>From Fiscal</v>
      </c>
      <c r="D276" s="40">
        <f>'Fiscal Forecasts'!D$45</f>
        <v>2.198</v>
      </c>
      <c r="E276" s="40">
        <f>'Fiscal Forecasts'!E$45</f>
        <v>2.21</v>
      </c>
      <c r="F276" s="39">
        <f>'Fiscal Forecasts'!F$45</f>
        <v>2.5110000000000001</v>
      </c>
      <c r="G276" s="39">
        <f>'Fiscal Forecasts'!G$45</f>
        <v>2.327</v>
      </c>
      <c r="H276" s="39">
        <f>'Fiscal Forecasts'!H$45</f>
        <v>2.351</v>
      </c>
      <c r="I276" s="39">
        <f>'Fiscal Forecasts'!I$45</f>
        <v>2.3559999999999999</v>
      </c>
      <c r="J276" s="39">
        <f>'Fiscal Forecasts'!J$45</f>
        <v>2.3639999999999999</v>
      </c>
      <c r="K276" s="8">
        <f ca="1">SUM(K$275,IF(K$6=OFFSET(Assumptions!$B$8,0,$C$1),AVERAGE((H$276-H$275)/H$13,(I$276-I$275)/I$13,(J$276-J$275)/J$13),(J$276-J$275)/J$13)*K$13)</f>
        <v>2.4602108691304996</v>
      </c>
      <c r="L276" s="8">
        <f ca="1">SUM(L$275,IF(L$6=OFFSET(Assumptions!$B$8,0,$C$1),AVERAGE((I$276-I$275)/I$13,(J$276-J$275)/J$13,(K$276-K$275)/K$13),(K$276-K$275)/K$13)*L$13)</f>
        <v>2.5324357872910035</v>
      </c>
      <c r="M276" s="8">
        <f ca="1">SUM(M$275,IF(M$6=OFFSET(Assumptions!$B$8,0,$C$1),AVERAGE((J$276-J$275)/J$13,(K$276-K$275)/K$13,(L$276-L$275)/L$13),(L$276-L$275)/L$13)*M$13)</f>
        <v>2.6075310820977755</v>
      </c>
      <c r="N276" s="8">
        <f ca="1">SUM(N$275,IF(N$6=OFFSET(Assumptions!$B$8,0,$C$1),AVERAGE((K$276-K$275)/K$13,(L$276-L$275)/L$13,(M$276-M$275)/M$13),(M$276-M$275)/M$13)*N$13)</f>
        <v>2.6858232313113399</v>
      </c>
      <c r="O276" s="8">
        <f ca="1">SUM(O$275,IF(O$6=OFFSET(Assumptions!$B$8,0,$C$1),AVERAGE((L$276-L$275)/L$13,(M$276-M$275)/M$13,(N$276-N$275)/N$13),(N$276-N$275)/N$13)*O$13)</f>
        <v>2.7667188613125808</v>
      </c>
      <c r="P276" s="8">
        <f ca="1">SUM(P$275,IF(P$6=OFFSET(Assumptions!$B$8,0,$C$1),AVERAGE((M$276-M$275)/M$13,(N$276-N$275)/N$13,(O$276-O$275)/O$13),(O$276-O$275)/O$13)*P$13)</f>
        <v>2.8505374666666459</v>
      </c>
      <c r="Q276" s="8">
        <f ca="1">SUM(Q$275,IF(Q$6=OFFSET(Assumptions!$B$8,0,$C$1),AVERAGE((N$276-N$275)/N$13,(O$276-O$275)/O$13,(P$276-P$275)/P$13),(P$276-P$275)/P$13)*Q$13)</f>
        <v>2.9371494081091978</v>
      </c>
      <c r="R276" s="8">
        <f ca="1">SUM(R$275,IF(R$6=OFFSET(Assumptions!$B$8,0,$C$1),AVERAGE((O$276-O$275)/O$13,(P$276-P$275)/P$13,(Q$276-Q$275)/Q$13),(Q$276-Q$275)/Q$13)*R$13)</f>
        <v>3.0264581058509301</v>
      </c>
      <c r="S276" s="8">
        <f ca="1">SUM(S$275,IF(S$6=OFFSET(Assumptions!$B$8,0,$C$1),AVERAGE((P$276-P$275)/P$13,(Q$276-Q$275)/Q$13,(R$276-R$275)/R$13),(R$276-R$275)/R$13)*S$13)</f>
        <v>3.1188689540076626</v>
      </c>
      <c r="T276" s="8">
        <f ca="1">SUM(T$275,IF(T$6=OFFSET(Assumptions!$B$8,0,$C$1),AVERAGE((Q$276-Q$275)/Q$13,(R$276-R$275)/R$13,(S$276-S$275)/S$13),(S$276-S$275)/S$13)*T$13)</f>
        <v>3.2142384413480052</v>
      </c>
    </row>
    <row r="277" spans="1:20" ht="15" x14ac:dyDescent="0.25">
      <c r="A277" s="2"/>
      <c r="B277" s="4"/>
      <c r="D277" s="40"/>
      <c r="E277" s="40"/>
      <c r="F277" s="39"/>
      <c r="G277" s="39"/>
      <c r="H277" s="39"/>
      <c r="I277" s="39"/>
      <c r="J277" s="39"/>
      <c r="K277" s="8"/>
      <c r="L277" s="8"/>
      <c r="M277" s="8"/>
      <c r="N277" s="8"/>
      <c r="O277" s="8"/>
      <c r="P277" s="8"/>
      <c r="Q277" s="8"/>
      <c r="R277" s="8"/>
      <c r="S277" s="8"/>
      <c r="T277" s="8"/>
    </row>
    <row r="278" spans="1:20" ht="15" x14ac:dyDescent="0.25">
      <c r="A278" s="19" t="s">
        <v>604</v>
      </c>
      <c r="B278" s="4"/>
      <c r="D278" s="40"/>
      <c r="E278" s="40"/>
      <c r="F278" s="39"/>
      <c r="G278" s="39"/>
      <c r="H278" s="39"/>
      <c r="I278" s="39"/>
      <c r="J278" s="39"/>
      <c r="K278" s="8"/>
      <c r="L278" s="8"/>
      <c r="M278" s="8"/>
      <c r="N278" s="8"/>
      <c r="O278" s="8"/>
      <c r="P278" s="8"/>
      <c r="Q278" s="8"/>
      <c r="R278" s="8"/>
      <c r="S278" s="8"/>
      <c r="T278" s="8"/>
    </row>
    <row r="279" spans="1:20" ht="15" x14ac:dyDescent="0.25">
      <c r="A279" s="2" t="s">
        <v>555</v>
      </c>
      <c r="B279" s="4" t="str">
        <f t="shared" si="137"/>
        <v>From Fiscal</v>
      </c>
      <c r="D279" s="40">
        <f>'Fiscal Forecasts'!D$63</f>
        <v>0.66700000000000004</v>
      </c>
      <c r="E279" s="40">
        <f>'Fiscal Forecasts'!E$63</f>
        <v>0.749</v>
      </c>
      <c r="F279" s="39">
        <f>'Fiscal Forecasts'!F$63</f>
        <v>0.67900000000000005</v>
      </c>
      <c r="G279" s="39">
        <f>'Fiscal Forecasts'!G$63</f>
        <v>0.73</v>
      </c>
      <c r="H279" s="39">
        <f>'Fiscal Forecasts'!H$63</f>
        <v>0.67600000000000005</v>
      </c>
      <c r="I279" s="39">
        <f>'Fiscal Forecasts'!I$63</f>
        <v>0.66300000000000003</v>
      </c>
      <c r="J279" s="39">
        <f>'Fiscal Forecasts'!J$63</f>
        <v>0.63900000000000001</v>
      </c>
      <c r="K279" s="49">
        <f ca="1">SUM(J$279,IF(OFFSET(Assumptions!$B$57,0,$C$1)="Yes",Allocate!$B$22,0)*SUM(K$220,K$223))</f>
        <v>0.63900000000000001</v>
      </c>
      <c r="L279" s="49">
        <f ca="1">SUM(K$279,IF(OFFSET(Assumptions!$B$57,0,$C$1)="Yes",Allocate!$B$22,0)*SUM(L$220,L$223))</f>
        <v>0.63900000000000001</v>
      </c>
      <c r="M279" s="49">
        <f ca="1">SUM(L$279,IF(OFFSET(Assumptions!$B$57,0,$C$1)="Yes",Allocate!$B$22,0)*SUM(M$220,M$223))</f>
        <v>0.63900000000000001</v>
      </c>
      <c r="N279" s="49">
        <f ca="1">SUM(M$279,IF(OFFSET(Assumptions!$B$57,0,$C$1)="Yes",Allocate!$B$22,0)*SUM(N$220,N$223))</f>
        <v>0.63900000000000001</v>
      </c>
      <c r="O279" s="49">
        <f ca="1">SUM(N$279,IF(OFFSET(Assumptions!$B$57,0,$C$1)="Yes",Allocate!$B$22,0)*SUM(O$220,O$223))</f>
        <v>0.63900000000000001</v>
      </c>
      <c r="P279" s="49">
        <f ca="1">SUM(O$279,IF(OFFSET(Assumptions!$B$57,0,$C$1)="Yes",Allocate!$B$22,0)*SUM(P$220,P$223))</f>
        <v>0.63900000000000001</v>
      </c>
      <c r="Q279" s="49">
        <f ca="1">SUM(P$279,IF(OFFSET(Assumptions!$B$57,0,$C$1)="Yes",Allocate!$B$22,0)*SUM(Q$220,Q$223))</f>
        <v>0.63900000000000001</v>
      </c>
      <c r="R279" s="49">
        <f ca="1">SUM(Q$279,IF(OFFSET(Assumptions!$B$57,0,$C$1)="Yes",Allocate!$B$22,0)*SUM(R$220,R$223))</f>
        <v>0.63900000000000001</v>
      </c>
      <c r="S279" s="49">
        <f ca="1">SUM(R$279,IF(OFFSET(Assumptions!$B$57,0,$C$1)="Yes",Allocate!$B$22,0)*SUM(S$220,S$223))</f>
        <v>0.63900000000000001</v>
      </c>
      <c r="T279" s="49">
        <f ca="1">SUM(S$279,IF(OFFSET(Assumptions!$B$57,0,$C$1)="Yes",Allocate!$B$22,0)*SUM(T$220,T$223))</f>
        <v>0.63900000000000001</v>
      </c>
    </row>
    <row r="280" spans="1:20" ht="15" x14ac:dyDescent="0.25">
      <c r="A280" s="2" t="s">
        <v>556</v>
      </c>
      <c r="B280" s="4" t="str">
        <f t="shared" si="137"/>
        <v>From Fiscal</v>
      </c>
      <c r="D280" s="40">
        <f>'Fiscal Forecasts'!D$46</f>
        <v>1.74</v>
      </c>
      <c r="E280" s="40">
        <f>'Fiscal Forecasts'!E$46</f>
        <v>1.8520000000000001</v>
      </c>
      <c r="F280" s="39">
        <f>'Fiscal Forecasts'!F$46</f>
        <v>1.86</v>
      </c>
      <c r="G280" s="39">
        <f>'Fiscal Forecasts'!G$46</f>
        <v>1.994</v>
      </c>
      <c r="H280" s="39">
        <f>'Fiscal Forecasts'!H$46</f>
        <v>1.9870000000000001</v>
      </c>
      <c r="I280" s="39">
        <f>'Fiscal Forecasts'!I$46</f>
        <v>1.992</v>
      </c>
      <c r="J280" s="39">
        <f>'Fiscal Forecasts'!J$46</f>
        <v>2.0430000000000001</v>
      </c>
      <c r="K280" s="8">
        <f ca="1">SUM(K$279,IF(K$6=OFFSET(Assumptions!$B$8,0,$C$1),AVERAGE((H$280-H$279)/H$13,(I$280-I$279)/I$13,(J$280-J$279)/J$13),(J$280-J$279)/J$13)*K$13)</f>
        <v>2.1046425618111266</v>
      </c>
      <c r="L280" s="8">
        <f ca="1">SUM(L$279,IF(L$6=OFFSET(Assumptions!$B$8,0,$C$1),AVERAGE((I$280-I$279)/I$13,(J$280-J$279)/J$13,(K$280-K$279)/K$13),(K$280-K$279)/K$13)*L$13)</f>
        <v>2.1689453288893632</v>
      </c>
      <c r="M280" s="8">
        <f ca="1">SUM(M$279,IF(M$6=OFFSET(Assumptions!$B$8,0,$C$1),AVERAGE((J$280-J$279)/J$13,(K$280-K$279)/K$13,(L$280-L$279)/L$13),(L$280-L$279)/L$13)*M$13)</f>
        <v>2.2358036289555585</v>
      </c>
      <c r="N280" s="8">
        <f ca="1">SUM(N$279,IF(N$6=OFFSET(Assumptions!$B$8,0,$C$1),AVERAGE((K$280-K$279)/K$13,(L$280-L$279)/L$13,(M$280-M$279)/M$13),(M$280-M$279)/M$13)*N$13)</f>
        <v>2.3055081293296058</v>
      </c>
      <c r="O280" s="8">
        <f ca="1">SUM(O$279,IF(O$6=OFFSET(Assumptions!$B$8,0,$C$1),AVERAGE((L$280-L$279)/L$13,(M$280-M$279)/M$13,(N$280-N$279)/N$13),(N$280-N$279)/N$13)*O$13)</f>
        <v>2.3775305418999757</v>
      </c>
      <c r="P280" s="8">
        <f ca="1">SUM(P$279,IF(P$6=OFFSET(Assumptions!$B$8,0,$C$1),AVERAGE((M$280-M$279)/M$13,(N$280-N$279)/N$13,(O$280-O$279)/O$13),(O$280-O$279)/O$13)*P$13)</f>
        <v>2.4521553167585299</v>
      </c>
      <c r="Q280" s="8">
        <f ca="1">SUM(Q$279,IF(Q$6=OFFSET(Assumptions!$B$8,0,$C$1),AVERAGE((N$280-N$279)/N$13,(O$280-O$279)/O$13,(P$280-P$279)/P$13),(P$280-P$279)/P$13)*Q$13)</f>
        <v>2.5292670344125057</v>
      </c>
      <c r="R280" s="8">
        <f ca="1">SUM(R$279,IF(R$6=OFFSET(Assumptions!$B$8,0,$C$1),AVERAGE((O$280-O$279)/O$13,(P$280-P$279)/P$13,(Q$280-Q$279)/Q$13),(Q$280-Q$279)/Q$13)*R$13)</f>
        <v>2.6087797086419897</v>
      </c>
      <c r="S280" s="8">
        <f ca="1">SUM(S$279,IF(S$6=OFFSET(Assumptions!$B$8,0,$C$1),AVERAGE((P$280-P$279)/P$13,(Q$280-Q$279)/Q$13,(R$280-R$279)/R$13),(R$280-R$279)/R$13)*S$13)</f>
        <v>2.691054267005895</v>
      </c>
      <c r="T280" s="8">
        <f ca="1">SUM(T$279,IF(T$6=OFFSET(Assumptions!$B$8,0,$C$1),AVERAGE((Q$280-Q$279)/Q$13,(R$280-R$279)/R$13,(S$280-S$279)/S$13),(S$280-S$279)/S$13)*T$13)</f>
        <v>2.7759629396220236</v>
      </c>
    </row>
    <row r="281" spans="1:20" ht="15" x14ac:dyDescent="0.25">
      <c r="A281" s="2"/>
      <c r="B281" s="4"/>
      <c r="D281" s="40"/>
      <c r="E281" s="40"/>
      <c r="F281" s="39"/>
      <c r="G281" s="39"/>
      <c r="H281" s="39"/>
      <c r="I281" s="39"/>
      <c r="J281" s="39"/>
      <c r="K281" s="8"/>
      <c r="L281" s="8"/>
      <c r="M281" s="8"/>
      <c r="N281" s="8"/>
      <c r="O281" s="8"/>
      <c r="P281" s="8"/>
      <c r="Q281" s="8"/>
      <c r="R281" s="8"/>
      <c r="S281" s="8"/>
      <c r="T281" s="8"/>
    </row>
    <row r="282" spans="1:20" ht="15" x14ac:dyDescent="0.25">
      <c r="A282" s="19" t="s">
        <v>605</v>
      </c>
      <c r="B282" s="4"/>
      <c r="D282" s="40"/>
      <c r="E282" s="40"/>
      <c r="F282" s="39"/>
      <c r="G282" s="39"/>
      <c r="H282" s="39"/>
      <c r="I282" s="39"/>
      <c r="J282" s="39"/>
      <c r="K282" s="8"/>
      <c r="L282" s="8"/>
      <c r="M282" s="8"/>
      <c r="N282" s="8"/>
      <c r="O282" s="8"/>
      <c r="P282" s="8"/>
      <c r="Q282" s="8"/>
      <c r="R282" s="8"/>
      <c r="S282" s="8"/>
      <c r="T282" s="8"/>
    </row>
    <row r="283" spans="1:20" ht="15" x14ac:dyDescent="0.25">
      <c r="A283" s="2" t="s">
        <v>557</v>
      </c>
      <c r="B283" s="4" t="str">
        <f t="shared" si="137"/>
        <v>From Fiscal</v>
      </c>
      <c r="D283" s="40">
        <f>'Fiscal Forecasts'!D$64</f>
        <v>0.32</v>
      </c>
      <c r="E283" s="40">
        <f>'Fiscal Forecasts'!E$64</f>
        <v>0.55800000000000005</v>
      </c>
      <c r="F283" s="39">
        <f>'Fiscal Forecasts'!F$64</f>
        <v>0.57699999999999996</v>
      </c>
      <c r="G283" s="39">
        <f>'Fiscal Forecasts'!G$64</f>
        <v>0.59599999999999997</v>
      </c>
      <c r="H283" s="39">
        <f>'Fiscal Forecasts'!H$64</f>
        <v>0.55700000000000005</v>
      </c>
      <c r="I283" s="39">
        <f>'Fiscal Forecasts'!I$64</f>
        <v>0.51900000000000002</v>
      </c>
      <c r="J283" s="39">
        <f>'Fiscal Forecasts'!J$64</f>
        <v>0.54</v>
      </c>
      <c r="K283" s="49">
        <f ca="1">SUM(J$283,IF(OFFSET(Assumptions!$B$57,0,$C$1)="Yes",Allocate!$B$23,0)*SUM(K$220,K$223))</f>
        <v>0.54</v>
      </c>
      <c r="L283" s="49">
        <f ca="1">SUM(K$283,IF(OFFSET(Assumptions!$B$57,0,$C$1)="Yes",Allocate!$B$23,0)*SUM(L$220,L$223))</f>
        <v>0.54</v>
      </c>
      <c r="M283" s="49">
        <f ca="1">SUM(L$283,IF(OFFSET(Assumptions!$B$57,0,$C$1)="Yes",Allocate!$B$23,0)*SUM(M$220,M$223))</f>
        <v>0.54</v>
      </c>
      <c r="N283" s="49">
        <f ca="1">SUM(M$283,IF(OFFSET(Assumptions!$B$57,0,$C$1)="Yes",Allocate!$B$23,0)*SUM(N$220,N$223))</f>
        <v>0.54</v>
      </c>
      <c r="O283" s="49">
        <f ca="1">SUM(N$283,IF(OFFSET(Assumptions!$B$57,0,$C$1)="Yes",Allocate!$B$23,0)*SUM(O$220,O$223))</f>
        <v>0.54</v>
      </c>
      <c r="P283" s="49">
        <f ca="1">SUM(O$283,IF(OFFSET(Assumptions!$B$57,0,$C$1)="Yes",Allocate!$B$23,0)*SUM(P$220,P$223))</f>
        <v>0.54</v>
      </c>
      <c r="Q283" s="49">
        <f ca="1">SUM(P$283,IF(OFFSET(Assumptions!$B$57,0,$C$1)="Yes",Allocate!$B$23,0)*SUM(Q$220,Q$223))</f>
        <v>0.54</v>
      </c>
      <c r="R283" s="49">
        <f ca="1">SUM(Q$283,IF(OFFSET(Assumptions!$B$57,0,$C$1)="Yes",Allocate!$B$23,0)*SUM(R$220,R$223))</f>
        <v>0.54</v>
      </c>
      <c r="S283" s="49">
        <f ca="1">SUM(R$283,IF(OFFSET(Assumptions!$B$57,0,$C$1)="Yes",Allocate!$B$23,0)*SUM(S$220,S$223))</f>
        <v>0.54</v>
      </c>
      <c r="T283" s="49">
        <f ca="1">SUM(S$283,IF(OFFSET(Assumptions!$B$57,0,$C$1)="Yes",Allocate!$B$23,0)*SUM(T$220,T$223))</f>
        <v>0.54</v>
      </c>
    </row>
    <row r="284" spans="1:20" ht="15" x14ac:dyDescent="0.25">
      <c r="A284" s="2" t="s">
        <v>558</v>
      </c>
      <c r="B284" s="4" t="str">
        <f t="shared" si="137"/>
        <v>From Fiscal</v>
      </c>
      <c r="D284" s="40">
        <f>'Fiscal Forecasts'!D$47</f>
        <v>1.1140000000000001</v>
      </c>
      <c r="E284" s="40">
        <f>'Fiscal Forecasts'!E$47</f>
        <v>1.6</v>
      </c>
      <c r="F284" s="39">
        <f>'Fiscal Forecasts'!F$47</f>
        <v>1.869</v>
      </c>
      <c r="G284" s="39">
        <f>'Fiscal Forecasts'!G$47</f>
        <v>2.08</v>
      </c>
      <c r="H284" s="39">
        <f>'Fiscal Forecasts'!H$47</f>
        <v>2.0249999999999999</v>
      </c>
      <c r="I284" s="39">
        <f>'Fiscal Forecasts'!I$47</f>
        <v>1.978</v>
      </c>
      <c r="J284" s="39">
        <f>'Fiscal Forecasts'!J$47</f>
        <v>2.0870000000000002</v>
      </c>
      <c r="K284" s="8">
        <f ca="1">SUM(K$283,IF(K$6=OFFSET(Assumptions!$B$8,0,$C$1),AVERAGE((H$284-H$283)/H$13,(I$284-I$283)/I$13,(J$284-J$283)/J$13),(J$284-J$283)/J$13)*K$13)</f>
        <v>2.1618747821049107</v>
      </c>
      <c r="L284" s="8">
        <f ca="1">SUM(L$283,IF(L$6=OFFSET(Assumptions!$B$8,0,$C$1),AVERAGE((I$284-I$283)/I$13,(J$284-J$283)/J$13,(K$284-K$283)/K$13),(K$284-K$283)/K$13)*L$13)</f>
        <v>2.2330319926425766</v>
      </c>
      <c r="M284" s="8">
        <f ca="1">SUM(M$283,IF(M$6=OFFSET(Assumptions!$B$8,0,$C$1),AVERAGE((J$284-J$283)/J$13,(K$284-K$283)/K$13,(L$284-L$283)/L$13),(L$284-L$283)/L$13)*M$13)</f>
        <v>2.3070171467839584</v>
      </c>
      <c r="N284" s="8">
        <f ca="1">SUM(N$283,IF(N$6=OFFSET(Assumptions!$B$8,0,$C$1),AVERAGE((K$284-K$283)/K$13,(L$284-L$283)/L$13,(M$284-M$283)/M$13),(M$284-M$283)/M$13)*N$13)</f>
        <v>2.3841518959387518</v>
      </c>
      <c r="O284" s="8">
        <f ca="1">SUM(O$283,IF(O$6=OFFSET(Assumptions!$B$8,0,$C$1),AVERAGE((L$284-L$283)/L$13,(M$284-M$283)/M$13,(N$284-N$283)/N$13),(N$284-N$283)/N$13)*O$13)</f>
        <v>2.4638516383847491</v>
      </c>
      <c r="P284" s="8">
        <f ca="1">SUM(P$283,IF(P$6=OFFSET(Assumptions!$B$8,0,$C$1),AVERAGE((M$284-M$283)/M$13,(N$284-N$283)/N$13,(O$284-O$283)/O$13),(O$284-O$283)/O$13)*P$13)</f>
        <v>2.5464311455694912</v>
      </c>
      <c r="Q284" s="8">
        <f ca="1">SUM(Q$283,IF(Q$6=OFFSET(Assumptions!$B$8,0,$C$1),AVERAGE((N$284-N$283)/N$13,(O$284-O$283)/O$13,(P$284-P$283)/P$13),(P$284-P$283)/P$13)*Q$13)</f>
        <v>2.6317626946978345</v>
      </c>
      <c r="R284" s="8">
        <f ca="1">SUM(R$283,IF(R$6=OFFSET(Assumptions!$B$8,0,$C$1),AVERAGE((O$284-O$283)/O$13,(P$284-P$283)/P$13,(Q$284-Q$283)/Q$13),(Q$284-Q$283)/Q$13)*R$13)</f>
        <v>2.7197511337284017</v>
      </c>
      <c r="S284" s="8">
        <f ca="1">SUM(S$283,IF(S$6=OFFSET(Assumptions!$B$8,0,$C$1),AVERAGE((P$284-P$283)/P$13,(Q$284-Q$283)/Q$13,(R$284-R$283)/R$13),(R$284-R$283)/R$13)*S$13)</f>
        <v>2.8107958637984285</v>
      </c>
      <c r="T284" s="8">
        <f ca="1">SUM(T$283,IF(T$6=OFFSET(Assumptions!$B$8,0,$C$1),AVERAGE((Q$284-Q$283)/Q$13,(R$284-R$283)/R$13,(S$284-S$283)/S$13),(S$284-S$283)/S$13)*T$13)</f>
        <v>2.9047554952162873</v>
      </c>
    </row>
    <row r="285" spans="1:20" ht="15" x14ac:dyDescent="0.25">
      <c r="A285" s="2"/>
      <c r="B285" s="4"/>
      <c r="D285" s="40"/>
      <c r="E285" s="40"/>
      <c r="F285" s="39"/>
      <c r="G285" s="39"/>
      <c r="H285" s="39"/>
      <c r="I285" s="39"/>
      <c r="J285" s="39"/>
      <c r="K285" s="8"/>
      <c r="L285" s="8"/>
      <c r="M285" s="8"/>
      <c r="N285" s="8"/>
      <c r="O285" s="8"/>
      <c r="P285" s="8"/>
      <c r="Q285" s="8"/>
      <c r="R285" s="8"/>
      <c r="S285" s="8"/>
      <c r="T285" s="8"/>
    </row>
    <row r="286" spans="1:20" ht="15" x14ac:dyDescent="0.25">
      <c r="A286" s="19" t="s">
        <v>606</v>
      </c>
      <c r="B286" s="4"/>
      <c r="D286" s="40"/>
      <c r="E286" s="40"/>
      <c r="F286" s="39"/>
      <c r="G286" s="39"/>
      <c r="H286" s="39"/>
      <c r="I286" s="39"/>
      <c r="J286" s="39"/>
      <c r="K286" s="8"/>
      <c r="L286" s="8"/>
      <c r="M286" s="8"/>
      <c r="N286" s="8"/>
      <c r="O286" s="8"/>
      <c r="P286" s="8"/>
      <c r="Q286" s="8"/>
      <c r="R286" s="8"/>
      <c r="S286" s="8"/>
      <c r="T286" s="8"/>
    </row>
    <row r="287" spans="1:20" ht="15" x14ac:dyDescent="0.25">
      <c r="A287" s="2" t="s">
        <v>559</v>
      </c>
      <c r="B287" s="4" t="str">
        <f t="shared" si="137"/>
        <v>From Fiscal</v>
      </c>
      <c r="D287" s="40">
        <f>'Fiscal Forecasts'!D$65</f>
        <v>0.72299999999999998</v>
      </c>
      <c r="E287" s="40">
        <f>'Fiscal Forecasts'!E$65</f>
        <v>0.58699999999999997</v>
      </c>
      <c r="F287" s="39">
        <f>'Fiscal Forecasts'!F$65</f>
        <v>0.84899999999999998</v>
      </c>
      <c r="G287" s="39">
        <f>'Fiscal Forecasts'!G$65</f>
        <v>1.0269999999999999</v>
      </c>
      <c r="H287" s="39">
        <f>'Fiscal Forecasts'!H$65</f>
        <v>0.93899999999999995</v>
      </c>
      <c r="I287" s="39">
        <f>'Fiscal Forecasts'!I$65</f>
        <v>0.996</v>
      </c>
      <c r="J287" s="39">
        <f>'Fiscal Forecasts'!J$65</f>
        <v>0.998</v>
      </c>
      <c r="K287" s="49">
        <f ca="1">SUM(J$287,IF(OFFSET(Assumptions!$B$57,0,$C$1)="Yes",Allocate!$B$24,0)*SUM(K$220,K$223))</f>
        <v>0.998</v>
      </c>
      <c r="L287" s="49">
        <f ca="1">SUM(K$287,IF(OFFSET(Assumptions!$B$57,0,$C$1)="Yes",Allocate!$B$24,0)*SUM(L$220,L$223))</f>
        <v>0.998</v>
      </c>
      <c r="M287" s="49">
        <f ca="1">SUM(L$287,IF(OFFSET(Assumptions!$B$57,0,$C$1)="Yes",Allocate!$B$24,0)*SUM(M$220,M$223))</f>
        <v>0.998</v>
      </c>
      <c r="N287" s="49">
        <f ca="1">SUM(M$287,IF(OFFSET(Assumptions!$B$57,0,$C$1)="Yes",Allocate!$B$24,0)*SUM(N$220,N$223))</f>
        <v>0.998</v>
      </c>
      <c r="O287" s="49">
        <f ca="1">SUM(N$287,IF(OFFSET(Assumptions!$B$57,0,$C$1)="Yes",Allocate!$B$24,0)*SUM(O$220,O$223))</f>
        <v>0.998</v>
      </c>
      <c r="P287" s="49">
        <f ca="1">SUM(O$287,IF(OFFSET(Assumptions!$B$57,0,$C$1)="Yes",Allocate!$B$24,0)*SUM(P$220,P$223))</f>
        <v>0.998</v>
      </c>
      <c r="Q287" s="49">
        <f ca="1">SUM(P$287,IF(OFFSET(Assumptions!$B$57,0,$C$1)="Yes",Allocate!$B$24,0)*SUM(Q$220,Q$223))</f>
        <v>0.998</v>
      </c>
      <c r="R287" s="49">
        <f ca="1">SUM(Q$287,IF(OFFSET(Assumptions!$B$57,0,$C$1)="Yes",Allocate!$B$24,0)*SUM(R$220,R$223))</f>
        <v>0.998</v>
      </c>
      <c r="S287" s="49">
        <f ca="1">SUM(R$287,IF(OFFSET(Assumptions!$B$57,0,$C$1)="Yes",Allocate!$B$24,0)*SUM(S$220,S$223))</f>
        <v>0.998</v>
      </c>
      <c r="T287" s="49">
        <f ca="1">SUM(S$287,IF(OFFSET(Assumptions!$B$57,0,$C$1)="Yes",Allocate!$B$24,0)*SUM(T$220,T$223))</f>
        <v>0.998</v>
      </c>
    </row>
    <row r="288" spans="1:20" ht="15" x14ac:dyDescent="0.25">
      <c r="A288" s="2" t="s">
        <v>560</v>
      </c>
      <c r="B288" s="4" t="str">
        <f t="shared" si="137"/>
        <v>From Fiscal</v>
      </c>
      <c r="D288" s="40">
        <f>'Fiscal Forecasts'!D$48</f>
        <v>0.61599999999999999</v>
      </c>
      <c r="E288" s="40">
        <f>'Fiscal Forecasts'!E$48</f>
        <v>0.57999999999999996</v>
      </c>
      <c r="F288" s="39">
        <f>'Fiscal Forecasts'!F$48</f>
        <v>0.84699999999999998</v>
      </c>
      <c r="G288" s="39">
        <f>'Fiscal Forecasts'!G$48</f>
        <v>1.0249999999999999</v>
      </c>
      <c r="H288" s="39">
        <f>'Fiscal Forecasts'!H$48</f>
        <v>0.93700000000000006</v>
      </c>
      <c r="I288" s="39">
        <f>'Fiscal Forecasts'!I$48</f>
        <v>0.99399999999999999</v>
      </c>
      <c r="J288" s="39">
        <f>'Fiscal Forecasts'!J$48</f>
        <v>0.996</v>
      </c>
      <c r="K288" s="8">
        <f ca="1">IF(K$6=OFFSET(Assumptions!$B$8,0,$C$1),AVERAGE(H$288/H$287,I$288/I$287,J$288/J$287),J$288/J$287)*K$287</f>
        <v>0.99595677277801309</v>
      </c>
      <c r="L288" s="8">
        <f ca="1">IF(L$6=OFFSET(Assumptions!$B$8,0,$C$1),AVERAGE(I$288/I$287,J$288/J$287,K$288/K$287),K$288/K$287)*L$287</f>
        <v>0.99595677277801309</v>
      </c>
      <c r="M288" s="8">
        <f ca="1">IF(M$6=OFFSET(Assumptions!$B$8,0,$C$1),AVERAGE(J$288/J$287,K$288/K$287,L$288/L$287),L$288/L$287)*M$287</f>
        <v>0.99595677277801309</v>
      </c>
      <c r="N288" s="8">
        <f ca="1">IF(N$6=OFFSET(Assumptions!$B$8,0,$C$1),AVERAGE(K$288/K$287,L$288/L$287,M$288/M$287),M$288/M$287)*N$287</f>
        <v>0.99595677277801309</v>
      </c>
      <c r="O288" s="8">
        <f ca="1">IF(O$6=OFFSET(Assumptions!$B$8,0,$C$1),AVERAGE(L$288/L$287,M$288/M$287,N$288/N$287),N$288/N$287)*O$287</f>
        <v>0.99595677277801309</v>
      </c>
      <c r="P288" s="8">
        <f ca="1">IF(P$6=OFFSET(Assumptions!$B$8,0,$C$1),AVERAGE(M$288/M$287,N$288/N$287,O$288/O$287),O$288/O$287)*P$287</f>
        <v>0.99595677277801309</v>
      </c>
      <c r="Q288" s="8">
        <f ca="1">IF(Q$6=OFFSET(Assumptions!$B$8,0,$C$1),AVERAGE(N$288/N$287,O$288/O$287,P$288/P$287),P$288/P$287)*Q$287</f>
        <v>0.99595677277801309</v>
      </c>
      <c r="R288" s="8">
        <f ca="1">IF(R$6=OFFSET(Assumptions!$B$8,0,$C$1),AVERAGE(O$288/O$287,P$288/P$287,Q$288/Q$287),Q$288/Q$287)*R$287</f>
        <v>0.99595677277801309</v>
      </c>
      <c r="S288" s="8">
        <f ca="1">IF(S$6=OFFSET(Assumptions!$B$8,0,$C$1),AVERAGE(P$288/P$287,Q$288/Q$287,R$288/R$287),R$288/R$287)*S$287</f>
        <v>0.99595677277801309</v>
      </c>
      <c r="T288" s="8">
        <f ca="1">IF(T$6=OFFSET(Assumptions!$B$8,0,$C$1),AVERAGE(Q$288/Q$287,R$288/R$287,S$288/S$287),S$288/S$287)*T$287</f>
        <v>0.99595677277801309</v>
      </c>
    </row>
    <row r="289" spans="1:20" ht="15" x14ac:dyDescent="0.25">
      <c r="A289" s="2"/>
      <c r="B289" s="4"/>
      <c r="D289" s="40"/>
      <c r="E289" s="40"/>
      <c r="F289" s="39"/>
      <c r="G289" s="39"/>
      <c r="H289" s="39"/>
      <c r="I289" s="39"/>
      <c r="J289" s="39"/>
      <c r="K289" s="8"/>
      <c r="L289" s="8"/>
      <c r="M289" s="8"/>
      <c r="N289" s="8"/>
      <c r="O289" s="8"/>
      <c r="P289" s="8"/>
      <c r="Q289" s="8"/>
      <c r="R289" s="8"/>
      <c r="S289" s="8"/>
      <c r="T289" s="8"/>
    </row>
    <row r="290" spans="1:20" ht="15" x14ac:dyDescent="0.25">
      <c r="A290" s="19" t="s">
        <v>607</v>
      </c>
      <c r="B290" s="4"/>
      <c r="D290" s="40"/>
      <c r="E290" s="40"/>
      <c r="F290" s="39"/>
      <c r="G290" s="39"/>
      <c r="H290" s="39"/>
      <c r="I290" s="39"/>
      <c r="J290" s="39"/>
      <c r="K290" s="8"/>
      <c r="L290" s="8"/>
      <c r="M290" s="8"/>
      <c r="N290" s="8"/>
      <c r="O290" s="8"/>
      <c r="P290" s="8"/>
      <c r="Q290" s="8"/>
      <c r="R290" s="8"/>
      <c r="S290" s="8"/>
      <c r="T290" s="8"/>
    </row>
    <row r="291" spans="1:20" ht="15" x14ac:dyDescent="0.25">
      <c r="A291" s="2" t="s">
        <v>561</v>
      </c>
      <c r="B291" s="4" t="str">
        <f t="shared" si="137"/>
        <v>From Fiscal</v>
      </c>
      <c r="D291" s="40">
        <f>'Fiscal Forecasts'!D$66</f>
        <v>0.14499999999999999</v>
      </c>
      <c r="E291" s="40">
        <f>'Fiscal Forecasts'!E$66</f>
        <v>0.46100000000000002</v>
      </c>
      <c r="F291" s="39">
        <f>'Fiscal Forecasts'!F$66</f>
        <v>0.23799999999999999</v>
      </c>
      <c r="G291" s="39">
        <f>'Fiscal Forecasts'!G$66</f>
        <v>0.40300000000000002</v>
      </c>
      <c r="H291" s="39">
        <f>'Fiscal Forecasts'!H$66</f>
        <v>0.46500000000000002</v>
      </c>
      <c r="I291" s="39">
        <f>'Fiscal Forecasts'!I$66</f>
        <v>0.46</v>
      </c>
      <c r="J291" s="39">
        <f>'Fiscal Forecasts'!J$66</f>
        <v>0.46</v>
      </c>
      <c r="K291" s="8">
        <f ca="1">IF(K$6&lt;OFFSET(Assumptions!$B$60,0,$C$1),J$291,0)</f>
        <v>0</v>
      </c>
      <c r="L291" s="8">
        <f ca="1">IF(L$6&lt;OFFSET(Assumptions!$B$60,0,$C$1),K$291,0)</f>
        <v>0</v>
      </c>
      <c r="M291" s="8">
        <f ca="1">IF(M$6&lt;OFFSET(Assumptions!$B$60,0,$C$1),L$291,0)</f>
        <v>0</v>
      </c>
      <c r="N291" s="8">
        <f ca="1">IF(N$6&lt;OFFSET(Assumptions!$B$60,0,$C$1),M$291,0)</f>
        <v>0</v>
      </c>
      <c r="O291" s="8">
        <f ca="1">IF(O$6&lt;OFFSET(Assumptions!$B$60,0,$C$1),N$291,0)</f>
        <v>0</v>
      </c>
      <c r="P291" s="8">
        <f ca="1">IF(P$6&lt;OFFSET(Assumptions!$B$60,0,$C$1),O$291,0)</f>
        <v>0</v>
      </c>
      <c r="Q291" s="8">
        <f ca="1">IF(Q$6&lt;OFFSET(Assumptions!$B$60,0,$C$1),P$291,0)</f>
        <v>0</v>
      </c>
      <c r="R291" s="8">
        <f ca="1">IF(R$6&lt;OFFSET(Assumptions!$B$60,0,$C$1),Q$291,0)</f>
        <v>0</v>
      </c>
      <c r="S291" s="8">
        <f ca="1">IF(S$6&lt;OFFSET(Assumptions!$B$60,0,$C$1),R$291,0)</f>
        <v>0</v>
      </c>
      <c r="T291" s="8">
        <f ca="1">IF(T$6&lt;OFFSET(Assumptions!$B$60,0,$C$1),S$291,0)</f>
        <v>0</v>
      </c>
    </row>
    <row r="292" spans="1:20" ht="15" x14ac:dyDescent="0.25">
      <c r="A292" s="2" t="s">
        <v>562</v>
      </c>
      <c r="B292" s="4" t="str">
        <f t="shared" si="137"/>
        <v>From Fiscal</v>
      </c>
      <c r="D292" s="40">
        <f>'Fiscal Forecasts'!D$49</f>
        <v>0.14499999999999999</v>
      </c>
      <c r="E292" s="40">
        <f>'Fiscal Forecasts'!E$49</f>
        <v>0.46100000000000002</v>
      </c>
      <c r="F292" s="39">
        <f>'Fiscal Forecasts'!F$49</f>
        <v>0.23799999999999999</v>
      </c>
      <c r="G292" s="39">
        <f>'Fiscal Forecasts'!G$49</f>
        <v>0.40300000000000002</v>
      </c>
      <c r="H292" s="39">
        <f>'Fiscal Forecasts'!H$49</f>
        <v>0.46500000000000002</v>
      </c>
      <c r="I292" s="39">
        <f>'Fiscal Forecasts'!I$49</f>
        <v>0.46</v>
      </c>
      <c r="J292" s="39">
        <f>'Fiscal Forecasts'!J$49</f>
        <v>0.46</v>
      </c>
      <c r="K292" s="8">
        <f ca="1">IF(K$6&lt;OFFSET(Assumptions!$B$60,0,$C$1),J$292,0)</f>
        <v>0</v>
      </c>
      <c r="L292" s="8">
        <f ca="1">IF(L$6&lt;OFFSET(Assumptions!$B$60,0,$C$1),K$292,0)</f>
        <v>0</v>
      </c>
      <c r="M292" s="8">
        <f ca="1">IF(M$6&lt;OFFSET(Assumptions!$B$60,0,$C$1),L$292,0)</f>
        <v>0</v>
      </c>
      <c r="N292" s="8">
        <f ca="1">IF(N$6&lt;OFFSET(Assumptions!$B$60,0,$C$1),M$292,0)</f>
        <v>0</v>
      </c>
      <c r="O292" s="8">
        <f ca="1">IF(O$6&lt;OFFSET(Assumptions!$B$60,0,$C$1),N$292,0)</f>
        <v>0</v>
      </c>
      <c r="P292" s="8">
        <f ca="1">IF(P$6&lt;OFFSET(Assumptions!$B$60,0,$C$1),O$292,0)</f>
        <v>0</v>
      </c>
      <c r="Q292" s="8">
        <f ca="1">IF(Q$6&lt;OFFSET(Assumptions!$B$60,0,$C$1),P$292,0)</f>
        <v>0</v>
      </c>
      <c r="R292" s="8">
        <f ca="1">IF(R$6&lt;OFFSET(Assumptions!$B$60,0,$C$1),Q$292,0)</f>
        <v>0</v>
      </c>
      <c r="S292" s="8">
        <f ca="1">IF(S$6&lt;OFFSET(Assumptions!$B$60,0,$C$1),R$292,0)</f>
        <v>0</v>
      </c>
      <c r="T292" s="8">
        <f ca="1">IF(T$6&lt;OFFSET(Assumptions!$B$60,0,$C$1),S$292,0)</f>
        <v>0</v>
      </c>
    </row>
    <row r="293" spans="1:20" ht="15" x14ac:dyDescent="0.25">
      <c r="A293" s="2"/>
      <c r="B293" s="4"/>
      <c r="D293" s="40"/>
      <c r="E293" s="40"/>
      <c r="F293" s="39"/>
      <c r="G293" s="39"/>
      <c r="H293" s="39"/>
      <c r="I293" s="39"/>
      <c r="J293" s="39"/>
      <c r="K293" s="8"/>
      <c r="L293" s="8"/>
      <c r="M293" s="8"/>
      <c r="N293" s="8"/>
      <c r="O293" s="8"/>
      <c r="P293" s="8"/>
      <c r="Q293" s="8"/>
      <c r="R293" s="8"/>
      <c r="S293" s="8"/>
      <c r="T293" s="8"/>
    </row>
    <row r="294" spans="1:20" ht="15" x14ac:dyDescent="0.25">
      <c r="A294" s="19" t="s">
        <v>1324</v>
      </c>
      <c r="B294" s="4"/>
      <c r="D294" s="40"/>
      <c r="E294" s="40"/>
      <c r="F294" s="39"/>
      <c r="G294" s="39"/>
      <c r="H294" s="39"/>
      <c r="I294" s="39"/>
      <c r="J294" s="39"/>
      <c r="K294" s="8"/>
      <c r="L294" s="8"/>
      <c r="M294" s="8"/>
      <c r="N294" s="8"/>
      <c r="O294" s="8"/>
      <c r="P294" s="8"/>
      <c r="Q294" s="8"/>
      <c r="R294" s="8"/>
      <c r="S294" s="8"/>
      <c r="T294" s="8"/>
    </row>
    <row r="295" spans="1:20" ht="15" x14ac:dyDescent="0.25">
      <c r="A295" s="2" t="s">
        <v>1325</v>
      </c>
      <c r="B295" s="4"/>
      <c r="D295" s="40">
        <f t="shared" ref="D295:T295" si="138">SUM(D$171,D$230,D$238,D$248,D$253,D$257,D$270,D$275,D$279,D$283,D$287)</f>
        <v>40.115000000000002</v>
      </c>
      <c r="E295" s="40">
        <f t="shared" si="138"/>
        <v>41.5</v>
      </c>
      <c r="F295" s="39">
        <f t="shared" si="138"/>
        <v>43.701999999999998</v>
      </c>
      <c r="G295" s="39">
        <f t="shared" si="138"/>
        <v>46.889999999999993</v>
      </c>
      <c r="H295" s="39">
        <f t="shared" si="138"/>
        <v>46.410000000000004</v>
      </c>
      <c r="I295" s="39">
        <f t="shared" si="138"/>
        <v>46.252000000000002</v>
      </c>
      <c r="J295" s="39">
        <f t="shared" si="138"/>
        <v>46.277000000000001</v>
      </c>
      <c r="K295" s="49">
        <f t="shared" ca="1" si="138"/>
        <v>46.277000000000001</v>
      </c>
      <c r="L295" s="49">
        <f t="shared" ca="1" si="138"/>
        <v>46.277000000000001</v>
      </c>
      <c r="M295" s="49">
        <f t="shared" ca="1" si="138"/>
        <v>46.277000000000001</v>
      </c>
      <c r="N295" s="49">
        <f t="shared" ca="1" si="138"/>
        <v>46.277000000000001</v>
      </c>
      <c r="O295" s="49">
        <f t="shared" ca="1" si="138"/>
        <v>46.277000000000001</v>
      </c>
      <c r="P295" s="49">
        <f t="shared" ca="1" si="138"/>
        <v>46.277000000000001</v>
      </c>
      <c r="Q295" s="49">
        <f t="shared" ca="1" si="138"/>
        <v>46.277000000000001</v>
      </c>
      <c r="R295" s="49">
        <f t="shared" ca="1" si="138"/>
        <v>46.277000000000001</v>
      </c>
      <c r="S295" s="49">
        <f t="shared" ca="1" si="138"/>
        <v>46.277000000000001</v>
      </c>
      <c r="T295" s="49">
        <f t="shared" ca="1" si="138"/>
        <v>46.277000000000001</v>
      </c>
    </row>
    <row r="296" spans="1:20" ht="15" x14ac:dyDescent="0.25">
      <c r="A296" s="2" t="s">
        <v>1327</v>
      </c>
      <c r="B296" s="4"/>
      <c r="D296" s="40">
        <f>SUM(D$230,D$237,D$238,D$245,D$247,D$261,D$291)</f>
        <v>30.933000000000003</v>
      </c>
      <c r="E296" s="40">
        <f>SUM(E$230,E$237,E$238,E$245,E$247,E$261,E$291)</f>
        <v>31.755000000000003</v>
      </c>
      <c r="F296" s="39">
        <f>SUM(F$230,F$237,F$238,F$245,F$247,F$261,F$291)</f>
        <v>32.426000000000002</v>
      </c>
      <c r="G296" s="39">
        <f t="shared" ref="G296:J296" si="139">SUM(G$230,G$237,G$238,G$245,G$247,G$261,G$291)</f>
        <v>34.564999999999998</v>
      </c>
      <c r="H296" s="39">
        <f t="shared" si="139"/>
        <v>34.658000000000001</v>
      </c>
      <c r="I296" s="39">
        <f t="shared" si="139"/>
        <v>34.655000000000008</v>
      </c>
      <c r="J296" s="39">
        <f t="shared" si="139"/>
        <v>35.371000000000002</v>
      </c>
      <c r="K296" s="49">
        <f t="shared" ref="K296:T296" ca="1" si="140">SUM(K$230,K$237,K$238,K$245,K$247,K$261,K$291)</f>
        <v>34.739176183764876</v>
      </c>
      <c r="L296" s="49">
        <f t="shared" ca="1" si="140"/>
        <v>35.060122834875919</v>
      </c>
      <c r="M296" s="49">
        <f t="shared" ca="1" si="140"/>
        <v>35.309659902824841</v>
      </c>
      <c r="N296" s="49">
        <f t="shared" ca="1" si="140"/>
        <v>35.535600712043447</v>
      </c>
      <c r="O296" s="49">
        <f t="shared" ca="1" si="140"/>
        <v>35.765462894420189</v>
      </c>
      <c r="P296" s="49">
        <f t="shared" ca="1" si="140"/>
        <v>36.004413155279607</v>
      </c>
      <c r="Q296" s="49">
        <f t="shared" ca="1" si="140"/>
        <v>36.244238660002445</v>
      </c>
      <c r="R296" s="49">
        <f t="shared" ca="1" si="140"/>
        <v>36.484250269538478</v>
      </c>
      <c r="S296" s="49">
        <f t="shared" ca="1" si="140"/>
        <v>36.730954033879868</v>
      </c>
      <c r="T296" s="49">
        <f t="shared" ca="1" si="140"/>
        <v>36.985279365207816</v>
      </c>
    </row>
    <row r="297" spans="1:20" ht="15" x14ac:dyDescent="0.25">
      <c r="A297" s="19" t="s">
        <v>564</v>
      </c>
      <c r="B297" s="4"/>
      <c r="D297" s="40"/>
      <c r="E297" s="40"/>
      <c r="F297" s="39"/>
      <c r="G297" s="39"/>
      <c r="H297" s="39"/>
      <c r="I297" s="39"/>
      <c r="J297" s="39"/>
      <c r="K297" s="8"/>
      <c r="L297" s="8"/>
      <c r="M297" s="8"/>
      <c r="N297" s="8"/>
      <c r="O297" s="8"/>
      <c r="P297" s="8"/>
      <c r="Q297" s="8"/>
      <c r="R297" s="8"/>
      <c r="S297" s="8"/>
      <c r="T297" s="8"/>
    </row>
    <row r="298" spans="1:20" ht="15" x14ac:dyDescent="0.25">
      <c r="A298" s="2" t="s">
        <v>1302</v>
      </c>
      <c r="B298" s="4" t="str">
        <f t="shared" si="137"/>
        <v>From Fiscal</v>
      </c>
      <c r="D298" s="40">
        <f>'Fiscal Forecasts'!D$200</f>
        <v>4.8250000000000002</v>
      </c>
      <c r="E298" s="40">
        <f>'Fiscal Forecasts'!E$200</f>
        <v>5.6840000000000002</v>
      </c>
      <c r="F298" s="39">
        <f>'Fiscal Forecasts'!F$200</f>
        <v>6.43</v>
      </c>
      <c r="G298" s="39">
        <f>'Fiscal Forecasts'!G$200</f>
        <v>5.8860000000000001</v>
      </c>
      <c r="H298" s="39">
        <f>'Fiscal Forecasts'!H$200</f>
        <v>6.0730000000000004</v>
      </c>
      <c r="I298" s="39">
        <f>'Fiscal Forecasts'!I$200</f>
        <v>6.0940000000000003</v>
      </c>
      <c r="J298" s="39">
        <f>'Fiscal Forecasts'!J$200</f>
        <v>6.1760000000000002</v>
      </c>
      <c r="K298" s="8">
        <f ca="1">IF(K$6=OFFSET(Assumptions!$B$8,0,$C$1),AVERAGE(H$298/SUM(H$227-H$226,H$250-H$249,H$254-H$253,H$258-H$257,H$276-H$275,H$280-H$279,H$284-H$283,H$288-H$287),I$298/SUM(I$227-I$226,I$250-I$249,I$254-I$253,I$258-I$257,I$276-I$275,I$280-I$279,I$284-I$283,I$288-I$287),J$298/SUM(J$227-J$226,J$250-J$249,J$254-J$253,J$258-J$257,J$276-J$275,J$280-J$279,J$284-J$283,J$288-J$287)),J$298/SUM(J$227-J$226,J$250-J$249,J$254-J$253,J$258-J$257,J$276-J$275,J$280-J$279,J$284-J$283,J$288-J$287))*SUM(K$227-K$226,K$250-K$249,K$254-K$253,K$258-K$257,K$276-K$275,K$280-K$279,K$284-K$283,K$288-K$287)</f>
        <v>6.6169304276140686</v>
      </c>
      <c r="L298" s="8">
        <f ca="1">IF(L$6=OFFSET(Assumptions!$B$8,0,$C$1),AVERAGE(I$298/SUM(I$227-I$226,I$250-I$249,I$254-I$253,I$258-I$257,I$276-I$275,I$280-I$279,I$284-I$283,I$288-I$287),J$298/SUM(J$227-J$226,J$250-J$249,J$254-J$253,J$258-J$257,J$276-J$275,J$280-J$279,J$284-J$283,J$288-J$287),K$298/SUM(K$227-K$226,K$250-K$249,K$254-K$253,K$258-K$257,K$276-K$275,K$280-K$279,K$284-K$283,K$288-K$287)),K$298/SUM(K$227-K$226,K$250-K$249,K$254-K$253,K$258-K$257,K$276-K$275,K$280-K$279,K$284-K$283,K$288-K$287))*SUM(L$227-L$226,L$250-L$249,L$254-L$253,L$258-L$257,L$276-L$275,L$280-L$279,L$284-L$283,L$288-L$287)</f>
        <v>6.8867220657975405</v>
      </c>
      <c r="M298" s="8">
        <f ca="1">IF(M$6=OFFSET(Assumptions!$B$8,0,$C$1),AVERAGE(J$298/SUM(J$227-J$226,J$250-J$249,J$254-J$253,J$258-J$257,J$276-J$275,J$280-J$279,J$284-J$283,J$288-J$287),K$298/SUM(K$227-K$226,K$250-K$249,K$254-K$253,K$258-K$257,K$276-K$275,K$280-K$279,K$284-K$283,K$288-K$287),L$298/SUM(L$227-L$226,L$250-L$249,L$254-L$253,L$258-L$257,L$276-L$275,L$280-L$279,L$284-L$283,L$288-L$287)),L$298/SUM(L$227-L$226,L$250-L$249,L$254-L$253,L$258-L$257,L$276-L$275,L$280-L$279,L$284-L$283,L$288-L$287))*SUM(M$227-M$226,M$250-M$249,M$254-M$253,M$258-M$257,M$276-M$275,M$280-M$279,M$284-M$283,M$288-M$287)</f>
        <v>7.1677458835961305</v>
      </c>
      <c r="N298" s="8">
        <f ca="1">IF(N$6=OFFSET(Assumptions!$B$8,0,$C$1),AVERAGE(K$298/SUM(K$227-K$226,K$250-K$249,K$254-K$253,K$258-K$257,K$276-K$275,K$280-K$279,K$284-K$283,K$288-K$287),L$298/SUM(L$227-L$226,L$250-L$249,L$254-L$253,L$258-L$257,L$276-L$275,L$280-L$279,L$284-L$283,L$288-L$287),M$298/SUM(M$227-M$226,M$250-M$249,M$254-M$253,M$258-M$257,M$276-M$275,M$280-M$279,M$284-M$283,M$288-M$287)),M$298/SUM(M$227-M$226,M$250-M$249,M$254-M$253,M$258-M$257,M$276-M$275,M$280-M$279,M$284-M$283,M$288-M$287))*SUM(N$227-N$226,N$250-N$249,N$254-N$253,N$258-N$257,N$276-N$275,N$280-N$279,N$284-N$283,N$288-N$287)</f>
        <v>7.4606878013992768</v>
      </c>
      <c r="O298" s="8">
        <f ca="1">IF(O$6=OFFSET(Assumptions!$B$8,0,$C$1),AVERAGE(L$298/SUM(L$227-L$226,L$250-L$249,L$254-L$253,L$258-L$257,L$276-L$275,L$280-L$279,L$284-L$283,L$288-L$287),M$298/SUM(M$227-M$226,M$250-M$249,M$254-M$253,M$258-M$257,M$276-M$275,M$280-M$279,M$284-M$283,M$288-M$287),N$298/SUM(N$227-N$226,N$250-N$249,N$254-N$253,N$258-N$257,N$276-N$275,N$280-N$279,N$284-N$283,N$288-N$287)),N$298/SUM(N$227-N$226,N$250-N$249,N$254-N$253,N$258-N$257,N$276-N$275,N$280-N$279,N$284-N$283,N$288-N$287))*SUM(O$227-O$226,O$250-O$249,O$254-O$253,O$258-O$257,O$276-O$275,O$280-O$279,O$284-O$283,O$288-O$287)</f>
        <v>7.7633670826783723</v>
      </c>
      <c r="P298" s="8">
        <f ca="1">IF(P$6=OFFSET(Assumptions!$B$8,0,$C$1),AVERAGE(M$298/SUM(M$227-M$226,M$250-M$249,M$254-M$253,M$258-M$257,M$276-M$275,M$280-M$279,M$284-M$283,M$288-M$287),N$298/SUM(N$227-N$226,N$250-N$249,N$254-N$253,N$258-N$257,N$276-N$275,N$280-N$279,N$284-N$283,N$288-N$287),O$298/SUM(O$227-O$226,O$250-O$249,O$254-O$253,O$258-O$257,O$276-O$275,O$280-O$279,O$284-O$283,O$288-O$287)),O$298/SUM(O$227-O$226,O$250-O$249,O$254-O$253,O$258-O$257,O$276-O$275,O$280-O$279,O$284-O$283,O$288-O$287))*SUM(P$227-P$226,P$250-P$249,P$254-P$253,P$258-P$257,P$276-P$275,P$280-P$279,P$284-P$283,P$288-P$287)</f>
        <v>8.0769461962807299</v>
      </c>
      <c r="Q298" s="8">
        <f ca="1">IF(Q$6=OFFSET(Assumptions!$B$8,0,$C$1),AVERAGE(N$298/SUM(N$227-N$226,N$250-N$249,N$254-N$253,N$258-N$257,N$276-N$275,N$280-N$279,N$284-N$283,N$288-N$287),O$298/SUM(O$227-O$226,O$250-O$249,O$254-O$253,O$258-O$257,O$276-O$275,O$280-O$279,O$284-O$283,O$288-O$287),P$298/SUM(P$227-P$226,P$250-P$249,P$254-P$253,P$258-P$257,P$276-P$275,P$280-P$279,P$284-P$283,P$288-P$287)),P$298/SUM(P$227-P$226,P$250-P$249,P$254-P$253,P$258-P$257,P$276-P$275,P$280-P$279,P$284-P$283,P$288-P$287))*SUM(Q$227-Q$226,Q$250-Q$249,Q$254-Q$253,Q$258-Q$257,Q$276-Q$275,Q$280-Q$279,Q$284-Q$283,Q$288-Q$287)</f>
        <v>8.4007435017844703</v>
      </c>
      <c r="R298" s="8">
        <f ca="1">IF(R$6=OFFSET(Assumptions!$B$8,0,$C$1),AVERAGE(O$298/SUM(O$227-O$226,O$250-O$249,O$254-O$253,O$258-O$257,O$276-O$275,O$280-O$279,O$284-O$283,O$288-O$287),P$298/SUM(P$227-P$226,P$250-P$249,P$254-P$253,P$258-P$257,P$276-P$275,P$280-P$279,P$284-P$283,P$288-P$287),Q$298/SUM(Q$227-Q$226,Q$250-Q$249,Q$254-Q$253,Q$258-Q$257,Q$276-Q$275,Q$280-Q$279,Q$284-Q$283,Q$288-Q$287)),Q$298/SUM(Q$227-Q$226,Q$250-Q$249,Q$254-Q$253,Q$258-Q$257,Q$276-Q$275,Q$280-Q$279,Q$284-Q$283,Q$288-Q$287))*SUM(R$227-R$226,R$250-R$249,R$254-R$253,R$258-R$257,R$276-R$275,R$280-R$279,R$284-R$283,R$288-R$287)</f>
        <v>8.734119254131441</v>
      </c>
      <c r="S298" s="8">
        <f ca="1">IF(S$6=OFFSET(Assumptions!$B$8,0,$C$1),AVERAGE(P$298/SUM(P$227-P$226,P$250-P$249,P$254-P$253,P$258-P$257,P$276-P$275,P$280-P$279,P$284-P$283,P$288-P$287),Q$298/SUM(Q$227-Q$226,Q$250-Q$249,Q$254-Q$253,Q$258-Q$257,Q$276-Q$275,Q$280-Q$279,Q$284-Q$283,Q$288-Q$287),R$298/SUM(R$227-R$226,R$250-R$249,R$254-R$253,R$258-R$257,R$276-R$275,R$280-R$279,R$284-R$283,R$288-R$287)),R$298/SUM(R$227-R$226,R$250-R$249,R$254-R$253,R$258-R$257,R$276-R$275,R$280-R$279,R$284-R$283,R$288-R$287))*SUM(S$227-S$226,S$250-S$249,S$254-S$253,S$258-S$257,S$276-S$275,S$280-S$279,S$284-S$283,S$288-S$287)</f>
        <v>9.0791613193962029</v>
      </c>
      <c r="T298" s="8">
        <f ca="1">IF(T$6=OFFSET(Assumptions!$B$8,0,$C$1),AVERAGE(Q$298/SUM(Q$227-Q$226,Q$250-Q$249,Q$254-Q$253,Q$258-Q$257,Q$276-Q$275,Q$280-Q$279,Q$284-Q$283,Q$288-Q$287),R$298/SUM(R$227-R$226,R$250-R$249,R$254-R$253,R$258-R$257,R$276-R$275,R$280-R$279,R$284-R$283,R$288-R$287),S$298/SUM(S$227-S$226,S$250-S$249,S$254-S$253,S$258-S$257,S$276-S$275,S$280-S$279,S$284-S$283,S$288-S$287)),S$298/SUM(S$227-S$226,S$250-S$249,S$254-S$253,S$258-S$257,S$276-S$275,S$280-S$279,S$284-S$283,S$288-S$287))*SUM(T$227-T$226,T$250-T$249,T$254-T$253,T$258-T$257,T$276-T$275,T$280-T$279,T$284-T$283,T$288-T$287)</f>
        <v>9.4351835632272181</v>
      </c>
    </row>
    <row r="299" spans="1:20" ht="15" x14ac:dyDescent="0.25">
      <c r="A299" s="2" t="s">
        <v>565</v>
      </c>
      <c r="B299" s="4" t="str">
        <f t="shared" si="137"/>
        <v>From Fiscal</v>
      </c>
      <c r="D299" s="40">
        <f>'Fiscal Forecasts'!D$201</f>
        <v>7.01</v>
      </c>
      <c r="E299" s="40">
        <f>'Fiscal Forecasts'!E$201</f>
        <v>5.9950000000000001</v>
      </c>
      <c r="F299" s="39">
        <f>'Fiscal Forecasts'!F$201</f>
        <v>6.7050000000000001</v>
      </c>
      <c r="G299" s="39">
        <f>'Fiscal Forecasts'!G$201</f>
        <v>7.14</v>
      </c>
      <c r="H299" s="39">
        <f>'Fiscal Forecasts'!H$201</f>
        <v>7.4189999999999996</v>
      </c>
      <c r="I299" s="39">
        <f>'Fiscal Forecasts'!I$201</f>
        <v>7.6529999999999996</v>
      </c>
      <c r="J299" s="39">
        <f>'Fiscal Forecasts'!J$201</f>
        <v>7.7670000000000003</v>
      </c>
      <c r="K299" s="8">
        <f ca="1">IF(K$6=OFFSET(Assumptions!$B$8,0,$C$1),AVERAGE(H$299/(H$272-H$271),I$299/(I$272-I$271),J$299/(J$272-J$271)),J$299/(J$272-J$271))*(K$272-K$271)</f>
        <v>8.2800977789724204</v>
      </c>
      <c r="L299" s="8">
        <f ca="1">IF(L$6=OFFSET(Assumptions!$B$8,0,$C$1),AVERAGE(I$299/(I$272-I$271),J$299/(J$272-J$271),K$299/(K$272-K$271)),K$299/(K$272-K$271))*(L$272-L$271)</f>
        <v>8.6433740734383413</v>
      </c>
      <c r="M299" s="8">
        <f ca="1">IF(M$6=OFFSET(Assumptions!$B$8,0,$C$1),AVERAGE(J$299/(J$272-J$271),K$299/(K$272-K$271),L$299/(L$272-L$271)),L$299/(L$272-L$271))*(M$272-M$271)</f>
        <v>9.0210877645581515</v>
      </c>
      <c r="N299" s="8">
        <f ca="1">IF(N$6=OFFSET(Assumptions!$B$8,0,$C$1),AVERAGE(K$299/(K$272-K$271),L$299/(L$272-L$271),M$299/(M$272-M$271)),M$299/(M$272-M$271))*(N$272-N$271)</f>
        <v>9.4148809674645424</v>
      </c>
      <c r="O299" s="8">
        <f ca="1">IF(O$6=OFFSET(Assumptions!$B$8,0,$C$1),AVERAGE(L$299/(L$272-L$271),M$299/(M$272-M$271),N$299/(N$272-N$271)),N$299/(N$272-N$271))*(O$272-O$271)</f>
        <v>9.8217691364484097</v>
      </c>
      <c r="P299" s="8">
        <f ca="1">IF(P$6=OFFSET(Assumptions!$B$8,0,$C$1),AVERAGE(M$299/(M$272-M$271),N$299/(N$272-N$271),O$299/(O$272-O$271)),O$299/(O$272-O$271))*(P$272-P$271)</f>
        <v>10.243359262624246</v>
      </c>
      <c r="Q299" s="8">
        <f ca="1">IF(Q$6=OFFSET(Assumptions!$B$8,0,$C$1),AVERAGE(N$299/(N$272-N$271),O$299/(O$272-O$271),P$299/(P$272-P$271)),P$299/(P$272-P$271))*(Q$272-Q$271)</f>
        <v>10.678999287495273</v>
      </c>
      <c r="R299" s="8">
        <f ca="1">IF(R$6=OFFSET(Assumptions!$B$8,0,$C$1),AVERAGE(O$299/(O$272-O$271),P$299/(P$272-P$271),Q$299/(Q$272-Q$271)),Q$299/(Q$272-Q$271))*(R$272-R$271)</f>
        <v>11.128203434838085</v>
      </c>
      <c r="S299" s="8">
        <f ca="1">IF(S$6=OFFSET(Assumptions!$B$8,0,$C$1),AVERAGE(P$299/(P$272-P$271),Q$299/(Q$272-Q$271),R$299/(R$272-R$271)),R$299/(R$272-R$271))*(S$272-S$271)</f>
        <v>11.593010752614859</v>
      </c>
      <c r="T299" s="8">
        <f ca="1">IF(T$6=OFFSET(Assumptions!$B$8,0,$C$1),AVERAGE(Q$299/(Q$272-Q$271),R$299/(R$272-R$271),S$299/(S$272-S$271)),S$299/(S$272-S$271))*(T$272-T$271)</f>
        <v>12.07269940922396</v>
      </c>
    </row>
    <row r="300" spans="1:20" ht="15" x14ac:dyDescent="0.25">
      <c r="A300" s="2" t="s">
        <v>566</v>
      </c>
      <c r="B300" s="4" t="str">
        <f t="shared" si="137"/>
        <v>From Fiscal</v>
      </c>
      <c r="D300" s="40">
        <f>'Fiscal Forecasts'!D$202</f>
        <v>-2.698</v>
      </c>
      <c r="E300" s="40">
        <f>'Fiscal Forecasts'!E$202</f>
        <v>-2.7010000000000001</v>
      </c>
      <c r="F300" s="39">
        <f>'Fiscal Forecasts'!F$202</f>
        <v>-3.073</v>
      </c>
      <c r="G300" s="39">
        <f>'Fiscal Forecasts'!G$202</f>
        <v>-3.1230000000000002</v>
      </c>
      <c r="H300" s="39">
        <f>'Fiscal Forecasts'!H$202</f>
        <v>-3.1619999999999999</v>
      </c>
      <c r="I300" s="39">
        <f>'Fiscal Forecasts'!I$202</f>
        <v>-3.0739999999999998</v>
      </c>
      <c r="J300" s="39">
        <f>'Fiscal Forecasts'!J$202</f>
        <v>-3.0920000000000001</v>
      </c>
      <c r="K300" s="8">
        <f ca="1">SUM(K$227-K$226,K$250-K$249,K$254-K$253,K$258-K$257,K$272-K$271,K$276-K$275,K$280-K$279,K$284-K$283,K$288-K$287,-K$298,-K$299)</f>
        <v>-3.3760482728016683</v>
      </c>
      <c r="L300" s="8">
        <f t="shared" ref="L300:T300" ca="1" si="141">SUM(L$227-L$226,L$250-L$249,L$254-L$253,L$258-L$257,L$272-L$271,L$276-L$275,L$280-L$279,L$284-L$283,L$288-L$287,-L$298,-L$299)</f>
        <v>-3.5193706147640782</v>
      </c>
      <c r="M300" s="8">
        <f t="shared" ca="1" si="141"/>
        <v>-3.6685081519748666</v>
      </c>
      <c r="N300" s="8">
        <f t="shared" ca="1" si="141"/>
        <v>-3.8239839867859073</v>
      </c>
      <c r="O300" s="8">
        <f t="shared" ca="1" si="141"/>
        <v>-3.9846289986355918</v>
      </c>
      <c r="P300" s="8">
        <f t="shared" ca="1" si="141"/>
        <v>-4.1510699454138216</v>
      </c>
      <c r="Q300" s="8">
        <f t="shared" ca="1" si="141"/>
        <v>-4.3230034257931464</v>
      </c>
      <c r="R300" s="8">
        <f t="shared" ca="1" si="141"/>
        <v>-4.5001725645746262</v>
      </c>
      <c r="S300" s="8">
        <f t="shared" ca="1" si="141"/>
        <v>-4.6835159122610577</v>
      </c>
      <c r="T300" s="8">
        <f t="shared" ca="1" si="141"/>
        <v>-4.87271360421067</v>
      </c>
    </row>
    <row r="301" spans="1:20" ht="15" x14ac:dyDescent="0.25">
      <c r="A301" s="2"/>
      <c r="B301" s="4"/>
      <c r="D301" s="40"/>
      <c r="E301" s="40"/>
      <c r="F301" s="39"/>
      <c r="G301" s="39"/>
      <c r="H301" s="39"/>
      <c r="I301" s="39"/>
      <c r="J301" s="39"/>
      <c r="K301" s="8"/>
      <c r="L301" s="8"/>
      <c r="M301" s="8"/>
      <c r="N301" s="8"/>
      <c r="O301" s="8"/>
      <c r="P301" s="8"/>
      <c r="Q301" s="8"/>
      <c r="R301" s="8"/>
      <c r="S301" s="8"/>
      <c r="T301" s="8"/>
    </row>
    <row r="302" spans="1:20" ht="15" x14ac:dyDescent="0.25">
      <c r="A302" s="19" t="s">
        <v>567</v>
      </c>
      <c r="B302" s="4"/>
      <c r="D302" s="40"/>
      <c r="E302" s="40"/>
      <c r="F302" s="39"/>
      <c r="G302" s="39"/>
      <c r="H302" s="39"/>
      <c r="I302" s="39"/>
      <c r="J302" s="39"/>
      <c r="K302" s="8"/>
      <c r="L302" s="8"/>
      <c r="M302" s="8"/>
      <c r="N302" s="8"/>
      <c r="O302" s="8"/>
      <c r="P302" s="8"/>
      <c r="Q302" s="8"/>
      <c r="R302" s="8"/>
      <c r="S302" s="8"/>
      <c r="T302" s="8"/>
    </row>
    <row r="303" spans="1:20" x14ac:dyDescent="0.2">
      <c r="A303" s="1" t="s">
        <v>1328</v>
      </c>
      <c r="B303" s="4"/>
      <c r="D303" s="50">
        <f>D$350</f>
        <v>3.1560000000000001</v>
      </c>
      <c r="E303" s="50">
        <f>E$350</f>
        <v>-7.5999999999999998E-2</v>
      </c>
      <c r="F303" s="16">
        <f>F$350</f>
        <v>5.5069999999999997</v>
      </c>
      <c r="G303" s="16">
        <f t="shared" ref="G303:J303" si="142">G$350</f>
        <v>2.3650000000000002</v>
      </c>
      <c r="H303" s="16">
        <f t="shared" si="142"/>
        <v>2.5259999999999998</v>
      </c>
      <c r="I303" s="16">
        <f t="shared" si="142"/>
        <v>2.6989999999999998</v>
      </c>
      <c r="J303" s="16">
        <f t="shared" si="142"/>
        <v>2.883</v>
      </c>
      <c r="K303" s="7">
        <f t="shared" ref="K303:T303" ca="1" si="143">K$350</f>
        <v>2.5409417921179696</v>
      </c>
      <c r="L303" s="7">
        <f t="shared" ca="1" si="143"/>
        <v>2.8660782341780489</v>
      </c>
      <c r="M303" s="7">
        <f t="shared" ca="1" si="143"/>
        <v>3.2123081867182091</v>
      </c>
      <c r="N303" s="7">
        <f t="shared" ca="1" si="143"/>
        <v>3.5790239326008026</v>
      </c>
      <c r="O303" s="7">
        <f t="shared" ca="1" si="143"/>
        <v>3.9657472863900085</v>
      </c>
      <c r="P303" s="7">
        <f t="shared" ca="1" si="143"/>
        <v>4.3431269843045319</v>
      </c>
      <c r="Q303" s="7">
        <f t="shared" ca="1" si="143"/>
        <v>4.6432521366210837</v>
      </c>
      <c r="R303" s="7">
        <f t="shared" ca="1" si="143"/>
        <v>4.9400287685718212</v>
      </c>
      <c r="S303" s="7">
        <f t="shared" ca="1" si="143"/>
        <v>5.2345349252542688</v>
      </c>
      <c r="T303" s="7">
        <f t="shared" ca="1" si="143"/>
        <v>5.5279305231959288</v>
      </c>
    </row>
    <row r="304" spans="1:20" x14ac:dyDescent="0.2">
      <c r="A304" s="1" t="s">
        <v>1329</v>
      </c>
      <c r="B304" s="4" t="str">
        <f t="shared" ref="B304:B317" si="144">$B$38</f>
        <v>From Fiscal</v>
      </c>
      <c r="D304" s="15">
        <f>'Fiscal Forecasts'!D$164-D$303</f>
        <v>0.51400000000000023</v>
      </c>
      <c r="E304" s="15">
        <f>'Fiscal Forecasts'!E$164-E$303</f>
        <v>-3.1829999999999998</v>
      </c>
      <c r="F304" s="16">
        <f>'Fiscal Forecasts'!F$164-F$303</f>
        <v>0.80000000000000071</v>
      </c>
      <c r="G304" s="16">
        <f>'Fiscal Forecasts'!G$164-G$303</f>
        <v>2.3999999999999577E-2</v>
      </c>
      <c r="H304" s="16">
        <f>'Fiscal Forecasts'!H$164-H$303</f>
        <v>0.14200000000000035</v>
      </c>
      <c r="I304" s="16">
        <f>'Fiscal Forecasts'!I$164-I$303</f>
        <v>0.19200000000000017</v>
      </c>
      <c r="J304" s="16">
        <f>'Fiscal Forecasts'!J$164-J$303</f>
        <v>0.21600000000000019</v>
      </c>
      <c r="K304" s="7">
        <f ca="1">IF(K$6=OFFSET(Assumptions!$B$8,0,$C$1),AVERAGE(H$304/H$13,I$304/I$13,J$304/J$13),J$304/J$13)*K$13</f>
        <v>0.19835729531910401</v>
      </c>
      <c r="L304" s="7">
        <f ca="1">IF(L$6=OFFSET(Assumptions!$B$8,0,$C$1),AVERAGE(I$304/I$13,J$304/J$13,K$304/K$13),K$304/K$13)*L$13</f>
        <v>0.20705991033010082</v>
      </c>
      <c r="M304" s="7">
        <f ca="1">IF(M$6=OFFSET(Assumptions!$B$8,0,$C$1),AVERAGE(J$304/J$13,K$304/K$13,L$304/L$13),L$304/L$13)*M$13</f>
        <v>0.21610838634759288</v>
      </c>
      <c r="N304" s="7">
        <f ca="1">IF(N$6=OFFSET(Assumptions!$B$8,0,$C$1),AVERAGE(K$304/K$13,L$304/L$13,M$304/M$13),M$304/M$13)*N$13</f>
        <v>0.22554206173750513</v>
      </c>
      <c r="O304" s="7">
        <f ca="1">IF(O$6=OFFSET(Assumptions!$B$8,0,$C$1),AVERAGE(L$304/L$13,M$304/M$13,N$304/N$13),N$304/N$13)*O$13</f>
        <v>0.23528943898490265</v>
      </c>
      <c r="P304" s="7">
        <f ca="1">IF(P$6=OFFSET(Assumptions!$B$8,0,$C$1),AVERAGE(M$304/M$13,N$304/N$13,O$304/O$13),O$304/O$13)*P$13</f>
        <v>0.24538901502781466</v>
      </c>
      <c r="Q304" s="7">
        <f ca="1">IF(Q$6=OFFSET(Assumptions!$B$8,0,$C$1),AVERAGE(N$304/N$13,O$304/O$13,P$304/P$13),P$304/P$13)*Q$13</f>
        <v>0.25582516921014942</v>
      </c>
      <c r="R304" s="7">
        <f ca="1">IF(R$6=OFFSET(Assumptions!$B$8,0,$C$1),AVERAGE(O$304/O$13,P$304/P$13,Q$304/Q$13),Q$304/Q$13)*R$13</f>
        <v>0.26658626431935512</v>
      </c>
      <c r="S304" s="7">
        <f ca="1">IF(S$6=OFFSET(Assumptions!$B$8,0,$C$1),AVERAGE(P$304/P$13,Q$304/Q$13,R$304/R$13),R$304/R$13)*S$13</f>
        <v>0.277721147609365</v>
      </c>
      <c r="T304" s="7">
        <f ca="1">IF(T$6=OFFSET(Assumptions!$B$8,0,$C$1),AVERAGE(Q$304/Q$13,R$304/R$13,S$304/S$13),S$304/S$13)*T$13</f>
        <v>0.28921252694571431</v>
      </c>
    </row>
    <row r="305" spans="1:20" ht="15" x14ac:dyDescent="0.25">
      <c r="A305" s="2" t="s">
        <v>1330</v>
      </c>
      <c r="B305" s="4"/>
      <c r="D305" s="35">
        <f>SUM(D$303:D$304)</f>
        <v>3.6700000000000004</v>
      </c>
      <c r="E305" s="35">
        <f>SUM(E$303:E$304)</f>
        <v>-3.2589999999999999</v>
      </c>
      <c r="F305" s="34">
        <f>SUM(F$303:F$304)</f>
        <v>6.3070000000000004</v>
      </c>
      <c r="G305" s="34">
        <f t="shared" ref="G305:J305" si="145">SUM(G$303:G$304)</f>
        <v>2.3889999999999998</v>
      </c>
      <c r="H305" s="34">
        <f t="shared" si="145"/>
        <v>2.6680000000000001</v>
      </c>
      <c r="I305" s="34">
        <f t="shared" si="145"/>
        <v>2.891</v>
      </c>
      <c r="J305" s="34">
        <f t="shared" si="145"/>
        <v>3.0990000000000002</v>
      </c>
      <c r="K305" s="38">
        <f t="shared" ref="K305:T305" ca="1" si="146">SUM(K$303:K$304)</f>
        <v>2.7392990874370735</v>
      </c>
      <c r="L305" s="38">
        <f t="shared" ca="1" si="146"/>
        <v>3.0731381445081496</v>
      </c>
      <c r="M305" s="38">
        <f t="shared" ca="1" si="146"/>
        <v>3.4284165730658018</v>
      </c>
      <c r="N305" s="38">
        <f t="shared" ca="1" si="146"/>
        <v>3.8045659943383079</v>
      </c>
      <c r="O305" s="38">
        <f t="shared" ca="1" si="146"/>
        <v>4.2010367253749115</v>
      </c>
      <c r="P305" s="38">
        <f t="shared" ca="1" si="146"/>
        <v>4.5885159993323468</v>
      </c>
      <c r="Q305" s="38">
        <f t="shared" ca="1" si="146"/>
        <v>4.8990773058312334</v>
      </c>
      <c r="R305" s="38">
        <f t="shared" ca="1" si="146"/>
        <v>5.2066150328911762</v>
      </c>
      <c r="S305" s="38">
        <f t="shared" ca="1" si="146"/>
        <v>5.5122560728636341</v>
      </c>
      <c r="T305" s="38">
        <f t="shared" ca="1" si="146"/>
        <v>5.8171430501416435</v>
      </c>
    </row>
    <row r="306" spans="1:20" x14ac:dyDescent="0.2">
      <c r="A306" s="1" t="s">
        <v>279</v>
      </c>
      <c r="B306" s="4" t="str">
        <f t="shared" si="144"/>
        <v>From Fiscal</v>
      </c>
      <c r="D306" s="15">
        <f>SUM('Fiscal Forecasts'!D$280,'Fiscal Forecasts'!D$286)</f>
        <v>1.4169999999999998</v>
      </c>
      <c r="E306" s="15">
        <f>SUM('Fiscal Forecasts'!E$280,'Fiscal Forecasts'!E$286)</f>
        <v>-3.3</v>
      </c>
      <c r="F306" s="16">
        <f>SUM('Fiscal Forecasts'!F$280,'Fiscal Forecasts'!F$286)</f>
        <v>1.1949999999999998</v>
      </c>
      <c r="G306" s="16">
        <f>SUM('Fiscal Forecasts'!G$280,'Fiscal Forecasts'!G$286)</f>
        <v>0.13400000000000001</v>
      </c>
      <c r="H306" s="16">
        <f>SUM('Fiscal Forecasts'!H$280,'Fiscal Forecasts'!H$286)</f>
        <v>0.20699999999999996</v>
      </c>
      <c r="I306" s="16">
        <f>SUM('Fiscal Forecasts'!I$280,'Fiscal Forecasts'!I$286)</f>
        <v>0.32299999999999995</v>
      </c>
      <c r="J306" s="16">
        <f>SUM('Fiscal Forecasts'!J$280,'Fiscal Forecasts'!J$286)</f>
        <v>0.36699999999999999</v>
      </c>
      <c r="K306" s="7">
        <f>J$306*Exogenous!R$27/Exogenous!Q$27</f>
        <v>0.38512558883419884</v>
      </c>
      <c r="L306" s="7">
        <f>K$306*Exogenous!S$27/Exogenous!R$27</f>
        <v>0.40344361902754855</v>
      </c>
      <c r="M306" s="7">
        <f>L$306*Exogenous!T$27/Exogenous!S$27</f>
        <v>0.42231967898878892</v>
      </c>
      <c r="N306" s="7">
        <f>M$306*Exogenous!U$27/Exogenous!T$27</f>
        <v>0.44137288425581189</v>
      </c>
      <c r="O306" s="7">
        <f>N$306*Exogenous!V$27/Exogenous!U$27</f>
        <v>0.46098009346952595</v>
      </c>
      <c r="P306" s="7">
        <f>O$306*Exogenous!W$27/Exogenous!V$27</f>
        <v>0.48164136198039309</v>
      </c>
      <c r="Q306" s="7">
        <f>P$306*Exogenous!X$27/Exogenous!W$27</f>
        <v>0.50294604022964773</v>
      </c>
      <c r="R306" s="7">
        <f>Q$306*Exogenous!Y$27/Exogenous!X$27</f>
        <v>0.52473738712424012</v>
      </c>
      <c r="S306" s="7">
        <f>R$306*Exogenous!Z$27/Exogenous!Y$27</f>
        <v>0.54719888518995996</v>
      </c>
      <c r="T306" s="7">
        <f>S$306*Exogenous!AA$27/Exogenous!Z$27</f>
        <v>0.57041662274456961</v>
      </c>
    </row>
    <row r="307" spans="1:20" x14ac:dyDescent="0.2">
      <c r="A307" s="1" t="s">
        <v>506</v>
      </c>
      <c r="B307" s="4" t="str">
        <f t="shared" si="144"/>
        <v>From Fiscal</v>
      </c>
      <c r="D307" s="15">
        <f>SUM('Fiscal Forecasts'!D$281,'Fiscal Forecasts'!D$287)</f>
        <v>0.34200000000000003</v>
      </c>
      <c r="E307" s="15">
        <f>SUM('Fiscal Forecasts'!E$281,'Fiscal Forecasts'!E$287)</f>
        <v>6.0000000000000053E-3</v>
      </c>
      <c r="F307" s="16">
        <f>SUM('Fiscal Forecasts'!F$281,'Fiscal Forecasts'!F$287)</f>
        <v>0.11299999999999999</v>
      </c>
      <c r="G307" s="16">
        <f>SUM('Fiscal Forecasts'!G$281,'Fiscal Forecasts'!G$287)</f>
        <v>0.17399999999999999</v>
      </c>
      <c r="H307" s="16">
        <f>SUM('Fiscal Forecasts'!H$281,'Fiscal Forecasts'!H$287)</f>
        <v>9.8000000000000004E-2</v>
      </c>
      <c r="I307" s="16">
        <f>SUM('Fiscal Forecasts'!I$281,'Fiscal Forecasts'!I$287)</f>
        <v>7.5999999999999998E-2</v>
      </c>
      <c r="J307" s="16">
        <f>SUM('Fiscal Forecasts'!J$281,'Fiscal Forecasts'!J$287)</f>
        <v>8.2000000000000003E-2</v>
      </c>
      <c r="K307" s="7">
        <f ca="1">IF(K$6=OFFSET(Assumptions!$B$8,0,$C$1),AVERAGE(H$307/H$13,I$307/I$13,J$307/J$13),J$307/J$13)*K$13</f>
        <v>9.3134581395307225E-2</v>
      </c>
      <c r="L307" s="7">
        <f ca="1">IF(L$6=OFFSET(Assumptions!$B$8,0,$C$1),AVERAGE(I$307/I$13,J$307/J$13,K$307/K$13),K$307/K$13)*L$13</f>
        <v>9.7220714979604217E-2</v>
      </c>
      <c r="M307" s="7">
        <f ca="1">IF(M$6=OFFSET(Assumptions!$B$8,0,$C$1),AVERAGE(J$307/J$13,K$307/K$13,L$307/L$13),L$307/L$13)*M$13</f>
        <v>0.10146924047395964</v>
      </c>
      <c r="N307" s="7">
        <f ca="1">IF(N$6=OFFSET(Assumptions!$B$8,0,$C$1),AVERAGE(K$307/K$13,L$307/L$13,M$307/M$13),M$307/M$13)*N$13</f>
        <v>0.10589862839763167</v>
      </c>
      <c r="O307" s="7">
        <f ca="1">IF(O$6=OFFSET(Assumptions!$B$8,0,$C$1),AVERAGE(L$307/L$13,M$307/M$13,N$307/N$13),N$307/N$13)*O$13</f>
        <v>0.11047530856549781</v>
      </c>
      <c r="P307" s="7">
        <f ca="1">IF(P$6=OFFSET(Assumptions!$B$8,0,$C$1),AVERAGE(M$307/M$13,N$307/N$13,O$307/O$13),O$307/O$13)*P$13</f>
        <v>0.11521735642168317</v>
      </c>
      <c r="Q307" s="7">
        <f ca="1">IF(Q$6=OFFSET(Assumptions!$B$8,0,$C$1),AVERAGE(N$307/N$13,O$307/O$13,P$307/P$13),P$307/P$13)*Q$13</f>
        <v>0.12011743760894174</v>
      </c>
      <c r="R307" s="7">
        <f ca="1">IF(R$6=OFFSET(Assumptions!$B$8,0,$C$1),AVERAGE(O$307/O$13,P$307/P$13,Q$307/Q$13),Q$307/Q$13)*R$13</f>
        <v>0.12517008811387345</v>
      </c>
      <c r="S307" s="7">
        <f ca="1">IF(S$6=OFFSET(Assumptions!$B$8,0,$C$1),AVERAGE(P$307/P$13,Q$307/Q$13,R$307/R$13),R$307/R$13)*S$13</f>
        <v>0.13039824315819562</v>
      </c>
      <c r="T307" s="7">
        <f ca="1">IF(T$6=OFFSET(Assumptions!$B$8,0,$C$1),AVERAGE(Q$307/Q$13,R$307/R$13,S$307/S$13),S$307/S$13)*T$13</f>
        <v>0.13579378357642849</v>
      </c>
    </row>
    <row r="308" spans="1:20" x14ac:dyDescent="0.2">
      <c r="A308" s="1" t="s">
        <v>507</v>
      </c>
      <c r="B308" s="4" t="str">
        <f t="shared" si="144"/>
        <v>From Fiscal</v>
      </c>
      <c r="D308" s="15">
        <f>SUM('Fiscal Forecasts'!D$26:D$27)-SUM(D$305:D$307)</f>
        <v>-0.88199999999999967</v>
      </c>
      <c r="E308" s="15">
        <f>SUM('Fiscal Forecasts'!E$26:E$27)-SUM(E$305:E$307)</f>
        <v>-0.96600000000000019</v>
      </c>
      <c r="F308" s="16">
        <f>SUM('Fiscal Forecasts'!F$26:F$27)-SUM(F$305:F$307)</f>
        <v>-0.34500000000000064</v>
      </c>
      <c r="G308" s="16">
        <f>SUM('Fiscal Forecasts'!G$26:G$27)-SUM(G$305:G$307)</f>
        <v>-0.10399999999999965</v>
      </c>
      <c r="H308" s="16">
        <f>SUM('Fiscal Forecasts'!H$26:H$27)-SUM(H$305:H$307)</f>
        <v>-0.11599999999999966</v>
      </c>
      <c r="I308" s="16">
        <f>SUM('Fiscal Forecasts'!I$26:I$27)-SUM(I$305:I$307)</f>
        <v>-0.13000000000000034</v>
      </c>
      <c r="J308" s="16">
        <f>SUM('Fiscal Forecasts'!J$26:J$27)-SUM(J$305:J$307)</f>
        <v>-0.14000000000000012</v>
      </c>
      <c r="K308" s="7">
        <f ca="1">IF(K$6=OFFSET(Assumptions!$B$8,0,$C$1),AVERAGE(H$308/SUM(H$306,H$307),I$308/SUM(I$306,I$307),J$308/SUM(J$306,J$307)),J$308/SUM(J$306,J$307))*SUM(K$306,K$307)</f>
        <v>-0.16228107509764547</v>
      </c>
      <c r="L308" s="7">
        <f ca="1">IF(L$6=OFFSET(Assumptions!$B$8,0,$C$1),AVERAGE(I$308/SUM(I$306,I$307),J$308/SUM(J$306,J$307),K$308/SUM(K$306,K$307)),K$308/SUM(K$306,K$307))*SUM(L$306,L$307)</f>
        <v>-0.16988315449044858</v>
      </c>
      <c r="M308" s="7">
        <f ca="1">IF(M$6=OFFSET(Assumptions!$B$8,0,$C$1),AVERAGE(J$308/SUM(J$306,J$307),K$308/SUM(K$306,K$307),L$308/SUM(L$306,L$307)),L$308/SUM(L$306,L$307))*SUM(M$306,M$307)</f>
        <v>-0.17772968410448819</v>
      </c>
      <c r="N308" s="7">
        <f ca="1">IF(N$6=OFFSET(Assumptions!$B$8,0,$C$1),AVERAGE(K$308/SUM(K$306,K$307),L$308/SUM(L$306,L$307),M$308/SUM(M$306,M$307)),M$308/SUM(M$306,M$307))*SUM(N$306,N$307)</f>
        <v>-0.18569769128191618</v>
      </c>
      <c r="O308" s="7">
        <f ca="1">IF(O$6=OFFSET(Assumptions!$B$8,0,$C$1),AVERAGE(L$308/SUM(L$306,L$307),M$308/SUM(M$306,M$307),N$308/SUM(N$306,N$307)),N$308/SUM(N$306,N$307))*SUM(O$306,O$307)</f>
        <v>-0.1939036591069225</v>
      </c>
      <c r="P308" s="7">
        <f ca="1">IF(P$6=OFFSET(Assumptions!$B$8,0,$C$1),AVERAGE(M$308/SUM(M$306,M$307),N$308/SUM(N$306,N$307),O$308/SUM(O$306,O$307)),O$308/SUM(O$306,O$307))*SUM(P$306,P$307)</f>
        <v>-0.20252339737430242</v>
      </c>
      <c r="Q308" s="7">
        <f ca="1">IF(Q$6=OFFSET(Assumptions!$B$8,0,$C$1),AVERAGE(N$308/SUM(N$306,N$307),O$308/SUM(O$306,O$307),P$308/SUM(P$306,P$307)),P$308/SUM(P$306,P$307))*SUM(Q$306,Q$307)</f>
        <v>-0.21141507767457043</v>
      </c>
      <c r="R308" s="7">
        <f ca="1">IF(R$6=OFFSET(Assumptions!$B$8,0,$C$1),AVERAGE(O$308/SUM(O$306,O$307),P$308/SUM(P$306,P$307),Q$308/SUM(Q$306,Q$307)),Q$308/SUM(Q$306,Q$307))*SUM(R$306,R$307)</f>
        <v>-0.22052366130557338</v>
      </c>
      <c r="S308" s="7">
        <f ca="1">IF(S$6=OFFSET(Assumptions!$B$8,0,$C$1),AVERAGE(P$308/SUM(P$306,P$307),Q$308/SUM(Q$306,Q$307),R$308/SUM(R$306,R$307)),R$308/SUM(R$306,R$307))*SUM(S$306,S$307)</f>
        <v>-0.22991918900260522</v>
      </c>
      <c r="T308" s="7">
        <f ca="1">IF(T$6=OFFSET(Assumptions!$B$8,0,$C$1),AVERAGE(Q$308/SUM(Q$306,Q$307),R$308/SUM(R$306,R$307),S$308/SUM(S$306,S$307)),S$308/SUM(S$306,S$307))*SUM(T$306,T$307)</f>
        <v>-0.23962811690532479</v>
      </c>
    </row>
    <row r="309" spans="1:20" ht="15" x14ac:dyDescent="0.25">
      <c r="A309" s="2" t="s">
        <v>568</v>
      </c>
      <c r="B309" s="4"/>
      <c r="D309" s="35">
        <f t="shared" ref="D309:T309" si="147">SUM(D$305:D$308)</f>
        <v>4.5469999999999997</v>
      </c>
      <c r="E309" s="35">
        <f t="shared" si="147"/>
        <v>-7.5189999999999992</v>
      </c>
      <c r="F309" s="34">
        <f t="shared" si="147"/>
        <v>7.27</v>
      </c>
      <c r="G309" s="34">
        <f t="shared" si="147"/>
        <v>2.593</v>
      </c>
      <c r="H309" s="34">
        <f t="shared" si="147"/>
        <v>2.8570000000000002</v>
      </c>
      <c r="I309" s="34">
        <f t="shared" si="147"/>
        <v>3.1599999999999997</v>
      </c>
      <c r="J309" s="34">
        <f t="shared" si="147"/>
        <v>3.4079999999999999</v>
      </c>
      <c r="K309" s="38">
        <f t="shared" ca="1" si="147"/>
        <v>3.0552781825689337</v>
      </c>
      <c r="L309" s="38">
        <f t="shared" ca="1" si="147"/>
        <v>3.4039193240248538</v>
      </c>
      <c r="M309" s="38">
        <f t="shared" ca="1" si="147"/>
        <v>3.7744758084240626</v>
      </c>
      <c r="N309" s="38">
        <f t="shared" ca="1" si="147"/>
        <v>4.166139815709835</v>
      </c>
      <c r="O309" s="38">
        <f t="shared" ca="1" si="147"/>
        <v>4.5785884683030122</v>
      </c>
      <c r="P309" s="38">
        <f t="shared" ca="1" si="147"/>
        <v>4.9828513203601199</v>
      </c>
      <c r="Q309" s="38">
        <f t="shared" ca="1" si="147"/>
        <v>5.3107257059952522</v>
      </c>
      <c r="R309" s="38">
        <f t="shared" ca="1" si="147"/>
        <v>5.6359988468237168</v>
      </c>
      <c r="S309" s="38">
        <f t="shared" ca="1" si="147"/>
        <v>5.9599340122091844</v>
      </c>
      <c r="T309" s="38">
        <f t="shared" ca="1" si="147"/>
        <v>6.283725339557316</v>
      </c>
    </row>
    <row r="310" spans="1:20" ht="15" x14ac:dyDescent="0.25">
      <c r="A310" s="2"/>
      <c r="B310" s="4"/>
      <c r="D310" s="49"/>
      <c r="E310" s="49"/>
      <c r="F310" s="49"/>
      <c r="G310" s="49"/>
      <c r="H310" s="49"/>
      <c r="I310" s="49"/>
      <c r="J310" s="49"/>
      <c r="K310" s="49"/>
      <c r="L310" s="49"/>
      <c r="M310" s="49"/>
      <c r="N310" s="49"/>
      <c r="O310" s="49"/>
      <c r="P310" s="49"/>
      <c r="Q310" s="49"/>
      <c r="R310" s="49"/>
      <c r="S310" s="49"/>
      <c r="T310" s="49"/>
    </row>
    <row r="311" spans="1:20" ht="15" x14ac:dyDescent="0.25">
      <c r="A311" s="19" t="s">
        <v>268</v>
      </c>
      <c r="B311" s="4"/>
      <c r="D311" s="40"/>
      <c r="E311" s="40"/>
      <c r="F311" s="39"/>
      <c r="G311" s="39"/>
      <c r="H311" s="39"/>
      <c r="I311" s="39"/>
      <c r="J311" s="39"/>
      <c r="K311" s="8"/>
      <c r="L311" s="8"/>
      <c r="M311" s="8"/>
      <c r="N311" s="8"/>
      <c r="O311" s="8"/>
      <c r="P311" s="8"/>
      <c r="Q311" s="8"/>
      <c r="R311" s="8"/>
      <c r="S311" s="8"/>
      <c r="T311" s="8"/>
    </row>
    <row r="312" spans="1:20" ht="15" x14ac:dyDescent="0.25">
      <c r="A312" s="2" t="s">
        <v>569</v>
      </c>
      <c r="B312" s="4" t="str">
        <f t="shared" si="144"/>
        <v>From Fiscal</v>
      </c>
      <c r="D312" s="40">
        <f>'Fiscal Forecasts'!D$165</f>
        <v>0.35899999999999999</v>
      </c>
      <c r="E312" s="40">
        <f>'Fiscal Forecasts'!E$165</f>
        <v>0.155</v>
      </c>
      <c r="F312" s="39">
        <f>'Fiscal Forecasts'!F$165</f>
        <v>0.3</v>
      </c>
      <c r="G312" s="39">
        <f>'Fiscal Forecasts'!G$165</f>
        <v>0.113</v>
      </c>
      <c r="H312" s="39">
        <f>'Fiscal Forecasts'!H$165</f>
        <v>0.11700000000000001</v>
      </c>
      <c r="I312" s="39">
        <f>'Fiscal Forecasts'!I$165</f>
        <v>0.114</v>
      </c>
      <c r="J312" s="39">
        <f>'Fiscal Forecasts'!J$165</f>
        <v>0.112</v>
      </c>
      <c r="K312" s="8">
        <f ca="1">IF(K$6=OFFSET(Assumptions!$B$8,0,$C$1),AVERAGE(H$312/H$13,I$312/I$13,J$312/J$13),J$312/J$13)*K$13</f>
        <v>0.12451121425175357</v>
      </c>
      <c r="L312" s="8">
        <f ca="1">IF(L$6=OFFSET(Assumptions!$B$8,0,$C$1),AVERAGE(I$312/I$13,J$312/J$13,K$312/K$13),K$312/K$13)*L$13</f>
        <v>0.12997394835710407</v>
      </c>
      <c r="M312" s="8">
        <f ca="1">IF(M$6=OFFSET(Assumptions!$B$8,0,$C$1),AVERAGE(J$312/J$13,K$312/K$13,L$312/L$13),L$312/L$13)*M$13</f>
        <v>0.13565378349628232</v>
      </c>
      <c r="N312" s="8">
        <f ca="1">IF(N$6=OFFSET(Assumptions!$B$8,0,$C$1),AVERAGE(K$312/K$13,L$312/L$13,M$312/M$13),M$312/M$13)*N$13</f>
        <v>0.14157541282564598</v>
      </c>
      <c r="O312" s="8">
        <f ca="1">IF(O$6=OFFSET(Assumptions!$B$8,0,$C$1),AVERAGE(L$312/L$13,M$312/M$13,N$312/N$13),N$312/N$13)*O$13</f>
        <v>0.14769395651162903</v>
      </c>
      <c r="P312" s="8">
        <f ca="1">IF(P$6=OFFSET(Assumptions!$B$8,0,$C$1),AVERAGE(M$312/M$13,N$312/N$13,O$312/O$13),O$312/O$13)*P$13</f>
        <v>0.15403357953637284</v>
      </c>
      <c r="Q312" s="8">
        <f ca="1">IF(Q$6=OFFSET(Assumptions!$B$8,0,$C$1),AVERAGE(N$312/N$13,O$312/O$13,P$312/P$13),P$312/P$13)*Q$13</f>
        <v>0.16058447662977493</v>
      </c>
      <c r="R312" s="8">
        <f ca="1">IF(R$6=OFFSET(Assumptions!$B$8,0,$C$1),AVERAGE(O$312/O$13,P$312/P$13,Q$312/Q$13),Q$312/Q$13)*R$13</f>
        <v>0.16733934297623473</v>
      </c>
      <c r="S312" s="8">
        <f ca="1">IF(S$6=OFFSET(Assumptions!$B$8,0,$C$1),AVERAGE(P$312/P$13,Q$312/Q$13,R$312/R$13),R$312/R$13)*S$13</f>
        <v>0.17432884057328718</v>
      </c>
      <c r="T312" s="8">
        <f ca="1">IF(T$6=OFFSET(Assumptions!$B$8,0,$C$1),AVERAGE(Q$312/Q$13,R$312/R$13,S$312/S$13),S$312/S$13)*T$13</f>
        <v>0.18154211494413691</v>
      </c>
    </row>
    <row r="313" spans="1:20" ht="15" x14ac:dyDescent="0.25">
      <c r="A313" s="2" t="s">
        <v>570</v>
      </c>
      <c r="B313" s="4" t="str">
        <f t="shared" si="144"/>
        <v>From Fiscal</v>
      </c>
      <c r="D313" s="40">
        <f>'Fiscal Forecasts'!D$31</f>
        <v>1.028</v>
      </c>
      <c r="E313" s="40">
        <f>'Fiscal Forecasts'!E$31</f>
        <v>0.307</v>
      </c>
      <c r="F313" s="39">
        <f>'Fiscal Forecasts'!F$31</f>
        <v>0.51400000000000001</v>
      </c>
      <c r="G313" s="39">
        <f>'Fiscal Forecasts'!G$31</f>
        <v>0.20599999999999999</v>
      </c>
      <c r="H313" s="39">
        <f>'Fiscal Forecasts'!H$31</f>
        <v>0.245</v>
      </c>
      <c r="I313" s="39">
        <f>'Fiscal Forecasts'!I$31</f>
        <v>0.28100000000000003</v>
      </c>
      <c r="J313" s="39">
        <f>'Fiscal Forecasts'!J$31</f>
        <v>0.29899999999999999</v>
      </c>
      <c r="K313" s="8">
        <f ca="1">SUM(K$312,IF(K$6=OFFSET(Assumptions!$B$8,0,$C$1),AVERAGE((H$313-H$312)/H$13,(I$313-I$312)/I$13,(J$313-J$312)/J$13),(J$313-J$312)/J$13)*K$13)</f>
        <v>0.29843767293152601</v>
      </c>
      <c r="L313" s="8">
        <f ca="1">SUM(L$312,IF(L$6=OFFSET(Assumptions!$B$8,0,$C$1),AVERAGE((I$313-I$312)/I$13,(J$313-J$312)/J$13,(K$313-K$312)/K$13),(K$313-K$312)/K$13)*L$13)</f>
        <v>0.31153115743444115</v>
      </c>
      <c r="M313" s="8">
        <f ca="1">SUM(M$312,IF(M$6=OFFSET(Assumptions!$B$8,0,$C$1),AVERAGE((J$313-J$312)/J$13,(K$313-K$312)/K$13,(L$313-L$312)/L$13),(L$313-L$312)/L$13)*M$13)</f>
        <v>0.32514500572720406</v>
      </c>
      <c r="N313" s="8">
        <f ca="1">SUM(N$312,IF(N$6=OFFSET(Assumptions!$B$8,0,$C$1),AVERAGE((K$313-K$312)/K$13,(L$313-L$312)/L$13,(M$313-M$312)/M$13),(M$313-M$312)/M$13)*N$13)</f>
        <v>0.33933840419045513</v>
      </c>
      <c r="O313" s="8">
        <f ca="1">SUM(O$312,IF(O$6=OFFSET(Assumptions!$B$8,0,$C$1),AVERAGE((L$313-L$312)/L$13,(M$313-M$312)/M$13,(N$313-N$312)/N$13),(N$313-N$312)/N$13)*O$13)</f>
        <v>0.3540037815249224</v>
      </c>
      <c r="P313" s="8">
        <f ca="1">SUM(P$312,IF(P$6=OFFSET(Assumptions!$B$8,0,$C$1),AVERAGE((M$313-M$312)/M$13,(N$313-N$312)/N$13,(O$313-O$312)/O$13),(O$313-O$312)/O$13)*P$13)</f>
        <v>0.36919905814428133</v>
      </c>
      <c r="Q313" s="8">
        <f ca="1">SUM(Q$312,IF(Q$6=OFFSET(Assumptions!$B$8,0,$C$1),AVERAGE((N$313-N$312)/N$13,(O$313-O$312)/O$13,(P$313-P$312)/P$13),(P$313-P$312)/P$13)*Q$13)</f>
        <v>0.38490073205307368</v>
      </c>
      <c r="R313" s="8">
        <f ca="1">SUM(R$312,IF(R$6=OFFSET(Assumptions!$B$8,0,$C$1),AVERAGE((O$313-O$312)/O$13,(P$313-P$312)/P$13,(Q$313-Q$312)/Q$13),(Q$313-Q$312)/Q$13)*R$13)</f>
        <v>0.40109129452983916</v>
      </c>
      <c r="S313" s="8">
        <f ca="1">SUM(S$312,IF(S$6=OFFSET(Assumptions!$B$8,0,$C$1),AVERAGE((P$313-P$312)/P$13,(Q$313-Q$312)/Q$13,(R$313-R$312)/R$13),(R$313-R$312)/R$13)*S$13)</f>
        <v>0.41784423851452485</v>
      </c>
      <c r="T313" s="8">
        <f ca="1">SUM(T$312,IF(T$6=OFFSET(Assumptions!$B$8,0,$C$1),AVERAGE((Q$313-Q$312)/Q$13,(R$313-R$312)/R$13,(S$313-S$312)/S$13),(S$313-S$312)/S$13)*T$13)</f>
        <v>0.43513354719559166</v>
      </c>
    </row>
    <row r="314" spans="1:20" ht="15" x14ac:dyDescent="0.25">
      <c r="A314" s="2"/>
      <c r="B314" s="4"/>
      <c r="D314" s="40"/>
      <c r="E314" s="40"/>
      <c r="F314" s="39"/>
      <c r="G314" s="39"/>
      <c r="H314" s="39"/>
      <c r="I314" s="39"/>
      <c r="J314" s="39"/>
      <c r="K314" s="8"/>
      <c r="L314" s="8"/>
      <c r="M314" s="8"/>
      <c r="N314" s="8"/>
      <c r="O314" s="8"/>
      <c r="P314" s="8"/>
      <c r="Q314" s="8"/>
      <c r="R314" s="8"/>
      <c r="S314" s="8"/>
      <c r="T314" s="8"/>
    </row>
    <row r="315" spans="1:20" ht="15" x14ac:dyDescent="0.25">
      <c r="A315" s="19" t="s">
        <v>219</v>
      </c>
      <c r="B315" s="4"/>
      <c r="D315" s="40"/>
      <c r="E315" s="40"/>
      <c r="F315" s="8"/>
      <c r="G315" s="8"/>
      <c r="H315" s="8"/>
      <c r="I315" s="8"/>
      <c r="J315" s="8"/>
      <c r="K315" s="8"/>
      <c r="L315" s="8"/>
      <c r="M315" s="8"/>
      <c r="N315" s="8"/>
      <c r="O315" s="8"/>
      <c r="P315" s="8"/>
      <c r="Q315" s="8"/>
      <c r="R315" s="8"/>
      <c r="S315" s="8"/>
      <c r="T315" s="8"/>
    </row>
    <row r="316" spans="1:20" x14ac:dyDescent="0.2">
      <c r="A316" s="1" t="s">
        <v>571</v>
      </c>
      <c r="B316" s="4"/>
      <c r="D316" s="50">
        <f t="shared" ref="D316:J316" ca="1" si="148">D$75-SUM(D$329,D$338,D$361)</f>
        <v>2.8216399999999986</v>
      </c>
      <c r="E316" s="50">
        <f t="shared" ca="1" si="148"/>
        <v>2.4192399999999985</v>
      </c>
      <c r="F316" s="16">
        <f t="shared" ca="1" si="148"/>
        <v>4.4583199999999934</v>
      </c>
      <c r="G316" s="16">
        <f t="shared" ca="1" si="148"/>
        <v>3.1441599999999923</v>
      </c>
      <c r="H316" s="16">
        <f t="shared" ca="1" si="148"/>
        <v>3.411919999999995</v>
      </c>
      <c r="I316" s="16">
        <f t="shared" ca="1" si="148"/>
        <v>3.6876800000000003</v>
      </c>
      <c r="J316" s="16">
        <f t="shared" ca="1" si="148"/>
        <v>4.2410800000000037</v>
      </c>
      <c r="K316" s="7">
        <f ca="1">OFFSET(Assumptions!$B$68,0,$C$1)/SUM(OFFSET(Assumptions!$B$68,0,$C$1,6,1))*SUM(K$354,K$70,-K$322,K$429)</f>
        <v>4.1385149602563214</v>
      </c>
      <c r="L316" s="7">
        <f ca="1">OFFSET(Assumptions!$B$68,0,$C$1)/SUM(OFFSET(Assumptions!$B$68,0,$C$1,6,1))*SUM(L$354,L$70,-L$322,L$429)</f>
        <v>4.5206766889713732</v>
      </c>
      <c r="M316" s="7">
        <f ca="1">OFFSET(Assumptions!$B$68,0,$C$1)/SUM(OFFSET(Assumptions!$B$68,0,$C$1,6,1))*SUM(M$354,M$70,-M$322,M$429)</f>
        <v>4.9106816018867701</v>
      </c>
      <c r="N316" s="7">
        <f ca="1">OFFSET(Assumptions!$B$68,0,$C$1)/SUM(OFFSET(Assumptions!$B$68,0,$C$1,6,1))*SUM(N$354,N$70,-N$322,N$429)</f>
        <v>5.3089732985687483</v>
      </c>
      <c r="O316" s="7">
        <f ca="1">OFFSET(Assumptions!$B$68,0,$C$1)/SUM(OFFSET(Assumptions!$B$68,0,$C$1,6,1))*SUM(O$354,O$70,-O$322,O$429)</f>
        <v>5.7127460626222817</v>
      </c>
      <c r="P316" s="7">
        <f ca="1">OFFSET(Assumptions!$B$68,0,$C$1)/SUM(OFFSET(Assumptions!$B$68,0,$C$1,6,1))*SUM(P$354,P$70,-P$322,P$429)</f>
        <v>6.1186525618499479</v>
      </c>
      <c r="Q316" s="7">
        <f ca="1">OFFSET(Assumptions!$B$68,0,$C$1)/SUM(OFFSET(Assumptions!$B$68,0,$C$1,6,1))*SUM(Q$354,Q$70,-Q$322,Q$429)</f>
        <v>6.5198256995838832</v>
      </c>
      <c r="R316" s="7">
        <f ca="1">OFFSET(Assumptions!$B$68,0,$C$1)/SUM(OFFSET(Assumptions!$B$68,0,$C$1,6,1))*SUM(R$354,R$70,-R$322,R$429)</f>
        <v>6.9160409354871204</v>
      </c>
      <c r="S316" s="7">
        <f ca="1">OFFSET(Assumptions!$B$68,0,$C$1)/SUM(OFFSET(Assumptions!$B$68,0,$C$1,6,1))*SUM(S$354,S$70,-S$322,S$429)</f>
        <v>7.3101975449986663</v>
      </c>
      <c r="T316" s="7">
        <f ca="1">OFFSET(Assumptions!$B$68,0,$C$1)/SUM(OFFSET(Assumptions!$B$68,0,$C$1,6,1))*SUM(T$354,T$70,-T$322,T$429)</f>
        <v>7.7024099732315721</v>
      </c>
    </row>
    <row r="317" spans="1:20" x14ac:dyDescent="0.2">
      <c r="A317" s="1" t="s">
        <v>572</v>
      </c>
      <c r="B317" s="4" t="str">
        <f t="shared" si="144"/>
        <v>From Fiscal</v>
      </c>
      <c r="D317" s="50">
        <f ca="1">'Fiscal Forecasts'!D$168-D$316</f>
        <v>6.2103600000000014</v>
      </c>
      <c r="E317" s="50">
        <f ca="1">'Fiscal Forecasts'!E$168-E$316</f>
        <v>9.4397600000000015</v>
      </c>
      <c r="F317" s="16">
        <f ca="1">'Fiscal Forecasts'!F$168-F$316</f>
        <v>11.080680000000006</v>
      </c>
      <c r="G317" s="16">
        <f ca="1">'Fiscal Forecasts'!G$168-G$316</f>
        <v>10.337840000000007</v>
      </c>
      <c r="H317" s="16">
        <f ca="1">'Fiscal Forecasts'!H$168-H$316</f>
        <v>10.186080000000006</v>
      </c>
      <c r="I317" s="16">
        <f ca="1">'Fiscal Forecasts'!I$168-I$316</f>
        <v>10.03532</v>
      </c>
      <c r="J317" s="16">
        <f ca="1">'Fiscal Forecasts'!J$168-J$316</f>
        <v>9.4429199999999955</v>
      </c>
      <c r="K317" s="7">
        <f ca="1">(J$317/J$13+ IF(K$2&gt;0,K$2*IF(K$6=OFFSET(Assumptions!$B$8,0,$C$1),SUMPRODUCT(OFFSET(J$317,0,0,1,-OFFSET(Assumptions!$B$82,0,$C$1)),OFFSET(J$15,0,0,1,-OFFSET(Assumptions!$B$82,0,$C$1)))/OFFSET(Assumptions!$B$82,0,$C$1)-J$317/J$13,(J$317/J$13-I$317/I$13)/J$2),0))*K$13</f>
        <v>10.155892631381489</v>
      </c>
      <c r="L317" s="7">
        <f ca="1">(K$317/K$13+ IF(L$2&gt;0,L$2*IF(L$6=OFFSET(Assumptions!$B$8,0,$C$1),SUMPRODUCT(OFFSET(K$317,0,0,1,-OFFSET(Assumptions!$B$82,0,$C$1)),OFFSET(K$15,0,0,1,-OFFSET(Assumptions!$B$82,0,$C$1)))/OFFSET(Assumptions!$B$82,0,$C$1)-K$317/K$13,(K$317/K$13-J$317/J$13)/K$2),0))*L$13</f>
        <v>10.85911790241407</v>
      </c>
      <c r="M317" s="7">
        <f ca="1">(L$317/L$13+ IF(M$2&gt;0,M$2*IF(M$6=OFFSET(Assumptions!$B$8,0,$C$1),SUMPRODUCT(OFFSET(L$317,0,0,1,-OFFSET(Assumptions!$B$82,0,$C$1)),OFFSET(L$15,0,0,1,-OFFSET(Assumptions!$B$82,0,$C$1)))/OFFSET(Assumptions!$B$82,0,$C$1)-L$317/L$13,(L$317/L$13-K$317/K$13)/L$2),0))*M$13</f>
        <v>11.535342200920747</v>
      </c>
      <c r="N317" s="7">
        <f ca="1">(M$317/M$13+ IF(N$2&gt;0,N$2*IF(N$6=OFFSET(Assumptions!$B$8,0,$C$1),SUMPRODUCT(OFFSET(M$317,0,0,1,-OFFSET(Assumptions!$B$82,0,$C$1)),OFFSET(M$15,0,0,1,-OFFSET(Assumptions!$B$82,0,$C$1)))/OFFSET(Assumptions!$B$82,0,$C$1)-M$317/M$13,(M$317/M$13-L$317/L$13)/M$2),0))*N$13</f>
        <v>12.179213626389563</v>
      </c>
      <c r="O317" s="7">
        <f ca="1">(N$317/N$13+ IF(O$2&gt;0,O$2*IF(O$6=OFFSET(Assumptions!$B$8,0,$C$1),SUMPRODUCT(OFFSET(N$317,0,0,1,-OFFSET(Assumptions!$B$82,0,$C$1)),OFFSET(N$15,0,0,1,-OFFSET(Assumptions!$B$82,0,$C$1)))/OFFSET(Assumptions!$B$82,0,$C$1)-N$317/N$13,(N$317/N$13-M$317/M$13)/N$2),0))*O$13</f>
        <v>12.778764090687771</v>
      </c>
      <c r="P317" s="7">
        <f ca="1">(O$317/O$13+ IF(P$2&gt;0,P$2*IF(P$6=OFFSET(Assumptions!$B$8,0,$C$1),SUMPRODUCT(OFFSET(O$317,0,0,1,-OFFSET(Assumptions!$B$82,0,$C$1)),OFFSET(O$15,0,0,1,-OFFSET(Assumptions!$B$82,0,$C$1)))/OFFSET(Assumptions!$B$82,0,$C$1)-O$317/O$13,(O$317/O$13-N$317/N$13)/O$2),0))*P$13</f>
        <v>13.327280421149233</v>
      </c>
      <c r="Q317" s="7">
        <f ca="1">(P$317/P$13+ IF(Q$2&gt;0,Q$2*IF(Q$6=OFFSET(Assumptions!$B$8,0,$C$1),SUMPRODUCT(OFFSET(P$317,0,0,1,-OFFSET(Assumptions!$B$82,0,$C$1)),OFFSET(P$15,0,0,1,-OFFSET(Assumptions!$B$82,0,$C$1)))/OFFSET(Assumptions!$B$82,0,$C$1)-P$317/P$13,(P$317/P$13-O$317/O$13)/P$2),0))*Q$13</f>
        <v>13.894076588820223</v>
      </c>
      <c r="R317" s="7">
        <f ca="1">(Q$317/Q$13+ IF(R$2&gt;0,R$2*IF(R$6=OFFSET(Assumptions!$B$8,0,$C$1),SUMPRODUCT(OFFSET(Q$317,0,0,1,-OFFSET(Assumptions!$B$82,0,$C$1)),OFFSET(Q$15,0,0,1,-OFFSET(Assumptions!$B$82,0,$C$1)))/OFFSET(Assumptions!$B$82,0,$C$1)-Q$317/Q$13,(Q$317/Q$13-P$317/P$13)/Q$2),0))*R$13</f>
        <v>14.47852056705937</v>
      </c>
      <c r="S317" s="7">
        <f ca="1">(R$317/R$13+ IF(S$2&gt;0,S$2*IF(S$6=OFFSET(Assumptions!$B$8,0,$C$1),SUMPRODUCT(OFFSET(R$317,0,0,1,-OFFSET(Assumptions!$B$82,0,$C$1)),OFFSET(R$15,0,0,1,-OFFSET(Assumptions!$B$82,0,$C$1)))/OFFSET(Assumptions!$B$82,0,$C$1)-R$317/R$13,(R$317/R$13-Q$317/Q$13)/R$2),0))*S$13</f>
        <v>15.08326529064005</v>
      </c>
      <c r="T317" s="7">
        <f ca="1">(S$317/S$13+ IF(T$2&gt;0,T$2*IF(T$6=OFFSET(Assumptions!$B$8,0,$C$1),SUMPRODUCT(OFFSET(S$317,0,0,1,-OFFSET(Assumptions!$B$82,0,$C$1)),OFFSET(S$15,0,0,1,-OFFSET(Assumptions!$B$82,0,$C$1)))/OFFSET(Assumptions!$B$82,0,$C$1)-S$317/S$13,(S$317/S$13-R$317/R$13)/S$2),0))*T$13</f>
        <v>15.707371609433366</v>
      </c>
    </row>
    <row r="318" spans="1:20" ht="15" x14ac:dyDescent="0.25">
      <c r="A318" s="2" t="s">
        <v>573</v>
      </c>
      <c r="B318" s="4"/>
      <c r="D318" s="35">
        <f t="shared" ref="D318:T318" ca="1" si="149">SUM(D$316:D$317)</f>
        <v>9.032</v>
      </c>
      <c r="E318" s="35">
        <f t="shared" ca="1" si="149"/>
        <v>11.859</v>
      </c>
      <c r="F318" s="34">
        <f t="shared" ca="1" si="149"/>
        <v>15.539</v>
      </c>
      <c r="G318" s="34">
        <f t="shared" ca="1" si="149"/>
        <v>13.481999999999999</v>
      </c>
      <c r="H318" s="34">
        <f t="shared" ca="1" si="149"/>
        <v>13.598000000000001</v>
      </c>
      <c r="I318" s="34">
        <f t="shared" ca="1" si="149"/>
        <v>13.723000000000001</v>
      </c>
      <c r="J318" s="34">
        <f t="shared" ca="1" si="149"/>
        <v>13.683999999999999</v>
      </c>
      <c r="K318" s="38">
        <f t="shared" ca="1" si="149"/>
        <v>14.29440759163781</v>
      </c>
      <c r="L318" s="38">
        <f t="shared" ca="1" si="149"/>
        <v>15.379794591385444</v>
      </c>
      <c r="M318" s="38">
        <f t="shared" ca="1" si="149"/>
        <v>16.446023802807517</v>
      </c>
      <c r="N318" s="38">
        <f t="shared" ca="1" si="149"/>
        <v>17.488186924958313</v>
      </c>
      <c r="O318" s="38">
        <f t="shared" ca="1" si="149"/>
        <v>18.491510153310053</v>
      </c>
      <c r="P318" s="38">
        <f t="shared" ca="1" si="149"/>
        <v>19.445932982999182</v>
      </c>
      <c r="Q318" s="38">
        <f t="shared" ca="1" si="149"/>
        <v>20.413902288404106</v>
      </c>
      <c r="R318" s="38">
        <f t="shared" ca="1" si="149"/>
        <v>21.394561502546491</v>
      </c>
      <c r="S318" s="38">
        <f t="shared" ca="1" si="149"/>
        <v>22.393462835638715</v>
      </c>
      <c r="T318" s="38">
        <f t="shared" ca="1" si="149"/>
        <v>23.409781582664937</v>
      </c>
    </row>
    <row r="319" spans="1:20" ht="15" x14ac:dyDescent="0.25">
      <c r="A319" s="2" t="s">
        <v>574</v>
      </c>
      <c r="B319" s="4" t="str">
        <f>$B$38</f>
        <v>From Fiscal</v>
      </c>
      <c r="D319" s="40">
        <f>'Fiscal Forecasts'!D$115</f>
        <v>11.981999999999999</v>
      </c>
      <c r="E319" s="40">
        <f>'Fiscal Forecasts'!E$115</f>
        <v>15.617000000000001</v>
      </c>
      <c r="F319" s="39">
        <f>'Fiscal Forecasts'!F$115</f>
        <v>18.975999999999999</v>
      </c>
      <c r="G319" s="39">
        <f>'Fiscal Forecasts'!G$115</f>
        <v>16.579999999999998</v>
      </c>
      <c r="H319" s="39">
        <f>'Fiscal Forecasts'!H$115</f>
        <v>16.523</v>
      </c>
      <c r="I319" s="39">
        <f>'Fiscal Forecasts'!I$115</f>
        <v>16.850000000000001</v>
      </c>
      <c r="J319" s="39">
        <f>'Fiscal Forecasts'!J$115</f>
        <v>17.288</v>
      </c>
      <c r="K319" s="8">
        <f ca="1">SUM(K$318,((J$319-J$318)/J$13+ IF(K$2&gt;0,K$2*IF(K$6=OFFSET(Assumptions!$B$8,0,$C$1),(SUMPRODUCT(OFFSET(J$319,0,0,1,-OFFSET(Assumptions!$B$82,0,$C$1)),OFFSET(J$15,0,0,1,-OFFSET(Assumptions!$B$82,0,$C$1)))-SUMPRODUCT(OFFSET(J$318,0,0,1,-OFFSET(Assumptions!$B$82,0,$C$1)),OFFSET(J$15,0,0,1,-OFFSET(Assumptions!$B$82,0,$C$1))))/OFFSET(Assumptions!$B$82,0,$C$1)-(J$319-J$318)/J$13,((J$319-J$318)/J$13-(I$319-I$318)/I$13)/J$2),0))*K$13)</f>
        <v>17.964142827876696</v>
      </c>
      <c r="L319" s="8">
        <f ca="1">SUM(L$318,((K$319-K$318)/K$13+ IF(L$2&gt;0,L$2*IF(L$6=OFFSET(Assumptions!$B$8,0,$C$1),(SUMPRODUCT(OFFSET(K$319,0,0,1,-OFFSET(Assumptions!$B$82,0,$C$1)),OFFSET(K$15,0,0,1,-OFFSET(Assumptions!$B$82,0,$C$1)))-SUMPRODUCT(OFFSET(K$318,0,0,1,-OFFSET(Assumptions!$B$82,0,$C$1)),OFFSET(K$15,0,0,1,-OFFSET(Assumptions!$B$82,0,$C$1))))/OFFSET(Assumptions!$B$82,0,$C$1)-(K$319-K$318)/K$13,((K$319-K$318)/K$13-(J$319-J$318)/J$13)/K$2),0))*L$13)</f>
        <v>19.136522477310809</v>
      </c>
      <c r="M319" s="8">
        <f ca="1">SUM(M$318,((L$319-L$318)/L$13+ IF(M$2&gt;0,M$2*IF(M$6=OFFSET(Assumptions!$B$8,0,$C$1),(SUMPRODUCT(OFFSET(L$319,0,0,1,-OFFSET(Assumptions!$B$82,0,$C$1)),OFFSET(L$15,0,0,1,-OFFSET(Assumptions!$B$82,0,$C$1)))-SUMPRODUCT(OFFSET(L$318,0,0,1,-OFFSET(Assumptions!$B$82,0,$C$1)),OFFSET(L$15,0,0,1,-OFFSET(Assumptions!$B$82,0,$C$1))))/OFFSET(Assumptions!$B$82,0,$C$1)-(L$319-L$318)/L$13,((L$319-L$318)/L$13-(K$319-K$318)/K$13)/L$2),0))*M$13)</f>
        <v>20.308985809453681</v>
      </c>
      <c r="N319" s="8">
        <f ca="1">SUM(N$318,((M$319-M$318)/M$13+ IF(N$2&gt;0,N$2*IF(N$6=OFFSET(Assumptions!$B$8,0,$C$1),(SUMPRODUCT(OFFSET(M$319,0,0,1,-OFFSET(Assumptions!$B$82,0,$C$1)),OFFSET(M$15,0,0,1,-OFFSET(Assumptions!$B$82,0,$C$1)))-SUMPRODUCT(OFFSET(M$318,0,0,1,-OFFSET(Assumptions!$B$82,0,$C$1)),OFFSET(M$15,0,0,1,-OFFSET(Assumptions!$B$82,0,$C$1))))/OFFSET(Assumptions!$B$82,0,$C$1)-(M$319-M$318)/M$13,((M$319-M$318)/M$13-(L$319-L$318)/L$13)/M$2),0))*N$13)</f>
        <v>21.47946822295663</v>
      </c>
      <c r="O319" s="8">
        <f ca="1">SUM(O$318,((N$319-N$318)/N$13+ IF(O$2&gt;0,O$2*IF(O$6=OFFSET(Assumptions!$B$8,0,$C$1),(SUMPRODUCT(OFFSET(N$319,0,0,1,-OFFSET(Assumptions!$B$82,0,$C$1)),OFFSET(N$15,0,0,1,-OFFSET(Assumptions!$B$82,0,$C$1)))-SUMPRODUCT(OFFSET(N$318,0,0,1,-OFFSET(Assumptions!$B$82,0,$C$1)),OFFSET(N$15,0,0,1,-OFFSET(Assumptions!$B$82,0,$C$1))))/OFFSET(Assumptions!$B$82,0,$C$1)-(N$319-N$318)/N$13,((N$319-N$318)/N$13-(M$319-M$318)/M$13)/N$2),0))*O$13)</f>
        <v>22.634259496782128</v>
      </c>
      <c r="P319" s="8">
        <f ca="1">SUM(P$318,((O$319-O$318)/O$13+ IF(P$2&gt;0,P$2*IF(P$6=OFFSET(Assumptions!$B$8,0,$C$1),(SUMPRODUCT(OFFSET(O$319,0,0,1,-OFFSET(Assumptions!$B$82,0,$C$1)),OFFSET(O$15,0,0,1,-OFFSET(Assumptions!$B$82,0,$C$1)))-SUMPRODUCT(OFFSET(O$318,0,0,1,-OFFSET(Assumptions!$B$82,0,$C$1)),OFFSET(O$15,0,0,1,-OFFSET(Assumptions!$B$82,0,$C$1))))/OFFSET(Assumptions!$B$82,0,$C$1)-(O$319-O$318)/O$13,((O$319-O$318)/O$13-(N$319-N$318)/N$13)/O$2),0))*P$13)</f>
        <v>23.766505913461089</v>
      </c>
      <c r="Q319" s="8">
        <f ca="1">SUM(Q$318,((P$319-P$318)/P$13+ IF(Q$2&gt;0,Q$2*IF(Q$6=OFFSET(Assumptions!$B$8,0,$C$1),(SUMPRODUCT(OFFSET(P$319,0,0,1,-OFFSET(Assumptions!$B$82,0,$C$1)),OFFSET(P$15,0,0,1,-OFFSET(Assumptions!$B$82,0,$C$1)))-SUMPRODUCT(OFFSET(P$318,0,0,1,-OFFSET(Assumptions!$B$82,0,$C$1)),OFFSET(P$15,0,0,1,-OFFSET(Assumptions!$B$82,0,$C$1))))/OFFSET(Assumptions!$B$82,0,$C$1)-(P$319-P$318)/P$13,((P$319-P$318)/P$13-(O$319-O$318)/O$13)/P$2),0))*Q$13)</f>
        <v>24.918224948874144</v>
      </c>
      <c r="R319" s="8">
        <f ca="1">SUM(R$318,((Q$319-Q$318)/Q$13+ IF(R$2&gt;0,R$2*IF(R$6=OFFSET(Assumptions!$B$8,0,$C$1),(SUMPRODUCT(OFFSET(Q$319,0,0,1,-OFFSET(Assumptions!$B$82,0,$C$1)),OFFSET(Q$15,0,0,1,-OFFSET(Assumptions!$B$82,0,$C$1)))-SUMPRODUCT(OFFSET(Q$318,0,0,1,-OFFSET(Assumptions!$B$82,0,$C$1)),OFFSET(Q$15,0,0,1,-OFFSET(Assumptions!$B$82,0,$C$1))))/OFFSET(Assumptions!$B$82,0,$C$1)-(Q$319-Q$318)/Q$13,((Q$319-Q$318)/Q$13-(P$319-P$318)/P$13)/Q$2),0))*R$13)</f>
        <v>26.08835513923643</v>
      </c>
      <c r="S319" s="8">
        <f ca="1">SUM(S$318,((R$319-R$318)/R$13+ IF(S$2&gt;0,S$2*IF(S$6=OFFSET(Assumptions!$B$8,0,$C$1),(SUMPRODUCT(OFFSET(R$319,0,0,1,-OFFSET(Assumptions!$B$82,0,$C$1)),OFFSET(R$15,0,0,1,-OFFSET(Assumptions!$B$82,0,$C$1)))-SUMPRODUCT(OFFSET(R$318,0,0,1,-OFFSET(Assumptions!$B$82,0,$C$1)),OFFSET(R$15,0,0,1,-OFFSET(Assumptions!$B$82,0,$C$1))))/OFFSET(Assumptions!$B$82,0,$C$1)-(R$319-R$318)/R$13,((R$319-R$318)/R$13-(Q$319-Q$318)/Q$13)/R$2),0))*S$13)</f>
        <v>27.283308750060876</v>
      </c>
      <c r="T319" s="8">
        <f ca="1">SUM(T$318,((S$319-S$318)/S$13+ IF(T$2&gt;0,T$2*IF(T$6=OFFSET(Assumptions!$B$8,0,$C$1),(SUMPRODUCT(OFFSET(S$319,0,0,1,-OFFSET(Assumptions!$B$82,0,$C$1)),OFFSET(S$15,0,0,1,-OFFSET(Assumptions!$B$82,0,$C$1)))-SUMPRODUCT(OFFSET(S$318,0,0,1,-OFFSET(Assumptions!$B$82,0,$C$1)),OFFSET(S$15,0,0,1,-OFFSET(Assumptions!$B$82,0,$C$1))))/OFFSET(Assumptions!$B$82,0,$C$1)-(S$319-S$318)/S$13,((S$319-S$318)/S$13-(R$319-R$318)/R$13)/S$2),0))*T$13)</f>
        <v>28.501956613118118</v>
      </c>
    </row>
    <row r="320" spans="1:20" ht="15" x14ac:dyDescent="0.25">
      <c r="A320" s="2"/>
      <c r="B320" s="4"/>
      <c r="D320" s="8"/>
      <c r="E320" s="8"/>
      <c r="F320" s="8"/>
      <c r="G320" s="8"/>
      <c r="H320" s="8"/>
      <c r="I320" s="8"/>
      <c r="J320" s="8"/>
      <c r="K320" s="8"/>
      <c r="L320" s="8"/>
      <c r="M320" s="8"/>
      <c r="N320" s="8"/>
      <c r="O320" s="8"/>
      <c r="P320" s="8"/>
      <c r="Q320" s="8"/>
      <c r="R320" s="8"/>
      <c r="S320" s="8"/>
      <c r="T320" s="8"/>
    </row>
    <row r="321" spans="1:20" ht="15" x14ac:dyDescent="0.25">
      <c r="A321" s="19" t="s">
        <v>220</v>
      </c>
      <c r="B321" s="4"/>
      <c r="D321" s="57"/>
      <c r="E321" s="57"/>
      <c r="F321" s="57"/>
      <c r="G321" s="57"/>
      <c r="H321" s="57"/>
      <c r="I321" s="57"/>
      <c r="J321" s="57"/>
      <c r="K321" s="57"/>
      <c r="L321" s="57"/>
      <c r="M321" s="57"/>
      <c r="N321" s="57"/>
      <c r="O321" s="57"/>
      <c r="P321" s="57"/>
      <c r="Q321" s="57"/>
      <c r="R321" s="57"/>
      <c r="S321" s="57"/>
      <c r="T321" s="57"/>
    </row>
    <row r="322" spans="1:20" x14ac:dyDescent="0.2">
      <c r="A322" s="1" t="s">
        <v>575</v>
      </c>
      <c r="B322" s="4"/>
      <c r="D322" s="15">
        <f t="shared" ref="D322:J322" si="150">D$356-D$75</f>
        <v>1.5050000000000026</v>
      </c>
      <c r="E322" s="15">
        <f t="shared" si="150"/>
        <v>0.78300000000000125</v>
      </c>
      <c r="F322" s="16">
        <f t="shared" si="150"/>
        <v>1.5240000000000009</v>
      </c>
      <c r="G322" s="16">
        <f t="shared" si="150"/>
        <v>0.88300000000000267</v>
      </c>
      <c r="H322" s="16">
        <f t="shared" si="150"/>
        <v>0.90400000000000347</v>
      </c>
      <c r="I322" s="16">
        <f t="shared" si="150"/>
        <v>0.93900000000000006</v>
      </c>
      <c r="J322" s="16">
        <f t="shared" si="150"/>
        <v>0.9789999999999992</v>
      </c>
      <c r="K322" s="7">
        <f ca="1">SUM(J$322,OFFSET(Assumptions!$B$76,0,$C$1)*K$347)</f>
        <v>1.1163264516109228</v>
      </c>
      <c r="L322" s="7">
        <f ca="1">SUM(K$322,OFFSET(Assumptions!$B$76,0,$C$1)*L$347)</f>
        <v>1.271225062496024</v>
      </c>
      <c r="M322" s="7">
        <f ca="1">SUM(L$322,OFFSET(Assumptions!$B$76,0,$C$1)*M$347)</f>
        <v>1.4448358418264036</v>
      </c>
      <c r="N322" s="7">
        <f ca="1">SUM(M$322,OFFSET(Assumptions!$B$76,0,$C$1)*N$347)</f>
        <v>1.6382659544009079</v>
      </c>
      <c r="O322" s="7">
        <f ca="1">SUM(N$322,OFFSET(Assumptions!$B$76,0,$C$1)*O$347)</f>
        <v>1.8525967212508021</v>
      </c>
      <c r="P322" s="7">
        <f ca="1">SUM(O$322,OFFSET(Assumptions!$B$76,0,$C$1)*P$347)</f>
        <v>2.0873231598887565</v>
      </c>
      <c r="Q322" s="7">
        <f ca="1">SUM(P$322,OFFSET(Assumptions!$B$76,0,$C$1)*Q$347)</f>
        <v>2.3382700103183822</v>
      </c>
      <c r="R322" s="7">
        <f ca="1">SUM(Q$322,OFFSET(Assumptions!$B$76,0,$C$1)*R$347)</f>
        <v>2.6052563001059887</v>
      </c>
      <c r="S322" s="7">
        <f ca="1">SUM(R$322,OFFSET(Assumptions!$B$76,0,$C$1)*S$347)</f>
        <v>2.8881593202965616</v>
      </c>
      <c r="T322" s="7">
        <f ca="1">SUM(S$322,OFFSET(Assumptions!$B$76,0,$C$1)*T$347)</f>
        <v>3.1869190501955491</v>
      </c>
    </row>
    <row r="323" spans="1:20" x14ac:dyDescent="0.2">
      <c r="A323" s="1" t="s">
        <v>366</v>
      </c>
      <c r="B323" s="4" t="str">
        <f>$B$38</f>
        <v>From Fiscal</v>
      </c>
      <c r="D323" s="15">
        <f>'Fiscal Forecasts'!D$297</f>
        <v>8.9570000000000007</v>
      </c>
      <c r="E323" s="15">
        <f>'Fiscal Forecasts'!E$297</f>
        <v>9.1609999999999996</v>
      </c>
      <c r="F323" s="16">
        <f>'Fiscal Forecasts'!F$297</f>
        <v>10.286</v>
      </c>
      <c r="G323" s="16">
        <f>'Fiscal Forecasts'!G$297</f>
        <v>10.772</v>
      </c>
      <c r="H323" s="16">
        <f>'Fiscal Forecasts'!H$297</f>
        <v>11.095000000000001</v>
      </c>
      <c r="I323" s="16">
        <f>'Fiscal Forecasts'!I$297</f>
        <v>11.414</v>
      </c>
      <c r="J323" s="16">
        <f>'Fiscal Forecasts'!J$297</f>
        <v>11.827</v>
      </c>
      <c r="K323" s="7">
        <f t="shared" ref="K323:T323" ca="1" si="151">(SUM(J$323,K$131)-SUM(K$455-K$348,K$247,J$430))/(1-J$430/J$323)</f>
        <v>12.390537864837476</v>
      </c>
      <c r="L323" s="7">
        <f t="shared" ca="1" si="151"/>
        <v>12.982304795987361</v>
      </c>
      <c r="M323" s="7">
        <f t="shared" ca="1" si="151"/>
        <v>13.6024302258189</v>
      </c>
      <c r="N323" s="7">
        <f t="shared" ca="1" si="151"/>
        <v>14.251166429123906</v>
      </c>
      <c r="O323" s="7">
        <f t="shared" ca="1" si="151"/>
        <v>14.929133688027534</v>
      </c>
      <c r="P323" s="7">
        <f t="shared" ca="1" si="151"/>
        <v>15.637447571894267</v>
      </c>
      <c r="Q323" s="7">
        <f t="shared" ca="1" si="151"/>
        <v>16.377183844850908</v>
      </c>
      <c r="R323" s="7">
        <f t="shared" ca="1" si="151"/>
        <v>17.148155625530581</v>
      </c>
      <c r="S323" s="7">
        <f t="shared" ca="1" si="151"/>
        <v>17.951329668467377</v>
      </c>
      <c r="T323" s="7">
        <f t="shared" ca="1" si="151"/>
        <v>18.787736965983242</v>
      </c>
    </row>
    <row r="324" spans="1:20" x14ac:dyDescent="0.2">
      <c r="A324" s="1" t="s">
        <v>576</v>
      </c>
      <c r="B324" s="4" t="str">
        <f>$B$38</f>
        <v>From Fiscal</v>
      </c>
      <c r="D324" s="15">
        <f>'Fiscal Forecasts'!D$169-SUM(D$322:D$323)</f>
        <v>1.7089999999999961</v>
      </c>
      <c r="E324" s="15">
        <f>'Fiscal Forecasts'!E$169-SUM(E$322:E$323)</f>
        <v>2.298</v>
      </c>
      <c r="F324" s="16">
        <f>'Fiscal Forecasts'!F$169-SUM(F$322:F$323)</f>
        <v>2.0549999999999997</v>
      </c>
      <c r="G324" s="16">
        <f>'Fiscal Forecasts'!G$169-SUM(G$322:G$323)</f>
        <v>1.7749999999999968</v>
      </c>
      <c r="H324" s="16">
        <f>'Fiscal Forecasts'!H$169-SUM(H$322:H$323)</f>
        <v>1.8619999999999965</v>
      </c>
      <c r="I324" s="16">
        <f>'Fiscal Forecasts'!I$169-SUM(I$322:I$323)</f>
        <v>1.9350000000000005</v>
      </c>
      <c r="J324" s="16">
        <f>'Fiscal Forecasts'!J$169-SUM(J$322:J$323)</f>
        <v>2.0140000000000011</v>
      </c>
      <c r="K324" s="7">
        <f t="shared" ref="K324:T324" ca="1" si="152">SUM(J$324,K$140,K$154,-K$457,K$436-J$436)</f>
        <v>2.1971227130346631</v>
      </c>
      <c r="L324" s="7">
        <f t="shared" ca="1" si="152"/>
        <v>2.3860871649714159</v>
      </c>
      <c r="M324" s="7">
        <f t="shared" ca="1" si="152"/>
        <v>2.580373937235922</v>
      </c>
      <c r="N324" s="7">
        <f t="shared" ca="1" si="152"/>
        <v>2.7799829799745397</v>
      </c>
      <c r="O324" s="7">
        <f t="shared" ca="1" si="152"/>
        <v>2.9845746080310955</v>
      </c>
      <c r="P324" s="7">
        <f t="shared" ca="1" si="152"/>
        <v>3.1940545230425554</v>
      </c>
      <c r="Q324" s="7">
        <f t="shared" ca="1" si="152"/>
        <v>3.412229685638791</v>
      </c>
      <c r="R324" s="7">
        <f t="shared" ca="1" si="152"/>
        <v>3.6393199747187888</v>
      </c>
      <c r="S324" s="7">
        <f t="shared" ca="1" si="152"/>
        <v>3.8757214270989575</v>
      </c>
      <c r="T324" s="7">
        <f t="shared" ca="1" si="152"/>
        <v>4.1216648695257065</v>
      </c>
    </row>
    <row r="325" spans="1:20" ht="15" x14ac:dyDescent="0.25">
      <c r="A325" s="2" t="s">
        <v>577</v>
      </c>
      <c r="B325" s="4"/>
      <c r="D325" s="35">
        <f t="shared" ref="D325:T325" si="153">SUM(D$322:D$324)</f>
        <v>12.170999999999999</v>
      </c>
      <c r="E325" s="35">
        <f t="shared" si="153"/>
        <v>12.242000000000001</v>
      </c>
      <c r="F325" s="34">
        <f t="shared" si="153"/>
        <v>13.865</v>
      </c>
      <c r="G325" s="34">
        <f t="shared" si="153"/>
        <v>13.43</v>
      </c>
      <c r="H325" s="34">
        <f t="shared" si="153"/>
        <v>13.861000000000001</v>
      </c>
      <c r="I325" s="34">
        <f t="shared" si="153"/>
        <v>14.288</v>
      </c>
      <c r="J325" s="34">
        <f t="shared" si="153"/>
        <v>14.82</v>
      </c>
      <c r="K325" s="38">
        <f t="shared" ca="1" si="153"/>
        <v>15.703987029483063</v>
      </c>
      <c r="L325" s="38">
        <f t="shared" ca="1" si="153"/>
        <v>16.6396170234548</v>
      </c>
      <c r="M325" s="38">
        <f t="shared" ca="1" si="153"/>
        <v>17.627640004881226</v>
      </c>
      <c r="N325" s="38">
        <f t="shared" ca="1" si="153"/>
        <v>18.669415363499354</v>
      </c>
      <c r="O325" s="38">
        <f t="shared" ca="1" si="153"/>
        <v>19.766305017309431</v>
      </c>
      <c r="P325" s="38">
        <f t="shared" ca="1" si="153"/>
        <v>20.918825254825581</v>
      </c>
      <c r="Q325" s="38">
        <f t="shared" ca="1" si="153"/>
        <v>22.127683540808082</v>
      </c>
      <c r="R325" s="38">
        <f t="shared" ca="1" si="153"/>
        <v>23.392731900355358</v>
      </c>
      <c r="S325" s="38">
        <f t="shared" ca="1" si="153"/>
        <v>24.715210415862899</v>
      </c>
      <c r="T325" s="38">
        <f t="shared" ca="1" si="153"/>
        <v>26.096320885704497</v>
      </c>
    </row>
    <row r="326" spans="1:20" ht="15" x14ac:dyDescent="0.25">
      <c r="A326" s="2" t="s">
        <v>578</v>
      </c>
      <c r="B326" s="4" t="str">
        <f>$B$38</f>
        <v>From Fiscal</v>
      </c>
      <c r="D326" s="40">
        <f>'Fiscal Forecasts'!D$116</f>
        <v>17.602</v>
      </c>
      <c r="E326" s="40">
        <f>'Fiscal Forecasts'!E$116</f>
        <v>16.789000000000001</v>
      </c>
      <c r="F326" s="39">
        <f>'Fiscal Forecasts'!F$116</f>
        <v>18.568999999999999</v>
      </c>
      <c r="G326" s="39">
        <f>'Fiscal Forecasts'!G$116</f>
        <v>18.163</v>
      </c>
      <c r="H326" s="39">
        <f>'Fiscal Forecasts'!H$116</f>
        <v>19.021000000000001</v>
      </c>
      <c r="I326" s="39">
        <f>'Fiscal Forecasts'!I$116</f>
        <v>19.600000000000001</v>
      </c>
      <c r="J326" s="39">
        <f>'Fiscal Forecasts'!J$116</f>
        <v>20.393000000000001</v>
      </c>
      <c r="K326" s="8">
        <f ca="1">SUM(K$325,J$326-J$325,K$141-K$140,K$155-K$154)-(K$82+K$84-K$457)+(K$437-K$436-(J$437-J$436))</f>
        <v>21.267910745356208</v>
      </c>
      <c r="L326" s="8">
        <f t="shared" ref="L326:T326" ca="1" si="154">SUM(L$325,K$326-K$325,L$141-L$140,L$155-L$154)-(L$82+L$84-L$457)+(L$437-L$436-(K$437-K$436))</f>
        <v>22.194904326050576</v>
      </c>
      <c r="M326" s="8">
        <f t="shared" ca="1" si="154"/>
        <v>23.172393979457709</v>
      </c>
      <c r="N326" s="8">
        <f t="shared" ca="1" si="154"/>
        <v>24.201781143645714</v>
      </c>
      <c r="O326" s="8">
        <f t="shared" ca="1" si="154"/>
        <v>25.283409753691849</v>
      </c>
      <c r="P326" s="8">
        <f t="shared" ca="1" si="154"/>
        <v>26.417817752637802</v>
      </c>
      <c r="Q326" s="8">
        <f t="shared" ca="1" si="154"/>
        <v>27.606886660129494</v>
      </c>
      <c r="R326" s="8">
        <f t="shared" ca="1" si="154"/>
        <v>28.850200496032198</v>
      </c>
      <c r="S326" s="8">
        <f t="shared" ca="1" si="154"/>
        <v>30.149298238761791</v>
      </c>
      <c r="T326" s="8">
        <f t="shared" ca="1" si="154"/>
        <v>31.505043508530285</v>
      </c>
    </row>
    <row r="327" spans="1:20" ht="15" x14ac:dyDescent="0.25">
      <c r="A327" s="2"/>
      <c r="B327" s="4"/>
      <c r="D327" s="7"/>
      <c r="E327" s="7"/>
    </row>
    <row r="328" spans="1:20" ht="15" x14ac:dyDescent="0.25">
      <c r="A328" s="19" t="s">
        <v>221</v>
      </c>
      <c r="B328" s="4"/>
      <c r="D328" s="40"/>
      <c r="E328" s="40"/>
      <c r="F328" s="39"/>
      <c r="G328" s="39"/>
      <c r="H328" s="39"/>
      <c r="I328" s="39"/>
      <c r="J328" s="39"/>
      <c r="K328" s="8"/>
      <c r="L328" s="8"/>
      <c r="M328" s="8"/>
      <c r="N328" s="8"/>
      <c r="O328" s="8"/>
      <c r="P328" s="8"/>
      <c r="Q328" s="8"/>
      <c r="R328" s="8"/>
      <c r="S328" s="8"/>
      <c r="T328" s="8"/>
    </row>
    <row r="329" spans="1:20" x14ac:dyDescent="0.2">
      <c r="A329" s="1" t="s">
        <v>583</v>
      </c>
      <c r="B329" s="4"/>
      <c r="D329" s="15">
        <f ca="1">OFFSET(Assumptions!$B$69,0,$C$1)*D$354</f>
        <v>12.694460000000001</v>
      </c>
      <c r="E329" s="15">
        <f ca="1">OFFSET(Assumptions!$B$69,0,$C$1)*E$354</f>
        <v>12.69661</v>
      </c>
      <c r="F329" s="16">
        <f ca="1">OFFSET(Assumptions!$B$69,0,$C$1)*F$354</f>
        <v>14.839730000000001</v>
      </c>
      <c r="G329" s="16">
        <f ca="1">OFFSET(Assumptions!$B$69,0,$C$1)*G$354</f>
        <v>15.831740000000002</v>
      </c>
      <c r="H329" s="16">
        <f ca="1">OFFSET(Assumptions!$B$69,0,$C$1)*H$354</f>
        <v>16.895130000000002</v>
      </c>
      <c r="I329" s="16">
        <f ca="1">OFFSET(Assumptions!$B$69,0,$C$1)*I$354</f>
        <v>18.033770000000001</v>
      </c>
      <c r="J329" s="16">
        <f ca="1">OFFSET(Assumptions!$B$69,0,$C$1)*J$354</f>
        <v>20.192369999999997</v>
      </c>
      <c r="K329" s="7">
        <f ca="1">OFFSET(Assumptions!$B$69,0,$C$1)/SUM(OFFSET(Assumptions!$B$68,0,$C$1,6,1))*SUM(K$354,K$70,-K$322,K$429)</f>
        <v>22.244517911377727</v>
      </c>
      <c r="L329" s="7">
        <f ca="1">OFFSET(Assumptions!$B$69,0,$C$1)/SUM(OFFSET(Assumptions!$B$68,0,$C$1,6,1))*SUM(L$354,L$70,-L$322,L$429)</f>
        <v>24.29863720322113</v>
      </c>
      <c r="M329" s="7">
        <f ca="1">OFFSET(Assumptions!$B$69,0,$C$1)/SUM(OFFSET(Assumptions!$B$68,0,$C$1,6,1))*SUM(M$354,M$70,-M$322,M$429)</f>
        <v>26.394913610141383</v>
      </c>
      <c r="N329" s="7">
        <f ca="1">OFFSET(Assumptions!$B$69,0,$C$1)/SUM(OFFSET(Assumptions!$B$68,0,$C$1,6,1))*SUM(N$354,N$70,-N$322,N$429)</f>
        <v>28.535731479807019</v>
      </c>
      <c r="O329" s="7">
        <f ca="1">OFFSET(Assumptions!$B$69,0,$C$1)/SUM(OFFSET(Assumptions!$B$68,0,$C$1,6,1))*SUM(O$354,O$70,-O$322,O$429)</f>
        <v>30.706010086594762</v>
      </c>
      <c r="P329" s="7">
        <f ca="1">OFFSET(Assumptions!$B$69,0,$C$1)/SUM(OFFSET(Assumptions!$B$68,0,$C$1,6,1))*SUM(P$354,P$70,-P$322,P$429)</f>
        <v>32.887757519943463</v>
      </c>
      <c r="Q329" s="7">
        <f ca="1">OFFSET(Assumptions!$B$69,0,$C$1)/SUM(OFFSET(Assumptions!$B$68,0,$C$1,6,1))*SUM(Q$354,Q$70,-Q$322,Q$429)</f>
        <v>35.044063135263364</v>
      </c>
      <c r="R329" s="7">
        <f ca="1">OFFSET(Assumptions!$B$69,0,$C$1)/SUM(OFFSET(Assumptions!$B$68,0,$C$1,6,1))*SUM(R$354,R$70,-R$322,R$429)</f>
        <v>37.173720028243267</v>
      </c>
      <c r="S329" s="7">
        <f ca="1">OFFSET(Assumptions!$B$69,0,$C$1)/SUM(OFFSET(Assumptions!$B$68,0,$C$1,6,1))*SUM(S$354,S$70,-S$322,S$429)</f>
        <v>39.292311804367827</v>
      </c>
      <c r="T329" s="7">
        <f ca="1">OFFSET(Assumptions!$B$69,0,$C$1)/SUM(OFFSET(Assumptions!$B$68,0,$C$1,6,1))*SUM(T$354,T$70,-T$322,T$429)</f>
        <v>41.400453606119697</v>
      </c>
    </row>
    <row r="330" spans="1:20" x14ac:dyDescent="0.2">
      <c r="A330" s="1" t="s">
        <v>584</v>
      </c>
      <c r="B330" s="4" t="str">
        <f>$B$38</f>
        <v>From Fiscal</v>
      </c>
      <c r="D330" s="15">
        <f ca="1">'Fiscal Forecasts'!D$170-D$329</f>
        <v>24.395540000000004</v>
      </c>
      <c r="E330" s="15">
        <f ca="1">'Fiscal Forecasts'!E$170-E$329</f>
        <v>21.689390000000003</v>
      </c>
      <c r="F330" s="16">
        <f ca="1">'Fiscal Forecasts'!F$170-F$329</f>
        <v>16.818269999999998</v>
      </c>
      <c r="G330" s="16">
        <f ca="1">'Fiscal Forecasts'!G$170-G$329</f>
        <v>12.02726</v>
      </c>
      <c r="H330" s="16">
        <f ca="1">'Fiscal Forecasts'!H$170-H$329</f>
        <v>10.735869999999998</v>
      </c>
      <c r="I330" s="16">
        <f ca="1">'Fiscal Forecasts'!I$170-I$329</f>
        <v>11.665230000000001</v>
      </c>
      <c r="J330" s="16">
        <f ca="1">'Fiscal Forecasts'!J$170-J$329</f>
        <v>6.8226300000000037</v>
      </c>
      <c r="K330" s="7">
        <f ca="1">(J$330/J$13+ IF(K$2&gt;0,K$2*IF(K$6=OFFSET(Assumptions!$B$8,0,$C$1),SUMPRODUCT(OFFSET(J$330,0,0,1,-OFFSET(Assumptions!$B$82,0,$C$1)),OFFSET(J$15,0,0,1,-OFFSET(Assumptions!$B$82,0,$C$1)))/OFFSET(Assumptions!$B$82,0,$C$1)-J$330/J$13,(J$330/J$13-I$330/I$13)/J$2),0))*K$13</f>
        <v>8.2966183168106529</v>
      </c>
      <c r="L330" s="7">
        <f ca="1">(K$330/K$13+ IF(L$2&gt;0,L$2*IF(L$6=OFFSET(Assumptions!$B$8,0,$C$1),SUMPRODUCT(OFFSET(K$330,0,0,1,-OFFSET(Assumptions!$B$82,0,$C$1)),OFFSET(K$15,0,0,1,-OFFSET(Assumptions!$B$82,0,$C$1)))/OFFSET(Assumptions!$B$82,0,$C$1)-K$330/K$13,(K$330/K$13-J$330/J$13)/K$2),0))*L$13</f>
        <v>9.6475157239012468</v>
      </c>
      <c r="M330" s="7">
        <f ca="1">(L$330/L$13+ IF(M$2&gt;0,M$2*IF(M$6=OFFSET(Assumptions!$B$8,0,$C$1),SUMPRODUCT(OFFSET(L$330,0,0,1,-OFFSET(Assumptions!$B$82,0,$C$1)),OFFSET(L$15,0,0,1,-OFFSET(Assumptions!$B$82,0,$C$1)))/OFFSET(Assumptions!$B$82,0,$C$1)-L$330/L$13,(L$330/L$13-K$330/K$13)/L$2),0))*M$13</f>
        <v>10.841627801989361</v>
      </c>
      <c r="N330" s="7">
        <f ca="1">(M$330/M$13+ IF(N$2&gt;0,N$2*IF(N$6=OFFSET(Assumptions!$B$8,0,$C$1),SUMPRODUCT(OFFSET(M$330,0,0,1,-OFFSET(Assumptions!$B$82,0,$C$1)),OFFSET(M$15,0,0,1,-OFFSET(Assumptions!$B$82,0,$C$1)))/OFFSET(Assumptions!$B$82,0,$C$1)-M$330/M$13,(M$330/M$13-L$330/L$13)/M$2),0))*N$13</f>
        <v>11.852385456304308</v>
      </c>
      <c r="O330" s="7">
        <f ca="1">(N$330/N$13+ IF(O$2&gt;0,O$2*IF(O$6=OFFSET(Assumptions!$B$8,0,$C$1),SUMPRODUCT(OFFSET(N$330,0,0,1,-OFFSET(Assumptions!$B$82,0,$C$1)),OFFSET(N$15,0,0,1,-OFFSET(Assumptions!$B$82,0,$C$1)))/OFFSET(Assumptions!$B$82,0,$C$1)-N$330/N$13,(N$330/N$13-M$330/M$13)/N$2),0))*O$13</f>
        <v>12.64497783868447</v>
      </c>
      <c r="P330" s="7">
        <f ca="1">(O$330/O$13+ IF(P$2&gt;0,P$2*IF(P$6=OFFSET(Assumptions!$B$8,0,$C$1),SUMPRODUCT(OFFSET(O$330,0,0,1,-OFFSET(Assumptions!$B$82,0,$C$1)),OFFSET(O$15,0,0,1,-OFFSET(Assumptions!$B$82,0,$C$1)))/OFFSET(Assumptions!$B$82,0,$C$1)-O$330/O$13,(O$330/O$13-N$330/N$13)/O$2),0))*P$13</f>
        <v>13.187751521148499</v>
      </c>
      <c r="Q330" s="7">
        <f ca="1">(P$330/P$13+ IF(Q$2&gt;0,Q$2*IF(Q$6=OFFSET(Assumptions!$B$8,0,$C$1),SUMPRODUCT(OFFSET(P$330,0,0,1,-OFFSET(Assumptions!$B$82,0,$C$1)),OFFSET(P$15,0,0,1,-OFFSET(Assumptions!$B$82,0,$C$1)))/OFFSET(Assumptions!$B$82,0,$C$1)-P$330/P$13,(P$330/P$13-O$330/O$13)/P$2),0))*Q$13</f>
        <v>13.748613661523548</v>
      </c>
      <c r="R330" s="7">
        <f ca="1">(Q$330/Q$13+ IF(R$2&gt;0,R$2*IF(R$6=OFFSET(Assumptions!$B$8,0,$C$1),SUMPRODUCT(OFFSET(Q$330,0,0,1,-OFFSET(Assumptions!$B$82,0,$C$1)),OFFSET(Q$15,0,0,1,-OFFSET(Assumptions!$B$82,0,$C$1)))/OFFSET(Assumptions!$B$82,0,$C$1)-Q$330/Q$13,(Q$330/Q$13-P$330/P$13)/Q$2),0))*R$13</f>
        <v>14.326938850120785</v>
      </c>
      <c r="S330" s="7">
        <f ca="1">(R$330/R$13+ IF(S$2&gt;0,S$2*IF(S$6=OFFSET(Assumptions!$B$8,0,$C$1),SUMPRODUCT(OFFSET(R$330,0,0,1,-OFFSET(Assumptions!$B$82,0,$C$1)),OFFSET(R$15,0,0,1,-OFFSET(Assumptions!$B$82,0,$C$1)))/OFFSET(Assumptions!$B$82,0,$C$1)-R$330/R$13,(R$330/R$13-Q$330/Q$13)/R$2),0))*S$13</f>
        <v>14.925352247024451</v>
      </c>
      <c r="T330" s="7">
        <f ca="1">(S$330/S$13+ IF(T$2&gt;0,T$2*IF(T$6=OFFSET(Assumptions!$B$8,0,$C$1),SUMPRODUCT(OFFSET(S$330,0,0,1,-OFFSET(Assumptions!$B$82,0,$C$1)),OFFSET(S$15,0,0,1,-OFFSET(Assumptions!$B$82,0,$C$1)))/OFFSET(Assumptions!$B$82,0,$C$1)-S$330/S$13,(S$330/S$13-R$330/R$13)/S$2),0))*T$13</f>
        <v>15.542924534463063</v>
      </c>
    </row>
    <row r="331" spans="1:20" ht="15" x14ac:dyDescent="0.25">
      <c r="A331" s="2" t="s">
        <v>585</v>
      </c>
      <c r="B331" s="4"/>
      <c r="D331" s="35">
        <f t="shared" ref="D331:T331" ca="1" si="155">SUM(D$329:D$330)</f>
        <v>37.090000000000003</v>
      </c>
      <c r="E331" s="35">
        <f t="shared" ca="1" si="155"/>
        <v>34.386000000000003</v>
      </c>
      <c r="F331" s="34">
        <f t="shared" ca="1" si="155"/>
        <v>31.658000000000001</v>
      </c>
      <c r="G331" s="34">
        <f t="shared" ca="1" si="155"/>
        <v>27.859000000000002</v>
      </c>
      <c r="H331" s="34">
        <f t="shared" ca="1" si="155"/>
        <v>27.631</v>
      </c>
      <c r="I331" s="34">
        <f t="shared" ca="1" si="155"/>
        <v>29.699000000000002</v>
      </c>
      <c r="J331" s="34">
        <f t="shared" ca="1" si="155"/>
        <v>27.015000000000001</v>
      </c>
      <c r="K331" s="38">
        <f t="shared" ca="1" si="155"/>
        <v>30.541136228188378</v>
      </c>
      <c r="L331" s="38">
        <f t="shared" ca="1" si="155"/>
        <v>33.946152927122377</v>
      </c>
      <c r="M331" s="38">
        <f t="shared" ca="1" si="155"/>
        <v>37.236541412130748</v>
      </c>
      <c r="N331" s="38">
        <f t="shared" ca="1" si="155"/>
        <v>40.388116936111331</v>
      </c>
      <c r="O331" s="38">
        <f t="shared" ca="1" si="155"/>
        <v>43.350987925279235</v>
      </c>
      <c r="P331" s="38">
        <f t="shared" ca="1" si="155"/>
        <v>46.075509041091962</v>
      </c>
      <c r="Q331" s="38">
        <f t="shared" ca="1" si="155"/>
        <v>48.792676796786914</v>
      </c>
      <c r="R331" s="38">
        <f t="shared" ca="1" si="155"/>
        <v>51.50065887836405</v>
      </c>
      <c r="S331" s="38">
        <f t="shared" ca="1" si="155"/>
        <v>54.217664051392276</v>
      </c>
      <c r="T331" s="38">
        <f t="shared" ca="1" si="155"/>
        <v>56.943378140582759</v>
      </c>
    </row>
    <row r="332" spans="1:20" x14ac:dyDescent="0.2">
      <c r="A332" s="1" t="s">
        <v>279</v>
      </c>
      <c r="B332" s="4" t="str">
        <f>$B$38</f>
        <v>From Fiscal</v>
      </c>
      <c r="D332" s="15">
        <f>'Fiscal Forecasts'!D$203</f>
        <v>25.789000000000001</v>
      </c>
      <c r="E332" s="15">
        <f>'Fiscal Forecasts'!E$203</f>
        <v>27.709</v>
      </c>
      <c r="F332" s="16">
        <f>'Fiscal Forecasts'!F$203</f>
        <v>28.035</v>
      </c>
      <c r="G332" s="16">
        <f>'Fiscal Forecasts'!G$203</f>
        <v>27.861999999999998</v>
      </c>
      <c r="H332" s="16">
        <f>'Fiscal Forecasts'!H$203</f>
        <v>28.6</v>
      </c>
      <c r="I332" s="16">
        <f>'Fiscal Forecasts'!I$203</f>
        <v>29.541</v>
      </c>
      <c r="J332" s="16">
        <f>'Fiscal Forecasts'!J$203</f>
        <v>30.501000000000001</v>
      </c>
      <c r="K332" s="7">
        <f>J$332*Exogenous!R$28/Exogenous!Q$28</f>
        <v>31.880998615483758</v>
      </c>
      <c r="L332" s="7">
        <f>K$332*Exogenous!S$28/Exogenous!R$28</f>
        <v>33.286238768985157</v>
      </c>
      <c r="M332" s="7">
        <f>L$332*Exogenous!T$28/Exogenous!S$28</f>
        <v>34.720145261765467</v>
      </c>
      <c r="N332" s="7">
        <f>M$332*Exogenous!U$28/Exogenous!T$28</f>
        <v>36.206782513339697</v>
      </c>
      <c r="O332" s="7">
        <f>N$332*Exogenous!V$28/Exogenous!U$28</f>
        <v>37.78825319185416</v>
      </c>
      <c r="P332" s="7">
        <f>O$332*Exogenous!W$28/Exogenous!V$28</f>
        <v>39.406312447148203</v>
      </c>
      <c r="Q332" s="7">
        <f>P$332*Exogenous!X$28/Exogenous!W$28</f>
        <v>41.075188101713763</v>
      </c>
      <c r="R332" s="7">
        <f>Q$332*Exogenous!Y$28/Exogenous!X$28</f>
        <v>42.803885680119379</v>
      </c>
      <c r="S332" s="7">
        <f>R$332*Exogenous!Z$28/Exogenous!Y$28</f>
        <v>44.587607787913427</v>
      </c>
      <c r="T332" s="7">
        <f>S$332*Exogenous!AA$28/Exogenous!Z$28</f>
        <v>46.438594767216799</v>
      </c>
    </row>
    <row r="333" spans="1:20" x14ac:dyDescent="0.2">
      <c r="A333" s="1" t="s">
        <v>506</v>
      </c>
      <c r="B333" s="4" t="str">
        <f>$B$38</f>
        <v>From Fiscal</v>
      </c>
      <c r="D333" s="15">
        <f>'Fiscal Forecasts'!D$204</f>
        <v>3.8119999999999998</v>
      </c>
      <c r="E333" s="15">
        <f>'Fiscal Forecasts'!E$204</f>
        <v>3.7709999999999999</v>
      </c>
      <c r="F333" s="16">
        <f>'Fiscal Forecasts'!F$204</f>
        <v>3.42</v>
      </c>
      <c r="G333" s="16">
        <f>'Fiscal Forecasts'!G$204</f>
        <v>3.3010000000000002</v>
      </c>
      <c r="H333" s="16">
        <f>'Fiscal Forecasts'!H$204</f>
        <v>3.3919999999999999</v>
      </c>
      <c r="I333" s="16">
        <f>'Fiscal Forecasts'!I$204</f>
        <v>3.4820000000000002</v>
      </c>
      <c r="J333" s="16">
        <f>'Fiscal Forecasts'!J$204</f>
        <v>3.5790000000000002</v>
      </c>
      <c r="K333" s="7">
        <f ca="1">(J$333/J$13+ IF(K$2&gt;0,K$2*IF(K$6=OFFSET(Assumptions!$B$8,0,$C$1),SUMPRODUCT(OFFSET(J$333,0,0,1,-OFFSET(Assumptions!$B$82,0,$C$1)),OFFSET(J$15,0,0,1,-OFFSET(Assumptions!$B$82,0,$C$1)))/OFFSET(Assumptions!$B$82,0,$C$1)-J$333/J$13,(J$333/J$13-I$333/I$13)/J$2),0))*K$13</f>
        <v>3.7512554837540315</v>
      </c>
      <c r="L333" s="7">
        <f ca="1">(K$333/K$13+ IF(L$2&gt;0,L$2*IF(L$6=OFFSET(Assumptions!$B$8,0,$C$1),SUMPRODUCT(OFFSET(K$333,0,0,1,-OFFSET(Assumptions!$B$82,0,$C$1)),OFFSET(K$15,0,0,1,-OFFSET(Assumptions!$B$82,0,$C$1)))/OFFSET(Assumptions!$B$82,0,$C$1)-K$333/K$13,(K$333/K$13-J$333/J$13)/K$2),0))*L$13</f>
        <v>3.9316738227438162</v>
      </c>
      <c r="M333" s="7">
        <f ca="1">(L$333/L$13+ IF(M$2&gt;0,M$2*IF(M$6=OFFSET(Assumptions!$B$8,0,$C$1),SUMPRODUCT(OFFSET(L$333,0,0,1,-OFFSET(Assumptions!$B$82,0,$C$1)),OFFSET(L$15,0,0,1,-OFFSET(Assumptions!$B$82,0,$C$1)))/OFFSET(Assumptions!$B$82,0,$C$1)-L$333/L$13,(L$333/L$13-K$333/K$13)/L$2),0))*M$13</f>
        <v>4.1158846737556809</v>
      </c>
      <c r="N333" s="7">
        <f ca="1">(M$333/M$13+ IF(N$2&gt;0,N$2*IF(N$6=OFFSET(Assumptions!$B$8,0,$C$1),SUMPRODUCT(OFFSET(M$333,0,0,1,-OFFSET(Assumptions!$B$82,0,$C$1)),OFFSET(M$15,0,0,1,-OFFSET(Assumptions!$B$82,0,$C$1)))/OFFSET(Assumptions!$B$82,0,$C$1)-M$333/M$13,(M$333/M$13-L$333/L$13)/M$2),0))*N$13</f>
        <v>4.3041791973262251</v>
      </c>
      <c r="O333" s="7">
        <f ca="1">(N$333/N$13+ IF(O$2&gt;0,O$2*IF(O$6=OFFSET(Assumptions!$B$8,0,$C$1),SUMPRODUCT(OFFSET(N$333,0,0,1,-OFFSET(Assumptions!$B$82,0,$C$1)),OFFSET(N$15,0,0,1,-OFFSET(Assumptions!$B$82,0,$C$1)))/OFFSET(Assumptions!$B$82,0,$C$1)-N$333/N$13,(N$333/N$13-M$333/M$13)/N$2),0))*O$13</f>
        <v>4.4946946016986891</v>
      </c>
      <c r="P333" s="7">
        <f ca="1">(O$333/O$13+ IF(P$2&gt;0,P$2*IF(P$6=OFFSET(Assumptions!$B$8,0,$C$1),SUMPRODUCT(OFFSET(O$333,0,0,1,-OFFSET(Assumptions!$B$82,0,$C$1)),OFFSET(O$15,0,0,1,-OFFSET(Assumptions!$B$82,0,$C$1)))/OFFSET(Assumptions!$B$82,0,$C$1)-O$333/O$13,(O$333/O$13-N$333/N$13)/O$2),0))*P$13</f>
        <v>4.6876251051474007</v>
      </c>
      <c r="Q333" s="7">
        <f ca="1">(P$333/P$13+ IF(Q$2&gt;0,Q$2*IF(Q$6=OFFSET(Assumptions!$B$8,0,$C$1),SUMPRODUCT(OFFSET(P$333,0,0,1,-OFFSET(Assumptions!$B$82,0,$C$1)),OFFSET(P$15,0,0,1,-OFFSET(Assumptions!$B$82,0,$C$1)))/OFFSET(Assumptions!$B$82,0,$C$1)-P$333/P$13,(P$333/P$13-O$333/O$13)/P$2),0))*Q$13</f>
        <v>4.8869852042160415</v>
      </c>
      <c r="R333" s="7">
        <f ca="1">(Q$333/Q$13+ IF(R$2&gt;0,R$2*IF(R$6=OFFSET(Assumptions!$B$8,0,$C$1),SUMPRODUCT(OFFSET(Q$333,0,0,1,-OFFSET(Assumptions!$B$82,0,$C$1)),OFFSET(Q$15,0,0,1,-OFFSET(Assumptions!$B$82,0,$C$1)))/OFFSET(Assumptions!$B$82,0,$C$1)-Q$333/Q$13,(Q$333/Q$13-P$333/P$13)/Q$2),0))*R$13</f>
        <v>5.0925525951894057</v>
      </c>
      <c r="S333" s="7">
        <f ca="1">(R$333/R$13+ IF(S$2&gt;0,S$2*IF(S$6=OFFSET(Assumptions!$B$8,0,$C$1),SUMPRODUCT(OFFSET(R$333,0,0,1,-OFFSET(Assumptions!$B$82,0,$C$1)),OFFSET(R$15,0,0,1,-OFFSET(Assumptions!$B$82,0,$C$1)))/OFFSET(Assumptions!$B$82,0,$C$1)-R$333/R$13,(R$333/R$13-Q$333/Q$13)/R$2),0))*S$13</f>
        <v>5.3052603989483496</v>
      </c>
      <c r="T333" s="7">
        <f ca="1">(S$333/S$13+ IF(T$2&gt;0,T$2*IF(T$6=OFFSET(Assumptions!$B$8,0,$C$1),SUMPRODUCT(OFFSET(S$333,0,0,1,-OFFSET(Assumptions!$B$82,0,$C$1)),OFFSET(S$15,0,0,1,-OFFSET(Assumptions!$B$82,0,$C$1)))/OFFSET(Assumptions!$B$82,0,$C$1)-S$333/S$13,(S$333/S$13-R$333/R$13)/S$2),0))*T$13</f>
        <v>5.5247782867549304</v>
      </c>
    </row>
    <row r="334" spans="1:20" x14ac:dyDescent="0.2">
      <c r="A334" s="1" t="s">
        <v>507</v>
      </c>
      <c r="B334" s="4" t="str">
        <f>$B$38</f>
        <v>From Fiscal</v>
      </c>
      <c r="D334" s="15">
        <f ca="1">'Fiscal Forecasts'!D$117-SUM(D$331:D$333)</f>
        <v>-12.393000000000001</v>
      </c>
      <c r="E334" s="15">
        <f ca="1">'Fiscal Forecasts'!E$117-SUM(E$331:E$333)</f>
        <v>-12.467999999999996</v>
      </c>
      <c r="F334" s="16">
        <f ca="1">'Fiscal Forecasts'!F$117-SUM(F$331:F$333)</f>
        <v>-13.728999999999999</v>
      </c>
      <c r="G334" s="16">
        <f ca="1">'Fiscal Forecasts'!G$117-SUM(G$331:G$333)</f>
        <v>-14.284000000000006</v>
      </c>
      <c r="H334" s="16">
        <f ca="1">'Fiscal Forecasts'!H$117-SUM(H$331:H$333)</f>
        <v>-14.737000000000002</v>
      </c>
      <c r="I334" s="16">
        <f ca="1">'Fiscal Forecasts'!I$117-SUM(I$331:I$333)</f>
        <v>-15.258000000000003</v>
      </c>
      <c r="J334" s="16">
        <f ca="1">'Fiscal Forecasts'!J$117-SUM(J$331:J$333)</f>
        <v>-15.779000000000003</v>
      </c>
      <c r="K334" s="7">
        <f ca="1">IF(K$6=OFFSET(Assumptions!$B$8,0,$C$1),AVERAGE(H$334/H$332,I$334/I$332,J$334/J$332),J$334/J$332)*K$332</f>
        <v>-16.462386038191774</v>
      </c>
      <c r="L334" s="7">
        <f ca="1">IF(L$6=OFFSET(Assumptions!$B$8,0,$C$1),AVERAGE(I$334/I$332,J$334/J$332,K$334/K$332),K$334/K$332)*L$332</f>
        <v>-17.188009666307128</v>
      </c>
      <c r="M334" s="7">
        <f ca="1">IF(M$6=OFFSET(Assumptions!$B$8,0,$C$1),AVERAGE(J$334/J$332,K$334/K$332,L$334/L$332),L$334/L$332)*M$332</f>
        <v>-17.928435727345082</v>
      </c>
      <c r="N334" s="7">
        <f ca="1">IF(N$6=OFFSET(Assumptions!$B$8,0,$C$1),AVERAGE(K$334/K$332,L$334/L$332,M$334/M$332),M$334/M$332)*N$332</f>
        <v>-18.696090361672791</v>
      </c>
      <c r="O334" s="7">
        <f ca="1">IF(O$6=OFFSET(Assumptions!$B$8,0,$C$1),AVERAGE(L$334/L$332,M$334/M$332,N$334/N$332),N$334/N$332)*O$332</f>
        <v>-19.512714117151447</v>
      </c>
      <c r="P334" s="7">
        <f ca="1">IF(P$6=OFFSET(Assumptions!$B$8,0,$C$1),AVERAGE(M$334/M$332,N$334/N$332,O$334/O$332),O$334/O$332)*P$332</f>
        <v>-20.348231110034561</v>
      </c>
      <c r="Q334" s="7">
        <f ca="1">IF(Q$6=OFFSET(Assumptions!$B$8,0,$C$1),AVERAGE(N$334/N$332,O$334/O$332,P$334/P$332),P$334/P$332)*Q$332</f>
        <v>-21.209988158694102</v>
      </c>
      <c r="R334" s="7">
        <f ca="1">IF(R$6=OFFSET(Assumptions!$B$8,0,$C$1),AVERAGE(O$334/O$332,P$334/P$332,Q$334/Q$332),Q$334/Q$332)*R$332</f>
        <v>-22.102635444377903</v>
      </c>
      <c r="S334" s="7">
        <f ca="1">IF(S$6=OFFSET(Assumptions!$B$8,0,$C$1),AVERAGE(P$334/P$332,Q$334/Q$332,R$334/R$332),R$334/R$332)*S$332</f>
        <v>-23.023695737298002</v>
      </c>
      <c r="T334" s="7">
        <f ca="1">IF(T$6=OFFSET(Assumptions!$B$8,0,$C$1),AVERAGE(Q$334/Q$332,R$334/R$332,S$334/S$332),S$334/S$332)*T$332</f>
        <v>-23.9794895809124</v>
      </c>
    </row>
    <row r="335" spans="1:20" ht="15" x14ac:dyDescent="0.25">
      <c r="A335" s="2" t="s">
        <v>596</v>
      </c>
      <c r="B335" s="4"/>
      <c r="D335" s="35">
        <f t="shared" ref="D335:T335" ca="1" si="156">SUM(D$331:D$334)</f>
        <v>54.298000000000002</v>
      </c>
      <c r="E335" s="35">
        <f t="shared" ca="1" si="156"/>
        <v>53.398000000000003</v>
      </c>
      <c r="F335" s="34">
        <f t="shared" ca="1" si="156"/>
        <v>49.384</v>
      </c>
      <c r="G335" s="34">
        <f t="shared" ca="1" si="156"/>
        <v>44.738</v>
      </c>
      <c r="H335" s="34">
        <f t="shared" ca="1" si="156"/>
        <v>44.886000000000003</v>
      </c>
      <c r="I335" s="34">
        <f t="shared" ca="1" si="156"/>
        <v>47.463999999999999</v>
      </c>
      <c r="J335" s="34">
        <f t="shared" ca="1" si="156"/>
        <v>45.316000000000003</v>
      </c>
      <c r="K335" s="38">
        <f t="shared" ca="1" si="156"/>
        <v>49.711004289234403</v>
      </c>
      <c r="L335" s="38">
        <f t="shared" ca="1" si="156"/>
        <v>53.976055852544221</v>
      </c>
      <c r="M335" s="38">
        <f t="shared" ca="1" si="156"/>
        <v>58.14413562030682</v>
      </c>
      <c r="N335" s="38">
        <f t="shared" ca="1" si="156"/>
        <v>62.202988285104453</v>
      </c>
      <c r="O335" s="38">
        <f t="shared" ca="1" si="156"/>
        <v>66.121221601680631</v>
      </c>
      <c r="P335" s="38">
        <f t="shared" ca="1" si="156"/>
        <v>69.821215483353015</v>
      </c>
      <c r="Q335" s="38">
        <f t="shared" ca="1" si="156"/>
        <v>73.544861944022614</v>
      </c>
      <c r="R335" s="38">
        <f t="shared" ca="1" si="156"/>
        <v>77.294461709294922</v>
      </c>
      <c r="S335" s="38">
        <f t="shared" ca="1" si="156"/>
        <v>81.086836500956053</v>
      </c>
      <c r="T335" s="38">
        <f t="shared" ca="1" si="156"/>
        <v>84.927261613642088</v>
      </c>
    </row>
    <row r="336" spans="1:20" ht="15" x14ac:dyDescent="0.25">
      <c r="A336" s="2"/>
      <c r="B336" s="4"/>
      <c r="D336" s="47"/>
      <c r="E336" s="47"/>
      <c r="F336" s="48"/>
      <c r="G336" s="48"/>
      <c r="H336" s="48"/>
      <c r="I336" s="48"/>
      <c r="J336" s="48"/>
      <c r="K336" s="49"/>
      <c r="L336" s="49"/>
      <c r="M336" s="49"/>
      <c r="N336" s="49"/>
      <c r="O336" s="49"/>
      <c r="P336" s="49"/>
      <c r="Q336" s="49"/>
      <c r="R336" s="49"/>
      <c r="S336" s="49"/>
      <c r="T336" s="49"/>
    </row>
    <row r="337" spans="1:20" ht="15" x14ac:dyDescent="0.25">
      <c r="A337" s="19" t="s">
        <v>222</v>
      </c>
      <c r="B337" s="4"/>
      <c r="D337" s="47"/>
      <c r="E337" s="47"/>
      <c r="F337" s="48"/>
      <c r="G337" s="48"/>
      <c r="H337" s="48"/>
      <c r="I337" s="48"/>
      <c r="J337" s="48"/>
      <c r="K337" s="8"/>
      <c r="L337" s="8"/>
      <c r="M337" s="8"/>
      <c r="N337" s="8"/>
      <c r="O337" s="8"/>
      <c r="P337" s="8"/>
      <c r="Q337" s="8"/>
      <c r="R337" s="8"/>
      <c r="S337" s="8"/>
      <c r="T337" s="8"/>
    </row>
    <row r="338" spans="1:20" x14ac:dyDescent="0.2">
      <c r="A338" s="1" t="s">
        <v>608</v>
      </c>
      <c r="B338" s="4"/>
      <c r="D338" s="15">
        <f ca="1">OFFSET(Assumptions!$B$70,0,$C$1)*D$354</f>
        <v>13.2849</v>
      </c>
      <c r="E338" s="15">
        <f ca="1">OFFSET(Assumptions!$B$70,0,$C$1)*E$354</f>
        <v>13.28715</v>
      </c>
      <c r="F338" s="16">
        <f ca="1">OFFSET(Assumptions!$B$70,0,$C$1)*F$354</f>
        <v>15.529950000000001</v>
      </c>
      <c r="G338" s="16">
        <f ca="1">OFFSET(Assumptions!$B$70,0,$C$1)*G$354</f>
        <v>16.568100000000001</v>
      </c>
      <c r="H338" s="16">
        <f ca="1">OFFSET(Assumptions!$B$70,0,$C$1)*H$354</f>
        <v>17.680950000000003</v>
      </c>
      <c r="I338" s="16">
        <f ca="1">OFFSET(Assumptions!$B$70,0,$C$1)*I$354</f>
        <v>18.87255</v>
      </c>
      <c r="J338" s="16">
        <f ca="1">OFFSET(Assumptions!$B$70,0,$C$1)*J$354</f>
        <v>21.131549999999997</v>
      </c>
      <c r="K338" s="7">
        <f ca="1">OFFSET(Assumptions!$B$70,0,$C$1)/SUM(OFFSET(Assumptions!$B$68,0,$C$1,6,1))*SUM(K$354,K$70,-K$322,K$429)</f>
        <v>23.27914665144181</v>
      </c>
      <c r="L338" s="7">
        <f ca="1">OFFSET(Assumptions!$B$70,0,$C$1)/SUM(OFFSET(Assumptions!$B$68,0,$C$1,6,1))*SUM(L$354,L$70,-L$322,L$429)</f>
        <v>25.428806375463974</v>
      </c>
      <c r="M338" s="7">
        <f ca="1">OFFSET(Assumptions!$B$70,0,$C$1)/SUM(OFFSET(Assumptions!$B$68,0,$C$1,6,1))*SUM(M$354,M$70,-M$322,M$429)</f>
        <v>27.622584010613082</v>
      </c>
      <c r="N338" s="7">
        <f ca="1">OFFSET(Assumptions!$B$70,0,$C$1)/SUM(OFFSET(Assumptions!$B$68,0,$C$1,6,1))*SUM(N$354,N$70,-N$322,N$429)</f>
        <v>29.862974804449209</v>
      </c>
      <c r="O338" s="7">
        <f ca="1">OFFSET(Assumptions!$B$70,0,$C$1)/SUM(OFFSET(Assumptions!$B$68,0,$C$1,6,1))*SUM(O$354,O$70,-O$322,O$429)</f>
        <v>32.134196602250334</v>
      </c>
      <c r="P338" s="7">
        <f ca="1">OFFSET(Assumptions!$B$70,0,$C$1)/SUM(OFFSET(Assumptions!$B$68,0,$C$1,6,1))*SUM(P$354,P$70,-P$322,P$429)</f>
        <v>34.417420660405952</v>
      </c>
      <c r="Q338" s="7">
        <f ca="1">OFFSET(Assumptions!$B$70,0,$C$1)/SUM(OFFSET(Assumptions!$B$68,0,$C$1,6,1))*SUM(Q$354,Q$70,-Q$322,Q$429)</f>
        <v>36.674019560159344</v>
      </c>
      <c r="R338" s="7">
        <f ca="1">OFFSET(Assumptions!$B$70,0,$C$1)/SUM(OFFSET(Assumptions!$B$68,0,$C$1,6,1))*SUM(R$354,R$70,-R$322,R$429)</f>
        <v>38.90273026211505</v>
      </c>
      <c r="S338" s="7">
        <f ca="1">OFFSET(Assumptions!$B$70,0,$C$1)/SUM(OFFSET(Assumptions!$B$68,0,$C$1,6,1))*SUM(S$354,S$70,-S$322,S$429)</f>
        <v>41.119861190617499</v>
      </c>
      <c r="T338" s="7">
        <f ca="1">OFFSET(Assumptions!$B$70,0,$C$1)/SUM(OFFSET(Assumptions!$B$68,0,$C$1,6,1))*SUM(T$354,T$70,-T$322,T$429)</f>
        <v>43.326056099427596</v>
      </c>
    </row>
    <row r="339" spans="1:20" x14ac:dyDescent="0.2">
      <c r="A339" s="1" t="s">
        <v>609</v>
      </c>
      <c r="B339" s="4" t="str">
        <f>$B$38</f>
        <v>From Fiscal</v>
      </c>
      <c r="D339" s="15">
        <f ca="1">'Fiscal Forecasts'!D$171-D$338</f>
        <v>2.0690999999999988</v>
      </c>
      <c r="E339" s="15">
        <f ca="1">'Fiscal Forecasts'!E$171-E$338</f>
        <v>0.25284999999999869</v>
      </c>
      <c r="F339" s="16">
        <f ca="1">'Fiscal Forecasts'!F$171-F$338</f>
        <v>4.5830499999999983</v>
      </c>
      <c r="G339" s="16">
        <f ca="1">'Fiscal Forecasts'!G$171-G$338</f>
        <v>5.0878999999999976</v>
      </c>
      <c r="H339" s="16">
        <f ca="1">'Fiscal Forecasts'!H$171-H$338</f>
        <v>5.6600499999999982</v>
      </c>
      <c r="I339" s="16">
        <f ca="1">'Fiscal Forecasts'!I$171-I$338</f>
        <v>6.2744499999999981</v>
      </c>
      <c r="J339" s="16">
        <f ca="1">'Fiscal Forecasts'!J$171-J$338</f>
        <v>7.6844500000000018</v>
      </c>
      <c r="K339" s="7">
        <f ca="1">(J$339/J$13+ IF(K$2&gt;0,K$2*IF(K$6=OFFSET(Assumptions!$B$8,0,$C$1),SUMPRODUCT(OFFSET(J$339,0,0,1,-OFFSET(Assumptions!$B$82,0,$C$1)),OFFSET(J$15,0,0,1,-OFFSET(Assumptions!$B$82,0,$C$1)))/OFFSET(Assumptions!$B$82,0,$C$1)-J$339/J$13,(J$339/J$13-I$339/I$13)/J$2),0))*K$13</f>
        <v>7.70439032410387</v>
      </c>
      <c r="L339" s="7">
        <f ca="1">(K$339/K$13+ IF(L$2&gt;0,L$2*IF(L$6=OFFSET(Assumptions!$B$8,0,$C$1),SUMPRODUCT(OFFSET(K$339,0,0,1,-OFFSET(Assumptions!$B$82,0,$C$1)),OFFSET(K$15,0,0,1,-OFFSET(Assumptions!$B$82,0,$C$1)))/OFFSET(Assumptions!$B$82,0,$C$1)-K$339/K$13,(K$339/K$13-J$339/J$13)/K$2),0))*L$13</f>
        <v>7.7842057219692533</v>
      </c>
      <c r="M339" s="7">
        <f ca="1">(L$339/L$13+ IF(M$2&gt;0,M$2*IF(M$6=OFFSET(Assumptions!$B$8,0,$C$1),SUMPRODUCT(OFFSET(L$339,0,0,1,-OFFSET(Assumptions!$B$82,0,$C$1)),OFFSET(L$15,0,0,1,-OFFSET(Assumptions!$B$82,0,$C$1)))/OFFSET(Assumptions!$B$82,0,$C$1)-L$339/L$13,(L$339/L$13-K$339/K$13)/L$2),0))*M$13</f>
        <v>7.922259401935551</v>
      </c>
      <c r="N339" s="7">
        <f ca="1">(M$339/M$13+ IF(N$2&gt;0,N$2*IF(N$6=OFFSET(Assumptions!$B$8,0,$C$1),SUMPRODUCT(OFFSET(M$339,0,0,1,-OFFSET(Assumptions!$B$82,0,$C$1)),OFFSET(M$15,0,0,1,-OFFSET(Assumptions!$B$82,0,$C$1)))/OFFSET(Assumptions!$B$82,0,$C$1)-M$339/M$13,(M$339/M$13-L$339/L$13)/M$2),0))*N$13</f>
        <v>8.1274610877977445</v>
      </c>
      <c r="O339" s="7">
        <f ca="1">(N$339/N$13+ IF(O$2&gt;0,O$2*IF(O$6=OFFSET(Assumptions!$B$8,0,$C$1),SUMPRODUCT(OFFSET(N$339,0,0,1,-OFFSET(Assumptions!$B$82,0,$C$1)),OFFSET(N$15,0,0,1,-OFFSET(Assumptions!$B$82,0,$C$1)))/OFFSET(Assumptions!$B$82,0,$C$1)-N$339/N$13,(N$339/N$13-M$339/M$13)/N$2),0))*O$13</f>
        <v>8.4053589349203541</v>
      </c>
      <c r="P339" s="7">
        <f ca="1">(O$339/O$13+ IF(P$2&gt;0,P$2*IF(P$6=OFFSET(Assumptions!$B$8,0,$C$1),SUMPRODUCT(OFFSET(O$339,0,0,1,-OFFSET(Assumptions!$B$82,0,$C$1)),OFFSET(O$15,0,0,1,-OFFSET(Assumptions!$B$82,0,$C$1)))/OFFSET(Assumptions!$B$82,0,$C$1)-O$339/O$13,(O$339/O$13-N$339/N$13)/O$2),0))*P$13</f>
        <v>8.7661509963806452</v>
      </c>
      <c r="Q339" s="7">
        <f ca="1">(P$339/P$13+ IF(Q$2&gt;0,Q$2*IF(Q$6=OFFSET(Assumptions!$B$8,0,$C$1),SUMPRODUCT(OFFSET(P$339,0,0,1,-OFFSET(Assumptions!$B$82,0,$C$1)),OFFSET(P$15,0,0,1,-OFFSET(Assumptions!$B$82,0,$C$1)))/OFFSET(Assumptions!$B$82,0,$C$1)-P$339/P$13,(P$339/P$13-O$339/O$13)/P$2),0))*Q$13</f>
        <v>9.1389668022287012</v>
      </c>
      <c r="R339" s="7">
        <f ca="1">(Q$339/Q$13+ IF(R$2&gt;0,R$2*IF(R$6=OFFSET(Assumptions!$B$8,0,$C$1),SUMPRODUCT(OFFSET(Q$339,0,0,1,-OFFSET(Assumptions!$B$82,0,$C$1)),OFFSET(Q$15,0,0,1,-OFFSET(Assumptions!$B$82,0,$C$1)))/OFFSET(Assumptions!$B$82,0,$C$1)-Q$339/Q$13,(Q$339/Q$13-P$339/P$13)/Q$2),0))*R$13</f>
        <v>9.523390630667059</v>
      </c>
      <c r="S339" s="7">
        <f ca="1">(R$339/R$13+ IF(S$2&gt;0,S$2*IF(S$6=OFFSET(Assumptions!$B$8,0,$C$1),SUMPRODUCT(OFFSET(R$339,0,0,1,-OFFSET(Assumptions!$B$82,0,$C$1)),OFFSET(R$15,0,0,1,-OFFSET(Assumptions!$B$82,0,$C$1)))/OFFSET(Assumptions!$B$82,0,$C$1)-R$339/R$13,(R$339/R$13-Q$339/Q$13)/R$2),0))*S$13</f>
        <v>9.921167475878482</v>
      </c>
      <c r="T339" s="7">
        <f ca="1">(S$339/S$13+ IF(T$2&gt;0,T$2*IF(T$6=OFFSET(Assumptions!$B$8,0,$C$1),SUMPRODUCT(OFFSET(S$339,0,0,1,-OFFSET(Assumptions!$B$82,0,$C$1)),OFFSET(S$15,0,0,1,-OFFSET(Assumptions!$B$82,0,$C$1)))/OFFSET(Assumptions!$B$82,0,$C$1)-S$339/S$13,(S$339/S$13-R$339/R$13)/S$2),0))*T$13</f>
        <v>10.331679602542785</v>
      </c>
    </row>
    <row r="340" spans="1:20" ht="15" x14ac:dyDescent="0.25">
      <c r="A340" s="2" t="s">
        <v>610</v>
      </c>
      <c r="B340" s="4"/>
      <c r="D340" s="35">
        <f t="shared" ref="D340:T340" ca="1" si="157">SUM(D$338:D$339)</f>
        <v>15.353999999999999</v>
      </c>
      <c r="E340" s="35">
        <f t="shared" ca="1" si="157"/>
        <v>13.54</v>
      </c>
      <c r="F340" s="34">
        <f t="shared" ca="1" si="157"/>
        <v>20.113</v>
      </c>
      <c r="G340" s="34">
        <f t="shared" ca="1" si="157"/>
        <v>21.655999999999999</v>
      </c>
      <c r="H340" s="34">
        <f t="shared" ca="1" si="157"/>
        <v>23.341000000000001</v>
      </c>
      <c r="I340" s="34">
        <f t="shared" ca="1" si="157"/>
        <v>25.146999999999998</v>
      </c>
      <c r="J340" s="34">
        <f t="shared" ca="1" si="157"/>
        <v>28.815999999999999</v>
      </c>
      <c r="K340" s="38">
        <f t="shared" ca="1" si="157"/>
        <v>30.983536975545679</v>
      </c>
      <c r="L340" s="38">
        <f t="shared" ca="1" si="157"/>
        <v>33.213012097433229</v>
      </c>
      <c r="M340" s="38">
        <f t="shared" ca="1" si="157"/>
        <v>35.54484341254863</v>
      </c>
      <c r="N340" s="38">
        <f t="shared" ca="1" si="157"/>
        <v>37.99043589224695</v>
      </c>
      <c r="O340" s="38">
        <f t="shared" ca="1" si="157"/>
        <v>40.539555537170685</v>
      </c>
      <c r="P340" s="38">
        <f t="shared" ca="1" si="157"/>
        <v>43.183571656786597</v>
      </c>
      <c r="Q340" s="38">
        <f t="shared" ca="1" si="157"/>
        <v>45.812986362388045</v>
      </c>
      <c r="R340" s="38">
        <f t="shared" ca="1" si="157"/>
        <v>48.426120892782109</v>
      </c>
      <c r="S340" s="38">
        <f t="shared" ca="1" si="157"/>
        <v>51.041028666495983</v>
      </c>
      <c r="T340" s="38">
        <f t="shared" ca="1" si="157"/>
        <v>53.657735701970381</v>
      </c>
    </row>
    <row r="341" spans="1:20" x14ac:dyDescent="0.2">
      <c r="A341" s="1" t="s">
        <v>279</v>
      </c>
      <c r="B341" s="4" t="str">
        <f>$B$38</f>
        <v>From Fiscal</v>
      </c>
      <c r="D341" s="15">
        <f>'Fiscal Forecasts'!D$205</f>
        <v>10.454000000000001</v>
      </c>
      <c r="E341" s="15">
        <f>'Fiscal Forecasts'!E$205</f>
        <v>11</v>
      </c>
      <c r="F341" s="16">
        <f>'Fiscal Forecasts'!F$205</f>
        <v>11.67</v>
      </c>
      <c r="G341" s="16">
        <f>'Fiscal Forecasts'!G$205</f>
        <v>12.194000000000001</v>
      </c>
      <c r="H341" s="16">
        <f>'Fiscal Forecasts'!H$205</f>
        <v>12.474</v>
      </c>
      <c r="I341" s="16">
        <f>'Fiscal Forecasts'!I$205</f>
        <v>12.882999999999999</v>
      </c>
      <c r="J341" s="16">
        <f>'Fiscal Forecasts'!J$205</f>
        <v>13.273999999999999</v>
      </c>
      <c r="K341" s="7">
        <f>J$341*Exogenous!R$28/Exogenous!Q$28</f>
        <v>13.874573804856604</v>
      </c>
      <c r="L341" s="7">
        <f>K$341*Exogenous!S$28/Exogenous!R$28</f>
        <v>14.486132697928227</v>
      </c>
      <c r="M341" s="7">
        <f>L$341*Exogenous!T$28/Exogenous!S$28</f>
        <v>15.110167148771342</v>
      </c>
      <c r="N341" s="7">
        <f>M$341*Exogenous!U$28/Exogenous!T$28</f>
        <v>15.757149964987084</v>
      </c>
      <c r="O341" s="7">
        <f>N$341*Exogenous!V$28/Exogenous!U$28</f>
        <v>16.445404179163702</v>
      </c>
      <c r="P341" s="7">
        <f>O$341*Exogenous!W$28/Exogenous!V$28</f>
        <v>17.14958169972936</v>
      </c>
      <c r="Q341" s="7">
        <f>P$341*Exogenous!X$28/Exogenous!W$28</f>
        <v>17.875874458612785</v>
      </c>
      <c r="R341" s="7">
        <f>Q$341*Exogenous!Y$28/Exogenous!X$28</f>
        <v>18.628201649713276</v>
      </c>
      <c r="S341" s="7">
        <f>R$341*Exogenous!Z$28/Exogenous!Y$28</f>
        <v>19.404475452501977</v>
      </c>
      <c r="T341" s="7">
        <f>S$341*Exogenous!AA$28/Exogenous!Z$28</f>
        <v>20.210022849743801</v>
      </c>
    </row>
    <row r="342" spans="1:20" x14ac:dyDescent="0.2">
      <c r="A342" s="1" t="s">
        <v>506</v>
      </c>
      <c r="B342" s="4" t="str">
        <f>$B$38</f>
        <v>From Fiscal</v>
      </c>
      <c r="D342" s="15">
        <f>'Fiscal Forecasts'!D$206</f>
        <v>5.8000000000000003E-2</v>
      </c>
      <c r="E342" s="15">
        <f>'Fiscal Forecasts'!E$206</f>
        <v>8.5999999999999993E-2</v>
      </c>
      <c r="F342" s="16">
        <f>'Fiscal Forecasts'!F$206</f>
        <v>8.7999999999999995E-2</v>
      </c>
      <c r="G342" s="16">
        <f>'Fiscal Forecasts'!G$206</f>
        <v>8.6999999999999994E-2</v>
      </c>
      <c r="H342" s="16">
        <f>'Fiscal Forecasts'!H$206</f>
        <v>8.6999999999999994E-2</v>
      </c>
      <c r="I342" s="16">
        <f>'Fiscal Forecasts'!I$206</f>
        <v>8.6999999999999994E-2</v>
      </c>
      <c r="J342" s="16">
        <f>'Fiscal Forecasts'!J$206</f>
        <v>8.6999999999999994E-2</v>
      </c>
      <c r="K342" s="7">
        <f ca="1">(J$342/J$13+ IF(K$2&gt;0,K$2*IF(K$6=OFFSET(Assumptions!$B$8,0,$C$1),SUMPRODUCT(OFFSET(J$342,0,0,1,-OFFSET(Assumptions!$B$82,0,$C$1)),OFFSET(J$15,0,0,1,-OFFSET(Assumptions!$B$82,0,$C$1)))/OFFSET(Assumptions!$B$82,0,$C$1)-J$342/J$13,(J$342/J$13-I$342/I$13)/J$2),0))*K$13</f>
        <v>9.2045766778179619E-2</v>
      </c>
      <c r="L342" s="7">
        <f ca="1">(K$342/K$13+ IF(L$2&gt;0,L$2*IF(L$6=OFFSET(Assumptions!$B$8,0,$C$1),SUMPRODUCT(OFFSET(K$342,0,0,1,-OFFSET(Assumptions!$B$82,0,$C$1)),OFFSET(K$15,0,0,1,-OFFSET(Assumptions!$B$82,0,$C$1)))/OFFSET(Assumptions!$B$82,0,$C$1)-K$342/K$13,(K$342/K$13-J$342/J$13)/K$2),0))*L$13</f>
        <v>9.7186057633807277E-2</v>
      </c>
      <c r="M342" s="7">
        <f ca="1">(L$342/L$13+ IF(M$2&gt;0,M$2*IF(M$6=OFFSET(Assumptions!$B$8,0,$C$1),SUMPRODUCT(OFFSET(L$342,0,0,1,-OFFSET(Assumptions!$B$82,0,$C$1)),OFFSET(L$15,0,0,1,-OFFSET(Assumptions!$B$82,0,$C$1)))/OFFSET(Assumptions!$B$82,0,$C$1)-L$342/L$13,(L$342/L$13-K$342/K$13)/L$2),0))*M$13</f>
        <v>0.10229562958650627</v>
      </c>
      <c r="N342" s="7">
        <f ca="1">(M$342/M$13+ IF(N$2&gt;0,N$2*IF(N$6=OFFSET(Assumptions!$B$8,0,$C$1),SUMPRODUCT(OFFSET(M$342,0,0,1,-OFFSET(Assumptions!$B$82,0,$C$1)),OFFSET(M$15,0,0,1,-OFFSET(Assumptions!$B$82,0,$C$1)))/OFFSET(Assumptions!$B$82,0,$C$1)-M$342/M$13,(M$342/M$13-L$342/L$13)/M$2),0))*N$13</f>
        <v>0.10736123410079332</v>
      </c>
      <c r="O342" s="7">
        <f ca="1">(N$342/N$13+ IF(O$2&gt;0,O$2*IF(O$6=OFFSET(Assumptions!$B$8,0,$C$1),SUMPRODUCT(OFFSET(N$342,0,0,1,-OFFSET(Assumptions!$B$82,0,$C$1)),OFFSET(N$15,0,0,1,-OFFSET(Assumptions!$B$82,0,$C$1)))/OFFSET(Assumptions!$B$82,0,$C$1)-N$342/N$13,(N$342/N$13-M$342/M$13)/N$2),0))*O$13</f>
        <v>0.11231416417787422</v>
      </c>
      <c r="P342" s="7">
        <f ca="1">(O$342/O$13+ IF(P$2&gt;0,P$2*IF(P$6=OFFSET(Assumptions!$B$8,0,$C$1),SUMPRODUCT(OFFSET(O$342,0,0,1,-OFFSET(Assumptions!$B$82,0,$C$1)),OFFSET(O$15,0,0,1,-OFFSET(Assumptions!$B$82,0,$C$1)))/OFFSET(Assumptions!$B$82,0,$C$1)-O$342/O$13,(O$342/O$13-N$342/N$13)/O$2),0))*P$13</f>
        <v>0.11713514316742986</v>
      </c>
      <c r="Q342" s="7">
        <f ca="1">(P$342/P$13+ IF(Q$2&gt;0,Q$2*IF(Q$6=OFFSET(Assumptions!$B$8,0,$C$1),SUMPRODUCT(OFFSET(P$342,0,0,1,-OFFSET(Assumptions!$B$82,0,$C$1)),OFFSET(P$15,0,0,1,-OFFSET(Assumptions!$B$82,0,$C$1)))/OFFSET(Assumptions!$B$82,0,$C$1)-P$342/P$13,(P$342/P$13-O$342/O$13)/P$2),0))*Q$13</f>
        <v>0.12211678594441638</v>
      </c>
      <c r="R342" s="7">
        <f ca="1">(Q$342/Q$13+ IF(R$2&gt;0,R$2*IF(R$6=OFFSET(Assumptions!$B$8,0,$C$1),SUMPRODUCT(OFFSET(Q$342,0,0,1,-OFFSET(Assumptions!$B$82,0,$C$1)),OFFSET(Q$15,0,0,1,-OFFSET(Assumptions!$B$82,0,$C$1)))/OFFSET(Assumptions!$B$82,0,$C$1)-Q$342/Q$13,(Q$342/Q$13-P$342/P$13)/Q$2),0))*R$13</f>
        <v>0.12725353754722249</v>
      </c>
      <c r="S342" s="7">
        <f ca="1">(R$342/R$13+ IF(S$2&gt;0,S$2*IF(S$6=OFFSET(Assumptions!$B$8,0,$C$1),SUMPRODUCT(OFFSET(R$342,0,0,1,-OFFSET(Assumptions!$B$82,0,$C$1)),OFFSET(R$15,0,0,1,-OFFSET(Assumptions!$B$82,0,$C$1)))/OFFSET(Assumptions!$B$82,0,$C$1)-R$342/R$13,(R$342/R$13-Q$342/Q$13)/R$2),0))*S$13</f>
        <v>0.13256871495310635</v>
      </c>
      <c r="T342" s="7">
        <f ca="1">(S$342/S$13+ IF(T$2&gt;0,T$2*IF(T$6=OFFSET(Assumptions!$B$8,0,$C$1),SUMPRODUCT(OFFSET(S$342,0,0,1,-OFFSET(Assumptions!$B$82,0,$C$1)),OFFSET(S$15,0,0,1,-OFFSET(Assumptions!$B$82,0,$C$1)))/OFFSET(Assumptions!$B$82,0,$C$1)-S$342/S$13,(S$342/S$13-R$342/R$13)/S$2),0))*T$13</f>
        <v>0.13805406385351232</v>
      </c>
    </row>
    <row r="343" spans="1:20" x14ac:dyDescent="0.2">
      <c r="A343" s="1" t="s">
        <v>507</v>
      </c>
      <c r="B343" s="4" t="str">
        <f>$B$38</f>
        <v>From Fiscal</v>
      </c>
      <c r="D343" s="15">
        <f ca="1">'Fiscal Forecasts'!D$118-SUM(D$340:D$342)</f>
        <v>-0.45799999999999841</v>
      </c>
      <c r="E343" s="15">
        <f ca="1">'Fiscal Forecasts'!E$118-SUM(E$340:E$342)</f>
        <v>-0.40899999999999892</v>
      </c>
      <c r="F343" s="16">
        <f ca="1">'Fiscal Forecasts'!F$118-SUM(F$340:F$342)</f>
        <v>-1.0840000000000032</v>
      </c>
      <c r="G343" s="16">
        <f ca="1">'Fiscal Forecasts'!G$118-SUM(G$340:G$342)</f>
        <v>-1.0930000000000035</v>
      </c>
      <c r="H343" s="16">
        <f ca="1">'Fiscal Forecasts'!H$118-SUM(H$340:H$342)</f>
        <v>-1.1039999999999992</v>
      </c>
      <c r="I343" s="16">
        <f ca="1">'Fiscal Forecasts'!I$118-SUM(I$340:I$342)</f>
        <v>-1.122000000000007</v>
      </c>
      <c r="J343" s="16">
        <f ca="1">'Fiscal Forecasts'!J$118-SUM(J$340:J$342)</f>
        <v>-1.1390000000000029</v>
      </c>
      <c r="K343" s="7">
        <f ca="1">IF(K$6=OFFSET(Assumptions!$B$8,0,$C$1),AVERAGE(H$343/H$341,I$343/I$341,J$343/J$341),J$343/J$341)*K$341</f>
        <v>-1.2089491714899365</v>
      </c>
      <c r="L343" s="7">
        <f ca="1">IF(L$6=OFFSET(Assumptions!$B$8,0,$C$1),AVERAGE(I$343/I$341,J$343/J$341,K$343/K$341),K$343/K$341)*L$341</f>
        <v>-1.2622368347720652</v>
      </c>
      <c r="M343" s="7">
        <f ca="1">IF(M$6=OFFSET(Assumptions!$B$8,0,$C$1),AVERAGE(J$343/J$341,K$343/K$341,L$343/L$341),L$343/L$341)*M$341</f>
        <v>-1.3166115451551608</v>
      </c>
      <c r="N343" s="7">
        <f ca="1">IF(N$6=OFFSET(Assumptions!$B$8,0,$C$1),AVERAGE(K$343/K$341,L$343/L$341,M$343/M$341),M$343/M$341)*N$341</f>
        <v>-1.3729858418098413</v>
      </c>
      <c r="O343" s="7">
        <f ca="1">IF(O$6=OFFSET(Assumptions!$B$8,0,$C$1),AVERAGE(L$343/L$341,M$343/M$341,N$343/N$341),N$343/N$341)*O$341</f>
        <v>-1.4329562865749288</v>
      </c>
      <c r="P343" s="7">
        <f ca="1">IF(P$6=OFFSET(Assumptions!$B$8,0,$C$1),AVERAGE(M$343/M$341,N$343/N$341,O$343/O$341),O$343/O$341)*P$341</f>
        <v>-1.49431419508032</v>
      </c>
      <c r="Q343" s="7">
        <f ca="1">IF(Q$6=OFFSET(Assumptions!$B$8,0,$C$1),AVERAGE(N$343/N$341,O$343/O$341,P$343/P$341),P$343/P$341)*Q$341</f>
        <v>-1.5575990960409467</v>
      </c>
      <c r="R343" s="7">
        <f ca="1">IF(R$6=OFFSET(Assumptions!$B$8,0,$C$1),AVERAGE(O$343/O$341,P$343/P$341,Q$343/Q$341),Q$343/Q$341)*R$341</f>
        <v>-1.6231524850792409</v>
      </c>
      <c r="S343" s="7">
        <f ca="1">IF(S$6=OFFSET(Assumptions!$B$8,0,$C$1),AVERAGE(P$343/P$341,Q$343/Q$341,R$343/R$341),R$343/R$341)*S$341</f>
        <v>-1.6907924417316205</v>
      </c>
      <c r="T343" s="7">
        <f ca="1">IF(T$6=OFFSET(Assumptions!$B$8,0,$C$1),AVERAGE(Q$343/Q$341,R$343/R$341,S$343/S$341),S$343/S$341)*T$341</f>
        <v>-1.7609831281043067</v>
      </c>
    </row>
    <row r="344" spans="1:20" ht="15" x14ac:dyDescent="0.25">
      <c r="A344" s="2" t="s">
        <v>611</v>
      </c>
      <c r="B344" s="4"/>
      <c r="D344" s="35">
        <f t="shared" ref="D344:T344" ca="1" si="158">SUM(D$340:D$343)</f>
        <v>25.408000000000001</v>
      </c>
      <c r="E344" s="35">
        <f t="shared" ca="1" si="158"/>
        <v>24.216999999999999</v>
      </c>
      <c r="F344" s="34">
        <f t="shared" ca="1" si="158"/>
        <v>30.786999999999999</v>
      </c>
      <c r="G344" s="34">
        <f t="shared" ca="1" si="158"/>
        <v>32.844000000000001</v>
      </c>
      <c r="H344" s="34">
        <f t="shared" ca="1" si="158"/>
        <v>34.798000000000002</v>
      </c>
      <c r="I344" s="34">
        <f t="shared" ca="1" si="158"/>
        <v>36.994999999999997</v>
      </c>
      <c r="J344" s="34">
        <f t="shared" ca="1" si="158"/>
        <v>41.037999999999997</v>
      </c>
      <c r="K344" s="38">
        <f t="shared" ca="1" si="158"/>
        <v>43.741207375690529</v>
      </c>
      <c r="L344" s="38">
        <f t="shared" ca="1" si="158"/>
        <v>46.534094018223193</v>
      </c>
      <c r="M344" s="38">
        <f t="shared" ca="1" si="158"/>
        <v>49.440694645751314</v>
      </c>
      <c r="N344" s="38">
        <f t="shared" ca="1" si="158"/>
        <v>52.481961249524986</v>
      </c>
      <c r="O344" s="38">
        <f t="shared" ca="1" si="158"/>
        <v>55.664317593937334</v>
      </c>
      <c r="P344" s="38">
        <f t="shared" ca="1" si="158"/>
        <v>58.955974304603068</v>
      </c>
      <c r="Q344" s="38">
        <f t="shared" ca="1" si="158"/>
        <v>62.253378510904298</v>
      </c>
      <c r="R344" s="38">
        <f t="shared" ca="1" si="158"/>
        <v>65.558423594963358</v>
      </c>
      <c r="S344" s="38">
        <f t="shared" ca="1" si="158"/>
        <v>68.887280392219452</v>
      </c>
      <c r="T344" s="38">
        <f t="shared" ca="1" si="158"/>
        <v>72.244829487463406</v>
      </c>
    </row>
    <row r="345" spans="1:20" ht="15" x14ac:dyDescent="0.25">
      <c r="A345" s="2"/>
      <c r="B345" s="4"/>
      <c r="D345" s="47"/>
      <c r="E345" s="47"/>
      <c r="F345" s="48"/>
      <c r="G345" s="48"/>
      <c r="H345" s="48"/>
      <c r="I345" s="48"/>
      <c r="J345" s="48"/>
      <c r="K345" s="7"/>
      <c r="L345" s="7"/>
      <c r="M345" s="7"/>
      <c r="N345" s="7"/>
      <c r="O345" s="7"/>
      <c r="P345" s="7"/>
      <c r="Q345" s="7"/>
      <c r="R345" s="7"/>
      <c r="S345" s="7"/>
      <c r="T345" s="7"/>
    </row>
    <row r="346" spans="1:20" x14ac:dyDescent="0.2">
      <c r="A346" s="19" t="s">
        <v>422</v>
      </c>
      <c r="F346" s="7"/>
      <c r="G346" s="7"/>
      <c r="H346" s="7"/>
      <c r="I346" s="7"/>
      <c r="J346" s="7"/>
      <c r="K346" s="7"/>
      <c r="L346" s="7"/>
      <c r="M346" s="7"/>
      <c r="N346" s="7"/>
      <c r="O346" s="7"/>
      <c r="P346" s="7"/>
      <c r="Q346" s="7"/>
      <c r="R346" s="7"/>
      <c r="S346" s="7"/>
      <c r="T346" s="7"/>
    </row>
    <row r="347" spans="1:20" x14ac:dyDescent="0.2">
      <c r="A347" s="1" t="s">
        <v>384</v>
      </c>
      <c r="B347" s="4" t="str">
        <f t="shared" ref="B347:B353" si="159">$B$38</f>
        <v>From Fiscal</v>
      </c>
      <c r="D347" s="15">
        <f>'Fiscal Forecasts'!D$335</f>
        <v>0.76</v>
      </c>
      <c r="E347" s="15">
        <f>'Fiscal Forecasts'!E$335</f>
        <v>0.752</v>
      </c>
      <c r="F347" s="16">
        <f>'Fiscal Forecasts'!F$335</f>
        <v>0.83299999999999996</v>
      </c>
      <c r="G347" s="16">
        <f>'Fiscal Forecasts'!G$335</f>
        <v>0.81299999999999994</v>
      </c>
      <c r="H347" s="16">
        <f>'Fiscal Forecasts'!H$335</f>
        <v>0.874</v>
      </c>
      <c r="I347" s="16">
        <f>'Fiscal Forecasts'!I$335</f>
        <v>0.93799999999999994</v>
      </c>
      <c r="J347" s="16">
        <f>'Fiscal Forecasts'!J$335</f>
        <v>1.006</v>
      </c>
      <c r="K347" s="7">
        <f ca="1">IF(K$6=OFFSET(Assumptions!$B$8,0,$C$1),AVERAGE(H$347/(H$347-H$349+H$350),I$347/(I$347-I$349+I$350),J$347/(J$347-J$349+J$350)),(J$347-Exogenous!Q$10)/(J$347-Exogenous!Q$10-J$349+J$350))*Exogenous!R$7 +Exogenous!R$10</f>
        <v>0.91550967740615741</v>
      </c>
      <c r="L347" s="7">
        <f ca="1">IF(L$6=OFFSET(Assumptions!$B$8,0,$C$1),AVERAGE(I$347/(I$347-I$349+I$350),J$347/(J$347-J$349+J$350),K$347/(K$347-K$349+K$350)),(K$347-Exogenous!R$10)/(K$347-Exogenous!R$10-K$349+K$350))*Exogenous!S$7 +Exogenous!S$10</f>
        <v>1.032657405900675</v>
      </c>
      <c r="M347" s="7">
        <f ca="1">IF(M$6=OFFSET(Assumptions!$B$8,0,$C$1),AVERAGE(J$347/(J$347-J$349+J$350),K$347/(K$347-K$349+K$350),L$347/(L$347-L$349+L$350)),(L$347-Exogenous!S$10)/(L$347-Exogenous!S$10-L$349+L$350))*Exogenous!T$7 +Exogenous!T$10</f>
        <v>1.1574051955358633</v>
      </c>
      <c r="N347" s="7">
        <f ca="1">IF(N$6=OFFSET(Assumptions!$B$8,0,$C$1),AVERAGE(K$347/(K$347-K$349+K$350),L$347/(L$347-L$349+L$350),M$347/(M$347-M$349+M$350)),(M$347-Exogenous!T$10)/(M$347-Exogenous!T$10-M$349+M$350))*Exogenous!U$7 +Exogenous!U$10</f>
        <v>1.2895340838300289</v>
      </c>
      <c r="O347" s="7">
        <f ca="1">IF(O$6=OFFSET(Assumptions!$B$8,0,$C$1),AVERAGE(L$347/(L$347-L$349+L$350),M$347/(M$347-M$349+M$350),N$347/(N$347-N$349+N$350)),(N$347-Exogenous!U$10)/(N$347-Exogenous!U$10-N$349+N$350))*Exogenous!V$7 +Exogenous!V$10</f>
        <v>1.4288717789992951</v>
      </c>
      <c r="P347" s="7">
        <f ca="1">IF(P$6=OFFSET(Assumptions!$B$8,0,$C$1),AVERAGE(M$347/(M$347-M$349+M$350),N$347/(N$347-N$349+N$350),O$347/(O$347-O$349+O$350)),(O$347-Exogenous!V$10)/(O$347-Exogenous!V$10-O$349+O$350))*Exogenous!W$7 +Exogenous!W$10</f>
        <v>1.5648429242530302</v>
      </c>
      <c r="Q347" s="7">
        <f ca="1">IF(Q$6=OFFSET(Assumptions!$B$8,0,$C$1),AVERAGE(N$347/(N$347-N$349+N$350),O$347/(O$347-O$349+O$350),P$347/(P$347-P$349+P$350)),(P$347-Exogenous!W$10)/(P$347-Exogenous!W$10-P$349+P$350))*Exogenous!X$7 +Exogenous!X$10</f>
        <v>1.6729790028641707</v>
      </c>
      <c r="R347" s="7">
        <f ca="1">IF(R$6=OFFSET(Assumptions!$B$8,0,$C$1),AVERAGE(O$347/(O$347-O$349+O$350),P$347/(P$347-P$349+P$350),Q$347/(Q$347-Q$349+Q$350)),(Q$347-Exogenous!X$10)/(Q$347-Exogenous!X$10-Q$349+Q$350))*Exogenous!Y$7 +Exogenous!Y$10</f>
        <v>1.7799085985840444</v>
      </c>
      <c r="S347" s="7">
        <f ca="1">IF(S$6=OFFSET(Assumptions!$B$8,0,$C$1),AVERAGE(P$347/(P$347-P$349+P$350),Q$347/(Q$347-Q$349+Q$350),R$347/(R$347-R$349+R$350)),(R$347-Exogenous!Y$10)/(R$347-Exogenous!Y$10-R$349+R$350))*Exogenous!Z$7 +Exogenous!Z$10</f>
        <v>1.8860201346038181</v>
      </c>
      <c r="T347" s="7">
        <f ca="1">IF(T$6=OFFSET(Assumptions!$B$8,0,$C$1),AVERAGE(Q$347/(Q$347-Q$349+Q$350),R$347/(R$347-R$349+R$350),S$347/(S$347-S$349+S$350)),(S$347-Exogenous!Z$10)/(S$347-Exogenous!Z$10-S$349+S$350))*Exogenous!AA$7 +Exogenous!AA$10</f>
        <v>1.9917315326599156</v>
      </c>
    </row>
    <row r="348" spans="1:20" x14ac:dyDescent="0.2">
      <c r="A348" s="1" t="s">
        <v>385</v>
      </c>
      <c r="B348" s="4" t="str">
        <f t="shared" si="159"/>
        <v>From Fiscal</v>
      </c>
      <c r="D348" s="15">
        <f>'Fiscal Forecasts'!D$336</f>
        <v>4.5999999999999999E-2</v>
      </c>
      <c r="E348" s="15">
        <f>'Fiscal Forecasts'!E$336</f>
        <v>0.51200000000000001</v>
      </c>
      <c r="F348" s="16">
        <f>'Fiscal Forecasts'!F$336</f>
        <v>1.1339999999999999</v>
      </c>
      <c r="G348" s="16">
        <f>'Fiscal Forecasts'!G$336</f>
        <v>0.71599999999999997</v>
      </c>
      <c r="H348" s="16">
        <f>'Fiscal Forecasts'!H$336</f>
        <v>0.76900000000000002</v>
      </c>
      <c r="I348" s="16">
        <f>'Fiscal Forecasts'!I$336</f>
        <v>0.82399999999999995</v>
      </c>
      <c r="J348" s="16">
        <f>'Fiscal Forecasts'!J$336</f>
        <v>0.88300000000000001</v>
      </c>
      <c r="K348" s="7">
        <f>Exogenous!R$8</f>
        <v>0.77749042890695819</v>
      </c>
      <c r="L348" s="7">
        <f>Exogenous!S$8</f>
        <v>0.87697734851083586</v>
      </c>
      <c r="M348" s="7">
        <f>Exogenous!T$8</f>
        <v>0.98291856886303619</v>
      </c>
      <c r="N348" s="7">
        <f>Exogenous!U$8</f>
        <v>1.0951281375503756</v>
      </c>
      <c r="O348" s="7">
        <f>Exogenous!V$8</f>
        <v>1.2134597369355329</v>
      </c>
      <c r="P348" s="7">
        <f>Exogenous!W$8</f>
        <v>1.3289323164737574</v>
      </c>
      <c r="Q348" s="7">
        <f>Exogenous!X$8</f>
        <v>1.4207661530945723</v>
      </c>
      <c r="R348" s="7">
        <f>Exogenous!Y$8</f>
        <v>1.5115753922438921</v>
      </c>
      <c r="S348" s="7">
        <f>Exogenous!Z$8</f>
        <v>1.6016898997013478</v>
      </c>
      <c r="T348" s="7">
        <f>Exogenous!AA$8</f>
        <v>1.6914645926875</v>
      </c>
    </row>
    <row r="349" spans="1:20" x14ac:dyDescent="0.2">
      <c r="A349" s="1" t="s">
        <v>386</v>
      </c>
      <c r="B349" s="4" t="str">
        <f t="shared" si="159"/>
        <v>From Fiscal</v>
      </c>
      <c r="D349" s="15">
        <f>'Fiscal Forecasts'!D$337</f>
        <v>0.19800000000000001</v>
      </c>
      <c r="E349" s="15">
        <f>'Fiscal Forecasts'!E$337</f>
        <v>0.13800000000000001</v>
      </c>
      <c r="F349" s="16">
        <f>'Fiscal Forecasts'!F$337</f>
        <v>0.22800000000000001</v>
      </c>
      <c r="G349" s="16">
        <f>'Fiscal Forecasts'!G$337</f>
        <v>0.17799999999999999</v>
      </c>
      <c r="H349" s="16">
        <f>'Fiscal Forecasts'!H$337</f>
        <v>0.185</v>
      </c>
      <c r="I349" s="16">
        <f>'Fiscal Forecasts'!I$337</f>
        <v>0.19600000000000001</v>
      </c>
      <c r="J349" s="16">
        <f>'Fiscal Forecasts'!J$337</f>
        <v>0.20699999999999999</v>
      </c>
      <c r="K349" s="7">
        <f ca="1">IF(K$6=OFFSET(Assumptions!$B$8,0,$C$1),AVERAGE(H$349/(H$347-H$349+H$350),I$349/(I$347-I$349+I$350),J$349/(J$347-J$349+J$350)),J$349/(J$347-Exogenous!Q$10-J$349+J$350))*Exogenous!R$7</f>
        <v>0.18435421134811586</v>
      </c>
      <c r="L349" s="7">
        <f ca="1">IF(L$6=OFFSET(Assumptions!$B$8,0,$C$1),AVERAGE(I$349/(I$347-I$349+I$350),J$349/(J$347-J$349+J$350),K$349/(K$347-K$349+K$350)),K$349/(K$347-Exogenous!R$10-K$349+K$350))*Exogenous!S$7</f>
        <v>0.20794399704980085</v>
      </c>
      <c r="M349" s="7">
        <f ca="1">IF(M$6=OFFSET(Assumptions!$B$8,0,$C$1),AVERAGE(J$349/(J$347-J$349+J$350),K$349/(K$347-K$349+K$350),L$349/(L$347-L$349+L$350)),L$349/(L$347-Exogenous!S$10-L$349+L$350))*Exogenous!T$7</f>
        <v>0.23306419068966891</v>
      </c>
      <c r="N349" s="7">
        <f ca="1">IF(N$6=OFFSET(Assumptions!$B$8,0,$C$1),AVERAGE(K$349/(K$347-K$349+K$350),L$349/(L$347-L$349+L$350),M$349/(M$347-M$349+M$350)),M$349/(M$347-Exogenous!T$10-M$349+M$350))*Exogenous!U$7</f>
        <v>0.25967070026451827</v>
      </c>
      <c r="O349" s="7">
        <f ca="1">IF(O$6=OFFSET(Assumptions!$B$8,0,$C$1),AVERAGE(L$349/(L$347-L$349+L$350),M$349/(M$347-M$349+M$350),N$349/(N$347-N$349+N$350)),N$349/(N$347-Exogenous!U$10-N$349+N$350))*Exogenous!V$7</f>
        <v>0.28772883174901842</v>
      </c>
      <c r="P349" s="7">
        <f ca="1">IF(P$6=OFFSET(Assumptions!$B$8,0,$C$1),AVERAGE(M$349/(M$347-M$349+M$350),N$349/(N$347-N$349+N$350),O$349/(O$347-O$349+O$350)),O$349/(O$347-Exogenous!V$10-O$349+O$350))*Exogenous!W$7</f>
        <v>0.3151090483299861</v>
      </c>
      <c r="Q349" s="7">
        <f ca="1">IF(Q$6=OFFSET(Assumptions!$B$8,0,$C$1),AVERAGE(N$349/(N$347-N$349+N$350),O$349/(O$347-O$349+O$350),P$349/(P$347-P$349+P$350)),P$349/(P$347-Exogenous!W$10-P$349+P$350))*Exogenous!X$7</f>
        <v>0.33688417750952238</v>
      </c>
      <c r="R349" s="7">
        <f ca="1">IF(R$6=OFFSET(Assumptions!$B$8,0,$C$1),AVERAGE(O$349/(O$347-O$349+O$350),P$349/(P$347-P$349+P$350),Q$349/(Q$347-Q$349+Q$350)),Q$349/(Q$347-Exogenous!X$10-Q$349+Q$350))*Exogenous!Y$7</f>
        <v>0.35841635982851355</v>
      </c>
      <c r="S349" s="7">
        <f ca="1">IF(S$6=OFFSET(Assumptions!$B$8,0,$C$1),AVERAGE(P$349/(P$347-P$349+P$350),Q$349/(Q$347-Q$349+Q$350),R$349/(R$347-R$349+R$350)),R$349/(R$347-Exogenous!Y$10-R$349+R$350))*Exogenous!Z$7</f>
        <v>0.37978381122813876</v>
      </c>
      <c r="T349" s="7">
        <f ca="1">IF(T$6=OFFSET(Assumptions!$B$8,0,$C$1),AVERAGE(Q$349/(Q$347-Q$349+Q$350),R$349/(R$347-R$349+R$350),S$349/(S$347-S$349+S$350)),S$349/(S$347-Exogenous!Z$10-S$349+S$350))*Exogenous!AA$7</f>
        <v>0.40107068770808307</v>
      </c>
    </row>
    <row r="350" spans="1:20" x14ac:dyDescent="0.2">
      <c r="A350" s="1" t="s">
        <v>396</v>
      </c>
      <c r="B350" s="4" t="str">
        <f t="shared" si="159"/>
        <v>From Fiscal</v>
      </c>
      <c r="D350" s="15">
        <f>'Fiscal Forecasts'!D$338</f>
        <v>3.1560000000000001</v>
      </c>
      <c r="E350" s="15">
        <f>'Fiscal Forecasts'!E$338</f>
        <v>-7.5999999999999998E-2</v>
      </c>
      <c r="F350" s="16">
        <f>'Fiscal Forecasts'!F$338</f>
        <v>5.5069999999999997</v>
      </c>
      <c r="G350" s="16">
        <f>'Fiscal Forecasts'!G$338</f>
        <v>2.3650000000000002</v>
      </c>
      <c r="H350" s="16">
        <f>'Fiscal Forecasts'!H$338</f>
        <v>2.5259999999999998</v>
      </c>
      <c r="I350" s="16">
        <f>'Fiscal Forecasts'!I$338</f>
        <v>2.6989999999999998</v>
      </c>
      <c r="J350" s="16">
        <f>'Fiscal Forecasts'!J$338</f>
        <v>2.883</v>
      </c>
      <c r="K350" s="7">
        <f ca="1">IF(K$6=OFFSET(Assumptions!$B$8,0,$C$1),AVERAGE(H$350/(H$347-H$349+H$350),I$350/(I$347-I$349+I$350),J$350/(J$347-J$349+J$350)),J$350/(J$347-Exogenous!Q$10-J$349+J$350))*Exogenous!R$7</f>
        <v>2.5409417921179696</v>
      </c>
      <c r="L350" s="7">
        <f ca="1">IF(L$6=OFFSET(Assumptions!$B$8,0,$C$1),AVERAGE(I$350/(I$347-I$349+I$350),J$350/(J$347-J$349+J$350),K$350/(K$347-K$349+K$350)),K$350/(K$347-Exogenous!R$10-K$349+K$350))*Exogenous!S$7</f>
        <v>2.8660782341780489</v>
      </c>
      <c r="M350" s="7">
        <f ca="1">IF(M$6=OFFSET(Assumptions!$B$8,0,$C$1),AVERAGE(J$350/(J$347-J$349+J$350),K$350/(K$347-K$349+K$350),L$350/(L$347-L$349+L$350)),L$350/(L$347-Exogenous!S$10-L$349+L$350))*Exogenous!T$7</f>
        <v>3.2123081867182091</v>
      </c>
      <c r="N350" s="7">
        <f ca="1">IF(N$6=OFFSET(Assumptions!$B$8,0,$C$1),AVERAGE(K$350/(K$347-K$349+K$350),L$350/(L$347-L$349+L$350),M$350/(M$347-M$349+M$350)),M$350/(M$347-Exogenous!T$10-M$349+M$350))*Exogenous!U$7</f>
        <v>3.5790239326008026</v>
      </c>
      <c r="O350" s="7">
        <f ca="1">IF(O$6=OFFSET(Assumptions!$B$8,0,$C$1),AVERAGE(L$350/(L$347-L$349+L$350),M$350/(M$347-M$349+M$350),N$350/(N$347-N$349+N$350)),N$350/(N$347-Exogenous!U$10-N$349+N$350))*Exogenous!V$7</f>
        <v>3.9657472863900085</v>
      </c>
      <c r="P350" s="7">
        <f ca="1">IF(P$6=OFFSET(Assumptions!$B$8,0,$C$1),AVERAGE(M$350/(M$347-M$349+M$350),N$350/(N$347-N$349+N$350),O$350/(O$347-O$349+O$350)),O$350/(O$347-Exogenous!V$10-O$349+O$350))*Exogenous!W$7</f>
        <v>4.3431269843045319</v>
      </c>
      <c r="Q350" s="7">
        <f ca="1">IF(Q$6=OFFSET(Assumptions!$B$8,0,$C$1),AVERAGE(N$350/(N$347-N$349+N$350),O$350/(O$347-O$349+O$350),P$350/(P$347-P$349+P$350)),P$350/(P$347-Exogenous!W$10-P$349+P$350))*Exogenous!X$7</f>
        <v>4.6432521366210837</v>
      </c>
      <c r="R350" s="7">
        <f ca="1">IF(R$6=OFFSET(Assumptions!$B$8,0,$C$1),AVERAGE(O$350/(O$347-O$349+O$350),P$350/(P$347-P$349+P$350),Q$350/(Q$347-Q$349+Q$350)),Q$350/(Q$347-Exogenous!X$10-Q$349+Q$350))*Exogenous!Y$7</f>
        <v>4.9400287685718212</v>
      </c>
      <c r="S350" s="7">
        <f ca="1">IF(S$6=OFFSET(Assumptions!$B$8,0,$C$1),AVERAGE(P$350/(P$347-P$349+P$350),Q$350/(Q$347-Q$349+Q$350),R$350/(R$347-R$349+R$350)),R$350/(R$347-Exogenous!Y$10-R$349+R$350))*Exogenous!Z$7</f>
        <v>5.2345349252542688</v>
      </c>
      <c r="T350" s="7">
        <f ca="1">IF(T$6=OFFSET(Assumptions!$B$8,0,$C$1),AVERAGE(Q$350/(Q$347-Q$349+Q$350),R$350/(R$347-R$349+R$350),S$350/(S$347-S$349+S$350)),S$350/(S$347-Exogenous!Z$10-S$349+S$350))*Exogenous!AA$7</f>
        <v>5.5279305231959288</v>
      </c>
    </row>
    <row r="351" spans="1:20" ht="15" x14ac:dyDescent="0.25">
      <c r="A351" s="2" t="s">
        <v>530</v>
      </c>
      <c r="D351" s="35">
        <f t="shared" ref="D351:J351" si="160">SUM(D$347,D$350)-SUM(D$348,D$349)</f>
        <v>3.6720000000000006</v>
      </c>
      <c r="E351" s="35">
        <f t="shared" si="160"/>
        <v>2.6000000000000023E-2</v>
      </c>
      <c r="F351" s="34">
        <f t="shared" si="160"/>
        <v>4.9779999999999998</v>
      </c>
      <c r="G351" s="34">
        <f t="shared" si="160"/>
        <v>2.2839999999999998</v>
      </c>
      <c r="H351" s="34">
        <f t="shared" si="160"/>
        <v>2.4459999999999997</v>
      </c>
      <c r="I351" s="34">
        <f t="shared" si="160"/>
        <v>2.6169999999999995</v>
      </c>
      <c r="J351" s="34">
        <f t="shared" si="160"/>
        <v>2.7990000000000004</v>
      </c>
      <c r="K351" s="38">
        <f ca="1">SUM(K$347,-K$348,-K$349,K$350)</f>
        <v>2.4946068292690531</v>
      </c>
      <c r="L351" s="38">
        <f t="shared" ref="L351:T351" ca="1" si="161">SUM(L$347,-L$348,-L$349,L$350)</f>
        <v>2.8138142945180871</v>
      </c>
      <c r="M351" s="38">
        <f t="shared" ca="1" si="161"/>
        <v>3.1537306227013673</v>
      </c>
      <c r="N351" s="38">
        <f t="shared" ca="1" si="161"/>
        <v>3.5137591786159375</v>
      </c>
      <c r="O351" s="38">
        <f t="shared" ca="1" si="161"/>
        <v>3.8934304967047524</v>
      </c>
      <c r="P351" s="38">
        <f t="shared" ca="1" si="161"/>
        <v>4.2639285437538188</v>
      </c>
      <c r="Q351" s="38">
        <f t="shared" ca="1" si="161"/>
        <v>4.5585808088811595</v>
      </c>
      <c r="R351" s="38">
        <f t="shared" ca="1" si="161"/>
        <v>4.8499456150834597</v>
      </c>
      <c r="S351" s="38">
        <f t="shared" ca="1" si="161"/>
        <v>5.1390813489286007</v>
      </c>
      <c r="T351" s="38">
        <f t="shared" ca="1" si="161"/>
        <v>5.4271267754602617</v>
      </c>
    </row>
    <row r="352" spans="1:20" x14ac:dyDescent="0.2">
      <c r="A352" s="1" t="s">
        <v>531</v>
      </c>
      <c r="B352" s="4" t="str">
        <f t="shared" si="159"/>
        <v>From Fiscal</v>
      </c>
      <c r="D352" s="15">
        <f>'Fiscal Forecasts'!D$339</f>
        <v>0</v>
      </c>
      <c r="E352" s="15">
        <f>'Fiscal Forecasts'!E$339</f>
        <v>0</v>
      </c>
      <c r="F352" s="16">
        <f>'Fiscal Forecasts'!F$339</f>
        <v>0</v>
      </c>
      <c r="G352" s="16">
        <f>'Fiscal Forecasts'!G$339</f>
        <v>0</v>
      </c>
      <c r="H352" s="16">
        <f>'Fiscal Forecasts'!H$339</f>
        <v>0</v>
      </c>
      <c r="I352" s="16">
        <f>'Fiscal Forecasts'!I$339</f>
        <v>0</v>
      </c>
      <c r="J352" s="16">
        <f>'Fiscal Forecasts'!J$339</f>
        <v>2.1840000000000002</v>
      </c>
      <c r="K352" s="7">
        <f>Exogenous!R$9</f>
        <v>2.17</v>
      </c>
      <c r="L352" s="7">
        <f>Exogenous!S$9</f>
        <v>2</v>
      </c>
      <c r="M352" s="7">
        <f>Exogenous!T$9</f>
        <v>1.768</v>
      </c>
      <c r="N352" s="7">
        <f>Exogenous!U$9</f>
        <v>1.518</v>
      </c>
      <c r="O352" s="7">
        <f>Exogenous!V$9</f>
        <v>1.212</v>
      </c>
      <c r="P352" s="7">
        <f>Exogenous!W$9</f>
        <v>0.873</v>
      </c>
      <c r="Q352" s="7">
        <f>Exogenous!X$9</f>
        <v>0.52100000000000002</v>
      </c>
      <c r="R352" s="7">
        <f>Exogenous!Y$9</f>
        <v>0.17299999999999999</v>
      </c>
      <c r="S352" s="7">
        <f>Exogenous!Z$9</f>
        <v>-0.13500000000000001</v>
      </c>
      <c r="T352" s="7">
        <f>Exogenous!AA$9</f>
        <v>-0.442</v>
      </c>
    </row>
    <row r="353" spans="1:21" x14ac:dyDescent="0.2">
      <c r="A353" s="1" t="s">
        <v>86</v>
      </c>
      <c r="B353" s="4" t="str">
        <f t="shared" si="159"/>
        <v>From Fiscal</v>
      </c>
      <c r="D353" s="15">
        <f>'Fiscal Forecasts'!D$340</f>
        <v>4.1000000000000002E-2</v>
      </c>
      <c r="E353" s="15">
        <f>'Fiscal Forecasts'!E$340</f>
        <v>-2.1000000000000001E-2</v>
      </c>
      <c r="F353" s="16">
        <f>'Fiscal Forecasts'!F$340</f>
        <v>6.0000000000000001E-3</v>
      </c>
      <c r="G353" s="16">
        <f>'Fiscal Forecasts'!G$340</f>
        <v>2.3E-2</v>
      </c>
      <c r="H353" s="16">
        <f>'Fiscal Forecasts'!H$340</f>
        <v>2.7E-2</v>
      </c>
      <c r="I353" s="16">
        <f>'Fiscal Forecasts'!I$340</f>
        <v>3.1E-2</v>
      </c>
      <c r="J353" s="16">
        <f>'Fiscal Forecasts'!J$340</f>
        <v>3.6999999999999998E-2</v>
      </c>
      <c r="K353" s="7">
        <f ca="1">IF(K$6=OFFSET(Assumptions!$B$8,0,$C$1),0,J$353)</f>
        <v>0</v>
      </c>
      <c r="L353" s="7">
        <f ca="1">IF(L$6=OFFSET(Assumptions!$B$8,0,$C$1),0,K$353)</f>
        <v>0</v>
      </c>
      <c r="M353" s="7">
        <f ca="1">IF(M$6=OFFSET(Assumptions!$B$8,0,$C$1),0,L$353)</f>
        <v>0</v>
      </c>
      <c r="N353" s="7">
        <f ca="1">IF(N$6=OFFSET(Assumptions!$B$8,0,$C$1),0,M$353)</f>
        <v>0</v>
      </c>
      <c r="O353" s="7">
        <f ca="1">IF(O$6=OFFSET(Assumptions!$B$8,0,$C$1),0,N$353)</f>
        <v>0</v>
      </c>
      <c r="P353" s="7">
        <f ca="1">IF(P$6=OFFSET(Assumptions!$B$8,0,$C$1),0,O$353)</f>
        <v>0</v>
      </c>
      <c r="Q353" s="7">
        <f ca="1">IF(Q$6=OFFSET(Assumptions!$B$8,0,$C$1),0,P$353)</f>
        <v>0</v>
      </c>
      <c r="R353" s="7">
        <f ca="1">IF(R$6=OFFSET(Assumptions!$B$8,0,$C$1),0,Q$353)</f>
        <v>0</v>
      </c>
      <c r="S353" s="7">
        <f ca="1">IF(S$6=OFFSET(Assumptions!$B$8,0,$C$1),0,R$353)</f>
        <v>0</v>
      </c>
      <c r="T353" s="7">
        <f ca="1">IF(T$6=OFFSET(Assumptions!$B$8,0,$C$1),0,S$353)</f>
        <v>0</v>
      </c>
    </row>
    <row r="354" spans="1:21" ht="15" x14ac:dyDescent="0.25">
      <c r="A354" s="2" t="s">
        <v>389</v>
      </c>
      <c r="C354" s="61">
        <f>'Fiscal Forecasts'!C$341</f>
        <v>25.809000000000001</v>
      </c>
      <c r="D354" s="35">
        <f t="shared" ref="D354:T354" si="162">SUM(C$354,D$351:D$353)</f>
        <v>29.522000000000002</v>
      </c>
      <c r="E354" s="35">
        <f t="shared" si="162"/>
        <v>29.527000000000001</v>
      </c>
      <c r="F354" s="34">
        <f t="shared" si="162"/>
        <v>34.511000000000003</v>
      </c>
      <c r="G354" s="34">
        <f t="shared" ref="G354" si="163">SUM(F$354,G$351:G$353)</f>
        <v>36.818000000000005</v>
      </c>
      <c r="H354" s="34">
        <f t="shared" ref="H354" si="164">SUM(G$354,H$351:H$353)</f>
        <v>39.291000000000004</v>
      </c>
      <c r="I354" s="34">
        <f t="shared" ref="I354" si="165">SUM(H$354,I$351:I$353)</f>
        <v>41.939</v>
      </c>
      <c r="J354" s="34">
        <f t="shared" ref="J354" si="166">SUM(I$354,J$351:J$353)</f>
        <v>46.958999999999996</v>
      </c>
      <c r="K354" s="38">
        <f t="shared" ca="1" si="162"/>
        <v>51.62360682926905</v>
      </c>
      <c r="L354" s="38">
        <f t="shared" ca="1" si="162"/>
        <v>56.437421123787139</v>
      </c>
      <c r="M354" s="38">
        <f t="shared" ca="1" si="162"/>
        <v>61.359151746488507</v>
      </c>
      <c r="N354" s="38">
        <f t="shared" ca="1" si="162"/>
        <v>66.39091092510445</v>
      </c>
      <c r="O354" s="38">
        <f t="shared" ca="1" si="162"/>
        <v>71.496341421809205</v>
      </c>
      <c r="P354" s="38">
        <f t="shared" ca="1" si="162"/>
        <v>76.633269965563031</v>
      </c>
      <c r="Q354" s="38">
        <f t="shared" ca="1" si="162"/>
        <v>81.712850774444192</v>
      </c>
      <c r="R354" s="38">
        <f t="shared" ca="1" si="162"/>
        <v>86.73579638952765</v>
      </c>
      <c r="S354" s="38">
        <f t="shared" ca="1" si="162"/>
        <v>91.739877738456244</v>
      </c>
      <c r="T354" s="38">
        <f t="shared" ca="1" si="162"/>
        <v>96.725004513916517</v>
      </c>
    </row>
    <row r="355" spans="1:21" x14ac:dyDescent="0.2">
      <c r="A355" s="4" t="s">
        <v>534</v>
      </c>
    </row>
    <row r="356" spans="1:21" x14ac:dyDescent="0.2">
      <c r="A356" s="1" t="s">
        <v>390</v>
      </c>
      <c r="B356" s="4" t="str">
        <f t="shared" ref="B356:B361" si="167">$B$38</f>
        <v>From Fiscal</v>
      </c>
      <c r="D356" s="15">
        <f>'Fiscal Forecasts'!D$342</f>
        <v>31.274000000000001</v>
      </c>
      <c r="E356" s="15">
        <f>'Fiscal Forecasts'!E$342</f>
        <v>30.561</v>
      </c>
      <c r="F356" s="16">
        <f>'Fiscal Forecasts'!F$342</f>
        <v>37.344999999999999</v>
      </c>
      <c r="G356" s="16">
        <f>'Fiscal Forecasts'!G$342</f>
        <v>37.420999999999999</v>
      </c>
      <c r="H356" s="16">
        <f>'Fiscal Forecasts'!H$342</f>
        <v>39.886000000000003</v>
      </c>
      <c r="I356" s="16">
        <f>'Fiscal Forecasts'!I$342</f>
        <v>42.527000000000001</v>
      </c>
      <c r="J356" s="16">
        <f>'Fiscal Forecasts'!J$342</f>
        <v>47.537999999999997</v>
      </c>
      <c r="K356" s="7">
        <f ca="1">SUM(K$316,K$322,K$329,K$338,K$361)</f>
        <v>51.813134714750859</v>
      </c>
      <c r="L356" s="7">
        <f t="shared" ref="L356:T356" ca="1" si="168">SUM(L$316,L$322,L$329,L$338,L$361)</f>
        <v>56.649514502395348</v>
      </c>
      <c r="M356" s="7">
        <f t="shared" ca="1" si="168"/>
        <v>61.600685464939332</v>
      </c>
      <c r="N356" s="7">
        <f t="shared" ca="1" si="168"/>
        <v>66.67318886186807</v>
      </c>
      <c r="O356" s="7">
        <f t="shared" ca="1" si="168"/>
        <v>71.833735988373746</v>
      </c>
      <c r="P356" s="7">
        <f t="shared" ca="1" si="168"/>
        <v>77.040817042550614</v>
      </c>
      <c r="Q356" s="7">
        <f t="shared" ca="1" si="168"/>
        <v>82.206134830220947</v>
      </c>
      <c r="R356" s="7">
        <f t="shared" ca="1" si="168"/>
        <v>87.326757759823209</v>
      </c>
      <c r="S356" s="7">
        <f t="shared" ca="1" si="168"/>
        <v>92.438079246530222</v>
      </c>
      <c r="T356" s="7">
        <f t="shared" ca="1" si="168"/>
        <v>97.541441222282302</v>
      </c>
    </row>
    <row r="357" spans="1:21" x14ac:dyDescent="0.2">
      <c r="A357" s="1" t="s">
        <v>535</v>
      </c>
      <c r="B357" s="4" t="str">
        <f t="shared" si="167"/>
        <v>From Fiscal</v>
      </c>
      <c r="D357" s="15">
        <f>-'Fiscal Forecasts'!D$343</f>
        <v>3.145</v>
      </c>
      <c r="E357" s="15">
        <f>-'Fiscal Forecasts'!E$343</f>
        <v>2.58</v>
      </c>
      <c r="F357" s="16">
        <f>-'Fiscal Forecasts'!F$343</f>
        <v>4.6509999999999998</v>
      </c>
      <c r="G357" s="16">
        <f>-'Fiscal Forecasts'!G$343</f>
        <v>2.48</v>
      </c>
      <c r="H357" s="16">
        <f>-'Fiscal Forecasts'!H$343</f>
        <v>2.5339999999999998</v>
      </c>
      <c r="I357" s="16">
        <f>-'Fiscal Forecasts'!I$343</f>
        <v>2.5910000000000002</v>
      </c>
      <c r="J357" s="16">
        <f>-'Fiscal Forecasts'!J$343</f>
        <v>2.6509999999999998</v>
      </c>
      <c r="K357" s="7">
        <f t="shared" ref="K357:T357" ca="1" si="169">SUM(K$70,K$429)</f>
        <v>3.2934141056740573</v>
      </c>
      <c r="L357" s="7">
        <f t="shared" ca="1" si="169"/>
        <v>3.6026008953367308</v>
      </c>
      <c r="M357" s="7">
        <f t="shared" ca="1" si="169"/>
        <v>3.9245449198659057</v>
      </c>
      <c r="N357" s="7">
        <f t="shared" ca="1" si="169"/>
        <v>4.2640079106901903</v>
      </c>
      <c r="O357" s="7">
        <f t="shared" ca="1" si="169"/>
        <v>4.6219541135312632</v>
      </c>
      <c r="P357" s="7">
        <f t="shared" ca="1" si="169"/>
        <v>4.9965364983750309</v>
      </c>
      <c r="Q357" s="7">
        <f t="shared" ca="1" si="169"/>
        <v>5.3831533304646619</v>
      </c>
      <c r="R357" s="7">
        <f t="shared" ca="1" si="169"/>
        <v>5.7779920719109086</v>
      </c>
      <c r="S357" s="7">
        <f t="shared" ca="1" si="169"/>
        <v>6.1808496668229678</v>
      </c>
      <c r="T357" s="7">
        <f t="shared" ca="1" si="169"/>
        <v>6.5932441882894661</v>
      </c>
    </row>
    <row r="358" spans="1:21" x14ac:dyDescent="0.2">
      <c r="A358" s="1" t="s">
        <v>392</v>
      </c>
      <c r="B358" s="4" t="str">
        <f t="shared" si="167"/>
        <v>From Fiscal</v>
      </c>
      <c r="D358" s="15">
        <f>'Fiscal Forecasts'!D$344</f>
        <v>1.393</v>
      </c>
      <c r="E358" s="15">
        <f>'Fiscal Forecasts'!E$344</f>
        <v>1.546</v>
      </c>
      <c r="F358" s="16">
        <f>'Fiscal Forecasts'!F$344</f>
        <v>1.8169999999999999</v>
      </c>
      <c r="G358" s="16">
        <f>'Fiscal Forecasts'!G$344</f>
        <v>1.877</v>
      </c>
      <c r="H358" s="16">
        <f>'Fiscal Forecasts'!H$344</f>
        <v>1.9390000000000001</v>
      </c>
      <c r="I358" s="16">
        <f>'Fiscal Forecasts'!I$344</f>
        <v>2.0030000000000001</v>
      </c>
      <c r="J358" s="16">
        <f>'Fiscal Forecasts'!J$344</f>
        <v>2.0720000000000001</v>
      </c>
      <c r="K358" s="7">
        <f ca="1">SUM(K$387,K$401)</f>
        <v>3.1038862201922415</v>
      </c>
      <c r="L358" s="7">
        <f t="shared" ref="L358:T358" ca="1" si="170">SUM(L$387,L$401)</f>
        <v>3.3905075167285301</v>
      </c>
      <c r="M358" s="7">
        <f t="shared" ca="1" si="170"/>
        <v>3.6830112014150771</v>
      </c>
      <c r="N358" s="7">
        <f t="shared" ca="1" si="170"/>
        <v>3.9817299739265613</v>
      </c>
      <c r="O358" s="7">
        <f t="shared" ca="1" si="170"/>
        <v>4.2845595469667117</v>
      </c>
      <c r="P358" s="7">
        <f t="shared" ca="1" si="170"/>
        <v>4.5889894213874607</v>
      </c>
      <c r="Q358" s="7">
        <f t="shared" ca="1" si="170"/>
        <v>4.8898692746879124</v>
      </c>
      <c r="R358" s="7">
        <f t="shared" ca="1" si="170"/>
        <v>5.1870307016153401</v>
      </c>
      <c r="S358" s="7">
        <f t="shared" ca="1" si="170"/>
        <v>5.4826481587489999</v>
      </c>
      <c r="T358" s="7">
        <f t="shared" ca="1" si="170"/>
        <v>5.7768074799236793</v>
      </c>
    </row>
    <row r="359" spans="1:21" x14ac:dyDescent="0.2">
      <c r="B359" s="4"/>
    </row>
    <row r="360" spans="1:21" x14ac:dyDescent="0.2">
      <c r="A360" s="19" t="s">
        <v>223</v>
      </c>
      <c r="B360" s="4"/>
      <c r="D360" s="15"/>
      <c r="E360" s="15"/>
      <c r="F360" s="16"/>
      <c r="G360" s="16"/>
      <c r="H360" s="16"/>
      <c r="I360" s="16"/>
      <c r="J360" s="16"/>
      <c r="K360" s="16"/>
      <c r="L360" s="16"/>
      <c r="M360" s="16"/>
      <c r="N360" s="16"/>
      <c r="O360" s="16"/>
      <c r="P360" s="16"/>
      <c r="Q360" s="16"/>
      <c r="R360" s="16"/>
      <c r="S360" s="16"/>
      <c r="T360" s="16"/>
      <c r="U360" s="16"/>
    </row>
    <row r="361" spans="1:21" x14ac:dyDescent="0.2">
      <c r="A361" s="1" t="s">
        <v>612</v>
      </c>
      <c r="B361" s="4" t="str">
        <f t="shared" si="167"/>
        <v>From Fiscal</v>
      </c>
      <c r="D361" s="15">
        <f>'Fiscal Forecasts'!D$172-D$74</f>
        <v>0.96799999999999997</v>
      </c>
      <c r="E361" s="15">
        <f>'Fiscal Forecasts'!E$172-E$74</f>
        <v>1.375</v>
      </c>
      <c r="F361" s="16">
        <f>'Fiscal Forecasts'!F$172-F$74</f>
        <v>0.99300000000000033</v>
      </c>
      <c r="G361" s="16">
        <f>'Fiscal Forecasts'!G$172-G$74</f>
        <v>0.99399999999999977</v>
      </c>
      <c r="H361" s="16">
        <f>'Fiscal Forecasts'!H$172-H$74</f>
        <v>0.99400000000000155</v>
      </c>
      <c r="I361" s="16">
        <f>'Fiscal Forecasts'!I$172-I$74</f>
        <v>0.99399999999999977</v>
      </c>
      <c r="J361" s="16">
        <f>'Fiscal Forecasts'!J$172-J$74</f>
        <v>0.99399999999999977</v>
      </c>
      <c r="K361" s="7">
        <f ca="1">OFFSET(Assumptions!$B$71,0,$C$1)/SUM(OFFSET(Assumptions!$B$68,0,$C$1,6,1))*SUM(K$354,K$70,-K$322,K$429)</f>
        <v>1.0346287400640803</v>
      </c>
      <c r="L361" s="7">
        <f ca="1">OFFSET(Assumptions!$B$71,0,$C$1)/SUM(OFFSET(Assumptions!$B$68,0,$C$1,6,1))*SUM(L$354,L$70,-L$322,L$429)</f>
        <v>1.1301691722428433</v>
      </c>
      <c r="M361" s="7">
        <f ca="1">OFFSET(Assumptions!$B$71,0,$C$1)/SUM(OFFSET(Assumptions!$B$68,0,$C$1,6,1))*SUM(M$354,M$70,-M$322,M$429)</f>
        <v>1.2276704004716925</v>
      </c>
      <c r="N361" s="7">
        <f ca="1">OFFSET(Assumptions!$B$71,0,$C$1)/SUM(OFFSET(Assumptions!$B$68,0,$C$1,6,1))*SUM(N$354,N$70,-N$322,N$429)</f>
        <v>1.3272433246421871</v>
      </c>
      <c r="O361" s="7">
        <f ca="1">OFFSET(Assumptions!$B$71,0,$C$1)/SUM(OFFSET(Assumptions!$B$68,0,$C$1,6,1))*SUM(O$354,O$70,-O$322,O$429)</f>
        <v>1.4281865156555704</v>
      </c>
      <c r="P361" s="7">
        <f ca="1">OFFSET(Assumptions!$B$71,0,$C$1)/SUM(OFFSET(Assumptions!$B$68,0,$C$1,6,1))*SUM(P$354,P$70,-P$322,P$429)</f>
        <v>1.529663140462487</v>
      </c>
      <c r="Q361" s="7">
        <f ca="1">OFFSET(Assumptions!$B$71,0,$C$1)/SUM(OFFSET(Assumptions!$B$68,0,$C$1,6,1))*SUM(Q$354,Q$70,-Q$322,Q$429)</f>
        <v>1.6299564248959708</v>
      </c>
      <c r="R361" s="7">
        <f ca="1">OFFSET(Assumptions!$B$71,0,$C$1)/SUM(OFFSET(Assumptions!$B$68,0,$C$1,6,1))*SUM(R$354,R$70,-R$322,R$429)</f>
        <v>1.7290102338717801</v>
      </c>
      <c r="S361" s="7">
        <f ca="1">OFFSET(Assumptions!$B$71,0,$C$1)/SUM(OFFSET(Assumptions!$B$68,0,$C$1,6,1))*SUM(S$354,S$70,-S$322,S$429)</f>
        <v>1.8275493862496666</v>
      </c>
      <c r="T361" s="7">
        <f ca="1">OFFSET(Assumptions!$B$71,0,$C$1)/SUM(OFFSET(Assumptions!$B$68,0,$C$1,6,1))*SUM(T$354,T$70,-T$322,T$429)</f>
        <v>1.925602493307893</v>
      </c>
    </row>
    <row r="362" spans="1:21" x14ac:dyDescent="0.2">
      <c r="A362" s="1" t="s">
        <v>524</v>
      </c>
      <c r="B362" s="4"/>
      <c r="D362" s="15">
        <f t="shared" ref="D362:T362" si="171">D$376</f>
        <v>8.8639999999999972</v>
      </c>
      <c r="E362" s="15">
        <f t="shared" si="171"/>
        <v>8.9819999999999958</v>
      </c>
      <c r="F362" s="16">
        <f t="shared" si="171"/>
        <v>9.1969999999999956</v>
      </c>
      <c r="G362" s="16">
        <f t="shared" si="171"/>
        <v>9.2289999999999957</v>
      </c>
      <c r="H362" s="16">
        <f t="shared" si="171"/>
        <v>9.1779999999999955</v>
      </c>
      <c r="I362" s="16">
        <f t="shared" si="171"/>
        <v>9.0459999999999958</v>
      </c>
      <c r="J362" s="16">
        <f t="shared" si="171"/>
        <v>8.8279999999999959</v>
      </c>
      <c r="K362" s="7">
        <f t="shared" si="171"/>
        <v>8.8049999999999962</v>
      </c>
      <c r="L362" s="7">
        <f t="shared" si="171"/>
        <v>8.8079999999999981</v>
      </c>
      <c r="M362" s="7">
        <f t="shared" si="171"/>
        <v>8.8079999999999963</v>
      </c>
      <c r="N362" s="7">
        <f t="shared" si="171"/>
        <v>8.8029999999999955</v>
      </c>
      <c r="O362" s="7">
        <f t="shared" si="171"/>
        <v>8.7939999999999952</v>
      </c>
      <c r="P362" s="7">
        <f t="shared" si="171"/>
        <v>8.7939999999999952</v>
      </c>
      <c r="Q362" s="7">
        <f t="shared" si="171"/>
        <v>8.7899999999999938</v>
      </c>
      <c r="R362" s="7">
        <f t="shared" si="171"/>
        <v>8.7879999999999914</v>
      </c>
      <c r="S362" s="7">
        <f t="shared" si="171"/>
        <v>8.7829999999999906</v>
      </c>
      <c r="T362" s="7">
        <f t="shared" si="171"/>
        <v>8.7719999999999896</v>
      </c>
    </row>
    <row r="363" spans="1:21" x14ac:dyDescent="0.2">
      <c r="A363" s="1" t="s">
        <v>613</v>
      </c>
      <c r="B363" s="4"/>
      <c r="D363" s="15">
        <f t="shared" ref="D363:J363" si="172">D$74-D$376</f>
        <v>5.2760000000000034</v>
      </c>
      <c r="E363" s="15">
        <f t="shared" si="172"/>
        <v>5.6300000000000043</v>
      </c>
      <c r="F363" s="16">
        <f t="shared" si="172"/>
        <v>2.8430000000000035</v>
      </c>
      <c r="G363" s="16">
        <f t="shared" si="172"/>
        <v>3.0560000000000045</v>
      </c>
      <c r="H363" s="16">
        <f t="shared" si="172"/>
        <v>3.2560000000000038</v>
      </c>
      <c r="I363" s="16">
        <f t="shared" si="172"/>
        <v>3.3220000000000045</v>
      </c>
      <c r="J363" s="16">
        <f t="shared" si="172"/>
        <v>3.464000000000004</v>
      </c>
      <c r="K363" s="7">
        <f ca="1">(J$363/J$13+ IF(K$2&gt;0,K$2*IF(K$6=OFFSET(Assumptions!$B$8,0,$C$1),SUMPRODUCT(OFFSET(J$363,0,0,1,-OFFSET(Assumptions!$B$82,0,$C$1)),OFFSET(J$15,0,0,1,-OFFSET(Assumptions!$B$82,0,$C$1)))/OFFSET(Assumptions!$B$82,0,$C$1)-J$363/J$13,(J$363/J$13-I$363/I$13)/J$2),0))*K$13</f>
        <v>3.6215061641674042</v>
      </c>
      <c r="L363" s="7">
        <f ca="1">(K$363/K$13+ IF(L$2&gt;0,L$2*IF(L$6=OFFSET(Assumptions!$B$8,0,$C$1),SUMPRODUCT(OFFSET(K$363,0,0,1,-OFFSET(Assumptions!$B$82,0,$C$1)),OFFSET(K$15,0,0,1,-OFFSET(Assumptions!$B$82,0,$C$1)))/OFFSET(Assumptions!$B$82,0,$C$1)-K$363/K$13,(K$363/K$13-J$363/J$13)/K$2),0))*L$13</f>
        <v>3.7880280977394185</v>
      </c>
      <c r="M363" s="7">
        <f ca="1">(L$363/L$13+ IF(M$2&gt;0,M$2*IF(M$6=OFFSET(Assumptions!$B$8,0,$C$1),SUMPRODUCT(OFFSET(L$363,0,0,1,-OFFSET(Assumptions!$B$82,0,$C$1)),OFFSET(L$15,0,0,1,-OFFSET(Assumptions!$B$82,0,$C$1)))/OFFSET(Assumptions!$B$82,0,$C$1)-L$363/L$13,(L$363/L$13-K$363/K$13)/L$2),0))*M$13</f>
        <v>3.9595398863185687</v>
      </c>
      <c r="N363" s="7">
        <f ca="1">(M$363/M$13+ IF(N$2&gt;0,N$2*IF(N$6=OFFSET(Assumptions!$B$8,0,$C$1),SUMPRODUCT(OFFSET(M$363,0,0,1,-OFFSET(Assumptions!$B$82,0,$C$1)),OFFSET(M$15,0,0,1,-OFFSET(Assumptions!$B$82,0,$C$1)))/OFFSET(Assumptions!$B$82,0,$C$1)-M$363/M$13,(M$363/M$13-L$363/L$13)/M$2),0))*N$13</f>
        <v>4.1365414994442196</v>
      </c>
      <c r="O363" s="7">
        <f ca="1">(N$363/N$13+ IF(O$2&gt;0,O$2*IF(O$6=OFFSET(Assumptions!$B$8,0,$C$1),SUMPRODUCT(OFFSET(N$363,0,0,1,-OFFSET(Assumptions!$B$82,0,$C$1)),OFFSET(N$15,0,0,1,-OFFSET(Assumptions!$B$82,0,$C$1)))/OFFSET(Assumptions!$B$82,0,$C$1)-N$363/N$13,(N$363/N$13-M$363/M$13)/N$2),0))*O$13</f>
        <v>4.3174814289962269</v>
      </c>
      <c r="P363" s="7">
        <f ca="1">(O$363/O$13+ IF(P$2&gt;0,P$2*IF(P$6=OFFSET(Assumptions!$B$8,0,$C$1),SUMPRODUCT(OFFSET(O$363,0,0,1,-OFFSET(Assumptions!$B$82,0,$C$1)),OFFSET(O$15,0,0,1,-OFFSET(Assumptions!$B$82,0,$C$1)))/OFFSET(Assumptions!$B$82,0,$C$1)-O$363/O$13,(O$363/O$13-N$363/N$13)/O$2),0))*P$13</f>
        <v>4.502805225058343</v>
      </c>
      <c r="Q363" s="7">
        <f ca="1">(P$363/P$13+ IF(Q$2&gt;0,Q$2*IF(Q$6=OFFSET(Assumptions!$B$8,0,$C$1),SUMPRODUCT(OFFSET(P$363,0,0,1,-OFFSET(Assumptions!$B$82,0,$C$1)),OFFSET(P$15,0,0,1,-OFFSET(Assumptions!$B$82,0,$C$1)))/OFFSET(Assumptions!$B$82,0,$C$1)-P$363/P$13,(P$363/P$13-O$363/O$13)/P$2),0))*Q$13</f>
        <v>4.6943051158599136</v>
      </c>
      <c r="R363" s="7">
        <f ca="1">(Q$363/Q$13+ IF(R$2&gt;0,R$2*IF(R$6=OFFSET(Assumptions!$B$8,0,$C$1),SUMPRODUCT(OFFSET(Q$363,0,0,1,-OFFSET(Assumptions!$B$82,0,$C$1)),OFFSET(Q$15,0,0,1,-OFFSET(Assumptions!$B$82,0,$C$1)))/OFFSET(Assumptions!$B$82,0,$C$1)-Q$363/Q$13,(Q$363/Q$13-P$363/P$13)/Q$2),0))*R$13</f>
        <v>4.8917675624962831</v>
      </c>
      <c r="S363" s="7">
        <f ca="1">(R$363/R$13+ IF(S$2&gt;0,S$2*IF(S$6=OFFSET(Assumptions!$B$8,0,$C$1),SUMPRODUCT(OFFSET(R$363,0,0,1,-OFFSET(Assumptions!$B$82,0,$C$1)),OFFSET(R$15,0,0,1,-OFFSET(Assumptions!$B$82,0,$C$1)))/OFFSET(Assumptions!$B$82,0,$C$1)-R$363/R$13,(R$363/R$13-Q$363/Q$13)/R$2),0))*S$13</f>
        <v>5.0960888955151562</v>
      </c>
      <c r="T363" s="7">
        <f ca="1">(S$363/S$13+ IF(T$2&gt;0,T$2*IF(T$6=OFFSET(Assumptions!$B$8,0,$C$1),SUMPRODUCT(OFFSET(S$363,0,0,1,-OFFSET(Assumptions!$B$82,0,$C$1)),OFFSET(S$15,0,0,1,-OFFSET(Assumptions!$B$82,0,$C$1)))/OFFSET(Assumptions!$B$82,0,$C$1)-S$363/S$13,(S$363/S$13-R$363/R$13)/S$2),0))*T$13</f>
        <v>5.3069518101121123</v>
      </c>
    </row>
    <row r="364" spans="1:21" ht="15" x14ac:dyDescent="0.25">
      <c r="A364" s="2" t="s">
        <v>614</v>
      </c>
      <c r="B364" s="4"/>
      <c r="D364" s="35">
        <f t="shared" ref="D364:T364" si="173">SUM(D$361:D$363)</f>
        <v>15.108000000000001</v>
      </c>
      <c r="E364" s="35">
        <f t="shared" si="173"/>
        <v>15.987</v>
      </c>
      <c r="F364" s="34">
        <f t="shared" si="173"/>
        <v>13.032999999999999</v>
      </c>
      <c r="G364" s="34">
        <f t="shared" si="173"/>
        <v>13.279</v>
      </c>
      <c r="H364" s="34">
        <f t="shared" si="173"/>
        <v>13.428000000000001</v>
      </c>
      <c r="I364" s="34">
        <f t="shared" si="173"/>
        <v>13.362</v>
      </c>
      <c r="J364" s="34">
        <f t="shared" si="173"/>
        <v>13.286</v>
      </c>
      <c r="K364" s="38">
        <f t="shared" ca="1" si="173"/>
        <v>13.461134904231482</v>
      </c>
      <c r="L364" s="38">
        <f t="shared" ca="1" si="173"/>
        <v>13.72619726998226</v>
      </c>
      <c r="M364" s="38">
        <f t="shared" ca="1" si="173"/>
        <v>13.995210286790257</v>
      </c>
      <c r="N364" s="38">
        <f t="shared" ca="1" si="173"/>
        <v>14.266784824086404</v>
      </c>
      <c r="O364" s="38">
        <f t="shared" ca="1" si="173"/>
        <v>14.539667944651793</v>
      </c>
      <c r="P364" s="38">
        <f t="shared" ca="1" si="173"/>
        <v>14.826468365520824</v>
      </c>
      <c r="Q364" s="38">
        <f t="shared" ca="1" si="173"/>
        <v>15.114261540755878</v>
      </c>
      <c r="R364" s="38">
        <f t="shared" ca="1" si="173"/>
        <v>15.408777796368053</v>
      </c>
      <c r="S364" s="38">
        <f t="shared" ca="1" si="173"/>
        <v>15.706638281764814</v>
      </c>
      <c r="T364" s="38">
        <f t="shared" ca="1" si="173"/>
        <v>16.004554303419994</v>
      </c>
    </row>
    <row r="365" spans="1:21" x14ac:dyDescent="0.2">
      <c r="A365" s="1" t="s">
        <v>616</v>
      </c>
      <c r="B365" s="4" t="str">
        <f>$B$38</f>
        <v>From Fiscal</v>
      </c>
      <c r="D365" s="15">
        <f>'Fiscal Forecasts'!D$302</f>
        <v>15.598000000000001</v>
      </c>
      <c r="E365" s="15">
        <f>'Fiscal Forecasts'!E$302</f>
        <v>16.689</v>
      </c>
      <c r="F365" s="16">
        <f>'Fiscal Forecasts'!F$302</f>
        <v>17.716000000000001</v>
      </c>
      <c r="G365" s="16">
        <f>'Fiscal Forecasts'!G$302</f>
        <v>18.891999999999999</v>
      </c>
      <c r="H365" s="16">
        <f>'Fiscal Forecasts'!H$302</f>
        <v>19.992000000000001</v>
      </c>
      <c r="I365" s="16">
        <f>'Fiscal Forecasts'!I$302</f>
        <v>21.091999999999999</v>
      </c>
      <c r="J365" s="16">
        <f>'Fiscal Forecasts'!J$302</f>
        <v>22.192</v>
      </c>
      <c r="K365" s="7">
        <f ca="1">IF(K$6=OFFSET(Assumptions!$B$8,0,$C$1),AVERAGE(H$365/H$13,I$365/I$13,J$365/J$13),J$365/J$13)*K$13</f>
        <v>22.92066168963834</v>
      </c>
      <c r="L365" s="7">
        <f ca="1">IF(L$6=OFFSET(Assumptions!$B$8,0,$C$1),AVERAGE(I$365/I$13,J$365/J$13,K$365/K$13),K$365/K$13)*L$13</f>
        <v>23.926269747367364</v>
      </c>
      <c r="M365" s="7">
        <f ca="1">IF(M$6=OFFSET(Assumptions!$B$8,0,$C$1),AVERAGE(J$365/J$13,K$365/K$13,L$365/L$13),L$365/L$13)*M$13</f>
        <v>24.971842874738833</v>
      </c>
      <c r="N365" s="7">
        <f ca="1">IF(N$6=OFFSET(Assumptions!$B$8,0,$C$1),AVERAGE(K$365/K$13,L$365/L$13,M$365/M$13),M$365/M$13)*N$13</f>
        <v>26.061926714378789</v>
      </c>
      <c r="O365" s="7">
        <f ca="1">IF(O$6=OFFSET(Assumptions!$B$8,0,$C$1),AVERAGE(L$365/L$13,M$365/M$13,N$365/N$13),N$365/N$13)*O$13</f>
        <v>27.188259556785514</v>
      </c>
      <c r="P365" s="7">
        <f ca="1">IF(P$6=OFFSET(Assumptions!$B$8,0,$C$1),AVERAGE(M$365/M$13,N$365/N$13,O$365/O$13),O$365/O$13)*P$13</f>
        <v>28.355289815571602</v>
      </c>
      <c r="Q365" s="7">
        <f ca="1">IF(Q$6=OFFSET(Assumptions!$B$8,0,$C$1),AVERAGE(N$365/N$13,O$365/O$13,P$365/P$13),P$365/P$13)*Q$13</f>
        <v>29.561212486423635</v>
      </c>
      <c r="R365" s="7">
        <f ca="1">IF(R$6=OFFSET(Assumptions!$B$8,0,$C$1),AVERAGE(O$365/O$13,P$365/P$13,Q$365/Q$13),Q$365/Q$13)*R$13</f>
        <v>30.804682861492669</v>
      </c>
      <c r="S365" s="7">
        <f ca="1">IF(S$6=OFFSET(Assumptions!$B$8,0,$C$1),AVERAGE(P$365/P$13,Q$365/Q$13,R$365/R$13),R$365/R$13)*S$13</f>
        <v>32.091345358243018</v>
      </c>
      <c r="T365" s="7">
        <f ca="1">IF(T$6=OFFSET(Assumptions!$B$8,0,$C$1),AVERAGE(Q$365/Q$13,R$365/R$13,S$365/S$13),S$365/S$13)*T$13</f>
        <v>33.419201829022377</v>
      </c>
    </row>
    <row r="366" spans="1:21" x14ac:dyDescent="0.2">
      <c r="A366" s="1" t="s">
        <v>617</v>
      </c>
      <c r="B366" s="4" t="str">
        <f>$B$38</f>
        <v>From Fiscal</v>
      </c>
      <c r="D366" s="15">
        <f>'Fiscal Forecasts'!D$119-SUM(D$364:D$365)</f>
        <v>-4.2090000000000032</v>
      </c>
      <c r="E366" s="15">
        <f>'Fiscal Forecasts'!E$119-SUM(E$364:E$365)</f>
        <v>-4.4420000000000002</v>
      </c>
      <c r="F366" s="16">
        <f>'Fiscal Forecasts'!F$119-SUM(F$364:F$365)</f>
        <v>-2.1090000000000018</v>
      </c>
      <c r="G366" s="16">
        <f>'Fiscal Forecasts'!G$119-SUM(G$364:G$365)</f>
        <v>-2.1289999999999978</v>
      </c>
      <c r="H366" s="16">
        <f>'Fiscal Forecasts'!H$119-SUM(H$364:H$365)</f>
        <v>-2.1300000000000026</v>
      </c>
      <c r="I366" s="16">
        <f>'Fiscal Forecasts'!I$119-SUM(I$364:I$365)</f>
        <v>-2.0429999999999993</v>
      </c>
      <c r="J366" s="16">
        <f>'Fiscal Forecasts'!J$119-SUM(J$364:J$365)</f>
        <v>-2.142000000000003</v>
      </c>
      <c r="K366" s="7">
        <f ca="1">IF(K$6=OFFSET(Assumptions!$B$8,0,$C$1),AVERAGE(H$366/H$363,I$366/I$363,J$366/J$363),J$366/J$363)*K$363</f>
        <v>-2.2785649441563836</v>
      </c>
      <c r="L366" s="7">
        <f ca="1">IF(L$6=OFFSET(Assumptions!$B$8,0,$C$1),AVERAGE(I$366/I$363,J$366/J$363,K$366/K$363),K$366/K$363)*L$363</f>
        <v>-2.3833365565933766</v>
      </c>
      <c r="M366" s="7">
        <f ca="1">IF(M$6=OFFSET(Assumptions!$B$8,0,$C$1),AVERAGE(J$366/J$363,K$366/K$363,L$366/L$363),L$366/L$363)*M$363</f>
        <v>-2.4912476662948451</v>
      </c>
      <c r="N366" s="7">
        <f ca="1">IF(N$6=OFFSET(Assumptions!$B$8,0,$C$1),AVERAGE(K$366/K$363,L$366/L$363,M$366/M$363),M$366/M$363)*N$363</f>
        <v>-2.6026128421207879</v>
      </c>
      <c r="O366" s="7">
        <f ca="1">IF(O$6=OFFSET(Assumptions!$B$8,0,$C$1),AVERAGE(L$366/L$363,M$366/M$363,N$366/N$363),N$366/N$363)*O$363</f>
        <v>-2.7164559123203147</v>
      </c>
      <c r="P366" s="7">
        <f ca="1">IF(P$6=OFFSET(Assumptions!$B$8,0,$C$1),AVERAGE(M$366/M$363,N$366/N$363,O$366/O$363),O$366/O$363)*P$363</f>
        <v>-2.833057206335289</v>
      </c>
      <c r="Q366" s="7">
        <f ca="1">IF(Q$6=OFFSET(Assumptions!$B$8,0,$C$1),AVERAGE(N$366/N$363,O$366/O$363,P$366/P$363),P$366/P$363)*Q$363</f>
        <v>-2.953544351244112</v>
      </c>
      <c r="R366" s="7">
        <f ca="1">IF(R$6=OFFSET(Assumptions!$B$8,0,$C$1),AVERAGE(O$366/O$363,P$366/P$363,Q$366/Q$363),Q$366/Q$363)*R$363</f>
        <v>-3.0777829934821885</v>
      </c>
      <c r="S366" s="7">
        <f ca="1">IF(S$6=OFFSET(Assumptions!$B$8,0,$C$1),AVERAGE(P$366/P$363,Q$366/Q$363,R$366/R$363),R$366/R$363)*S$363</f>
        <v>-3.206337082763199</v>
      </c>
      <c r="T366" s="7">
        <f ca="1">IF(T$6=OFFSET(Assumptions!$B$8,0,$C$1),AVERAGE(Q$366/Q$363,R$366/R$363,S$366/S$363),S$366/S$363)*T$363</f>
        <v>-3.3390069785035879</v>
      </c>
    </row>
    <row r="367" spans="1:21" ht="15" x14ac:dyDescent="0.25">
      <c r="A367" s="2" t="s">
        <v>615</v>
      </c>
      <c r="D367" s="35">
        <f t="shared" ref="D367:T367" si="174">SUM(D$364:D$366)</f>
        <v>26.497</v>
      </c>
      <c r="E367" s="35">
        <f t="shared" si="174"/>
        <v>28.234000000000002</v>
      </c>
      <c r="F367" s="34">
        <f t="shared" si="174"/>
        <v>28.64</v>
      </c>
      <c r="G367" s="34">
        <f t="shared" si="174"/>
        <v>30.042000000000002</v>
      </c>
      <c r="H367" s="34">
        <f t="shared" si="174"/>
        <v>31.29</v>
      </c>
      <c r="I367" s="34">
        <f t="shared" si="174"/>
        <v>32.411000000000001</v>
      </c>
      <c r="J367" s="34">
        <f t="shared" si="174"/>
        <v>33.335999999999999</v>
      </c>
      <c r="K367" s="38">
        <f t="shared" ca="1" si="174"/>
        <v>34.103231649713436</v>
      </c>
      <c r="L367" s="38">
        <f t="shared" ca="1" si="174"/>
        <v>35.269130460756244</v>
      </c>
      <c r="M367" s="38">
        <f t="shared" ca="1" si="174"/>
        <v>36.475805495234248</v>
      </c>
      <c r="N367" s="38">
        <f t="shared" ca="1" si="174"/>
        <v>37.726098696344408</v>
      </c>
      <c r="O367" s="38">
        <f t="shared" ca="1" si="174"/>
        <v>39.011471589116994</v>
      </c>
      <c r="P367" s="38">
        <f t="shared" ca="1" si="174"/>
        <v>40.348700974757136</v>
      </c>
      <c r="Q367" s="38">
        <f t="shared" ca="1" si="174"/>
        <v>41.721929675935399</v>
      </c>
      <c r="R367" s="38">
        <f t="shared" ca="1" si="174"/>
        <v>43.135677664378534</v>
      </c>
      <c r="S367" s="38">
        <f t="shared" ca="1" si="174"/>
        <v>44.59164655724463</v>
      </c>
      <c r="T367" s="38">
        <f t="shared" ca="1" si="174"/>
        <v>46.08474915393878</v>
      </c>
    </row>
    <row r="368" spans="1:21" ht="15" x14ac:dyDescent="0.25">
      <c r="A368" s="2"/>
      <c r="D368" s="47"/>
      <c r="E368" s="47"/>
      <c r="F368" s="48"/>
      <c r="G368" s="48"/>
      <c r="H368" s="48"/>
      <c r="I368" s="48"/>
      <c r="J368" s="48"/>
      <c r="K368" s="48"/>
      <c r="L368" s="48"/>
      <c r="M368" s="48"/>
      <c r="N368" s="48"/>
      <c r="O368" s="48"/>
      <c r="P368" s="48"/>
      <c r="Q368" s="48"/>
      <c r="R368" s="48"/>
      <c r="S368" s="48"/>
      <c r="T368" s="48"/>
    </row>
    <row r="369" spans="1:20" x14ac:dyDescent="0.2">
      <c r="A369" s="19" t="s">
        <v>524</v>
      </c>
    </row>
    <row r="370" spans="1:20" x14ac:dyDescent="0.2">
      <c r="A370" s="1" t="s">
        <v>958</v>
      </c>
      <c r="B370" s="4" t="str">
        <f t="shared" ref="B370:B375" si="175">$B$38</f>
        <v>From Fiscal</v>
      </c>
      <c r="D370" s="15">
        <f>'Fiscal Forecasts'!D$304</f>
        <v>1.518</v>
      </c>
      <c r="E370" s="15">
        <f>'Fiscal Forecasts'!E$304</f>
        <v>1.512</v>
      </c>
      <c r="F370" s="16">
        <f>'Fiscal Forecasts'!F$304</f>
        <v>1.4930000000000001</v>
      </c>
      <c r="G370" s="16">
        <f>'Fiscal Forecasts'!G$304</f>
        <v>1.5329999999999999</v>
      </c>
      <c r="H370" s="16">
        <f>'Fiscal Forecasts'!H$304</f>
        <v>1.544</v>
      </c>
      <c r="I370" s="16">
        <f>'Fiscal Forecasts'!I$304</f>
        <v>1.5569999999999999</v>
      </c>
      <c r="J370" s="16">
        <f>'Fiscal Forecasts'!J$304</f>
        <v>1.579</v>
      </c>
      <c r="K370" s="7">
        <f>Exogenous!R$14</f>
        <v>1.6120000000000001</v>
      </c>
      <c r="L370" s="7">
        <f>Exogenous!S$14</f>
        <v>1.649</v>
      </c>
      <c r="M370" s="7">
        <f>Exogenous!T$14</f>
        <v>1.69</v>
      </c>
      <c r="N370" s="7">
        <f>Exogenous!U$14</f>
        <v>1.7330000000000001</v>
      </c>
      <c r="O370" s="7">
        <f>Exogenous!V$14</f>
        <v>1.7769999999999999</v>
      </c>
      <c r="P370" s="7">
        <f>Exogenous!W$14</f>
        <v>1.8260000000000001</v>
      </c>
      <c r="Q370" s="7">
        <f>Exogenous!X$14</f>
        <v>1.8759999999999999</v>
      </c>
      <c r="R370" s="7">
        <f>Exogenous!Y$14</f>
        <v>1.9239999999999999</v>
      </c>
      <c r="S370" s="7">
        <f>Exogenous!Z$14</f>
        <v>1.9710000000000001</v>
      </c>
      <c r="T370" s="7">
        <f>Exogenous!AA$14</f>
        <v>2.0169999999999999</v>
      </c>
    </row>
    <row r="371" spans="1:20" x14ac:dyDescent="0.2">
      <c r="A371" s="1" t="s">
        <v>960</v>
      </c>
      <c r="B371" s="4" t="str">
        <f t="shared" si="175"/>
        <v>From Fiscal</v>
      </c>
      <c r="D371" s="15">
        <f>'Fiscal Forecasts'!D$305</f>
        <v>1.0999999999999999E-2</v>
      </c>
      <c r="E371" s="15">
        <f>'Fiscal Forecasts'!E$305</f>
        <v>0.01</v>
      </c>
      <c r="F371" s="16">
        <f>'Fiscal Forecasts'!F$305</f>
        <v>-7.0000000000000001E-3</v>
      </c>
      <c r="G371" s="16">
        <f>'Fiscal Forecasts'!G$305</f>
        <v>0.01</v>
      </c>
      <c r="H371" s="16">
        <f>'Fiscal Forecasts'!H$305</f>
        <v>0.01</v>
      </c>
      <c r="I371" s="16">
        <f>'Fiscal Forecasts'!I$305</f>
        <v>0.01</v>
      </c>
      <c r="J371" s="16">
        <f>'Fiscal Forecasts'!J$305</f>
        <v>1.0999999999999999E-2</v>
      </c>
      <c r="K371" s="7">
        <f>Exogenous!R$15</f>
        <v>9.0000000000000011E-3</v>
      </c>
      <c r="L371" s="7">
        <f>Exogenous!S$15</f>
        <v>1.2E-2</v>
      </c>
      <c r="M371" s="7">
        <f>Exogenous!T$15</f>
        <v>0.01</v>
      </c>
      <c r="N371" s="7">
        <f>Exogenous!U$15</f>
        <v>0.01</v>
      </c>
      <c r="O371" s="7">
        <f>Exogenous!V$15</f>
        <v>0.01</v>
      </c>
      <c r="P371" s="7">
        <f>Exogenous!W$15</f>
        <v>0.01</v>
      </c>
      <c r="Q371" s="7">
        <f>Exogenous!X$15</f>
        <v>1.0999999999999999E-2</v>
      </c>
      <c r="R371" s="7">
        <f>Exogenous!Y$15</f>
        <v>1.0999999999999999E-2</v>
      </c>
      <c r="S371" s="7">
        <f>Exogenous!Z$15</f>
        <v>1.0999999999999999E-2</v>
      </c>
      <c r="T371" s="7">
        <f>Exogenous!AA$15</f>
        <v>1.0999999999999999E-2</v>
      </c>
    </row>
    <row r="372" spans="1:20" x14ac:dyDescent="0.2">
      <c r="A372" s="1" t="s">
        <v>370</v>
      </c>
      <c r="B372" s="4" t="str">
        <f t="shared" si="175"/>
        <v>From Fiscal</v>
      </c>
      <c r="D372" s="15">
        <f>-'Fiscal Forecasts'!D$306</f>
        <v>0.60199999999999998</v>
      </c>
      <c r="E372" s="15">
        <f>-'Fiscal Forecasts'!E$306</f>
        <v>0.65900000000000003</v>
      </c>
      <c r="F372" s="16">
        <f>-'Fiscal Forecasts'!F$306</f>
        <v>0.66200000000000003</v>
      </c>
      <c r="G372" s="16">
        <f>-'Fiscal Forecasts'!G$306</f>
        <v>0.67</v>
      </c>
      <c r="H372" s="16">
        <f>-'Fiscal Forecasts'!H$306</f>
        <v>0.66900000000000004</v>
      </c>
      <c r="I372" s="16">
        <f>-'Fiscal Forecasts'!I$306</f>
        <v>0.67400000000000004</v>
      </c>
      <c r="J372" s="16">
        <f>-'Fiscal Forecasts'!J$306</f>
        <v>0.68300000000000005</v>
      </c>
      <c r="K372" s="7">
        <f>Exogenous!R$16</f>
        <v>0.66800000000000004</v>
      </c>
      <c r="L372" s="7">
        <f>Exogenous!S$16</f>
        <v>0.68799999999999994</v>
      </c>
      <c r="M372" s="7">
        <f>Exogenous!T$16</f>
        <v>0.70699999999999996</v>
      </c>
      <c r="N372" s="7">
        <f>Exogenous!U$16</f>
        <v>0.72699999999999998</v>
      </c>
      <c r="O372" s="7">
        <f>Exogenous!V$16</f>
        <v>0.74399999999999999</v>
      </c>
      <c r="P372" s="7">
        <f>Exogenous!W$16</f>
        <v>0.76400000000000001</v>
      </c>
      <c r="Q372" s="7">
        <f>Exogenous!X$16</f>
        <v>0.78400000000000003</v>
      </c>
      <c r="R372" s="7">
        <f>Exogenous!Y$16</f>
        <v>0.8</v>
      </c>
      <c r="S372" s="7">
        <f>Exogenous!Z$16</f>
        <v>0.81599999999999995</v>
      </c>
      <c r="T372" s="7">
        <f>Exogenous!AA$16</f>
        <v>0.83299999999999996</v>
      </c>
    </row>
    <row r="373" spans="1:20" x14ac:dyDescent="0.2">
      <c r="A373" s="1" t="s">
        <v>532</v>
      </c>
      <c r="B373" s="4" t="str">
        <f t="shared" si="175"/>
        <v>From Fiscal</v>
      </c>
      <c r="D373" s="15">
        <f>-'Fiscal Forecasts'!D$307</f>
        <v>1.1140000000000001</v>
      </c>
      <c r="E373" s="15">
        <f>-'Fiscal Forecasts'!E$307</f>
        <v>1.208</v>
      </c>
      <c r="F373" s="16">
        <f>-'Fiscal Forecasts'!F$307</f>
        <v>1.2729999999999999</v>
      </c>
      <c r="G373" s="16">
        <f>-'Fiscal Forecasts'!G$307</f>
        <v>1.3360000000000001</v>
      </c>
      <c r="H373" s="16">
        <f>-'Fiscal Forecasts'!H$307</f>
        <v>1.427</v>
      </c>
      <c r="I373" s="16">
        <f>-'Fiscal Forecasts'!I$307</f>
        <v>1.5089999999999999</v>
      </c>
      <c r="J373" s="16">
        <f>-'Fiscal Forecasts'!J$307</f>
        <v>1.5960000000000001</v>
      </c>
      <c r="K373" s="7">
        <f>Exogenous!R$17</f>
        <v>1.5509999999999999</v>
      </c>
      <c r="L373" s="7">
        <f>Exogenous!S$17</f>
        <v>1.5489999999999999</v>
      </c>
      <c r="M373" s="7">
        <f>Exogenous!T$17</f>
        <v>1.5780000000000001</v>
      </c>
      <c r="N373" s="7">
        <f>Exogenous!U$17</f>
        <v>1.6120000000000001</v>
      </c>
      <c r="O373" s="7">
        <f>Exogenous!V$17</f>
        <v>1.649</v>
      </c>
      <c r="P373" s="7">
        <f>Exogenous!W$17</f>
        <v>1.675</v>
      </c>
      <c r="Q373" s="7">
        <f>Exogenous!X$17</f>
        <v>1.716</v>
      </c>
      <c r="R373" s="7">
        <f>Exogenous!Y$17</f>
        <v>1.7529999999999999</v>
      </c>
      <c r="S373" s="7">
        <f>Exogenous!Z$17</f>
        <v>1.7929999999999999</v>
      </c>
      <c r="T373" s="7">
        <f>Exogenous!AA$17</f>
        <v>1.833</v>
      </c>
    </row>
    <row r="374" spans="1:20" x14ac:dyDescent="0.2">
      <c r="A374" s="1" t="s">
        <v>89</v>
      </c>
      <c r="B374" s="4" t="str">
        <f t="shared" si="175"/>
        <v>From Fiscal</v>
      </c>
      <c r="D374" s="15">
        <f>'Fiscal Forecasts'!D$308</f>
        <v>0.60399999999999998</v>
      </c>
      <c r="E374" s="15">
        <f>'Fiscal Forecasts'!E$308</f>
        <v>0.60299999999999998</v>
      </c>
      <c r="F374" s="16">
        <f>'Fiscal Forecasts'!F$308</f>
        <v>0.60199999999999998</v>
      </c>
      <c r="G374" s="16">
        <f>'Fiscal Forecasts'!G$308</f>
        <v>0.59499999999999997</v>
      </c>
      <c r="H374" s="16">
        <f>'Fiscal Forecasts'!H$308</f>
        <v>0.59099999999999997</v>
      </c>
      <c r="I374" s="16">
        <f>'Fiscal Forecasts'!I$308</f>
        <v>0.58399999999999996</v>
      </c>
      <c r="J374" s="16">
        <f>'Fiscal Forecasts'!J$308</f>
        <v>0.57099999999999995</v>
      </c>
      <c r="K374" s="7">
        <f>Exogenous!R$18</f>
        <v>0.57499999999999996</v>
      </c>
      <c r="L374" s="7">
        <f>Exogenous!S$18</f>
        <v>0.57899999999999996</v>
      </c>
      <c r="M374" s="7">
        <f>Exogenous!T$18</f>
        <v>0.58499999999999996</v>
      </c>
      <c r="N374" s="7">
        <f>Exogenous!U$18</f>
        <v>0.59099999999999997</v>
      </c>
      <c r="O374" s="7">
        <f>Exogenous!V$18</f>
        <v>0.59699999999999998</v>
      </c>
      <c r="P374" s="7">
        <f>Exogenous!W$18</f>
        <v>0.60299999999999998</v>
      </c>
      <c r="Q374" s="7">
        <f>Exogenous!X$18</f>
        <v>0.60899999999999999</v>
      </c>
      <c r="R374" s="7">
        <f>Exogenous!Y$18</f>
        <v>0.61599999999999999</v>
      </c>
      <c r="S374" s="7">
        <f>Exogenous!Z$18</f>
        <v>0.622</v>
      </c>
      <c r="T374" s="7">
        <f>Exogenous!AA$18</f>
        <v>0.627</v>
      </c>
    </row>
    <row r="375" spans="1:20" x14ac:dyDescent="0.2">
      <c r="A375" s="1" t="s">
        <v>533</v>
      </c>
      <c r="B375" s="4" t="str">
        <f t="shared" si="175"/>
        <v>From Fiscal</v>
      </c>
      <c r="D375" s="15">
        <f>-'Fiscal Forecasts'!D$309</f>
        <v>0.26900000000000002</v>
      </c>
      <c r="E375" s="15">
        <f>-'Fiscal Forecasts'!E$309</f>
        <v>0.14000000000000001</v>
      </c>
      <c r="F375" s="16">
        <f>-'Fiscal Forecasts'!F$309</f>
        <v>-6.2E-2</v>
      </c>
      <c r="G375" s="16">
        <f>-'Fiscal Forecasts'!G$309</f>
        <v>0.1</v>
      </c>
      <c r="H375" s="16">
        <f>-'Fiscal Forecasts'!H$309</f>
        <v>0.1</v>
      </c>
      <c r="I375" s="16">
        <f>-'Fiscal Forecasts'!I$309</f>
        <v>0.1</v>
      </c>
      <c r="J375" s="16">
        <f>-'Fiscal Forecasts'!J$309</f>
        <v>0.1</v>
      </c>
      <c r="K375" s="7">
        <f>Exogenous!R$19</f>
        <v>0</v>
      </c>
      <c r="L375" s="7">
        <f>Exogenous!S$19</f>
        <v>0</v>
      </c>
      <c r="M375" s="7">
        <f>Exogenous!T$19</f>
        <v>0</v>
      </c>
      <c r="N375" s="7">
        <f>Exogenous!U$19</f>
        <v>0</v>
      </c>
      <c r="O375" s="7">
        <f>Exogenous!V$19</f>
        <v>0</v>
      </c>
      <c r="P375" s="7">
        <f>Exogenous!W$19</f>
        <v>0</v>
      </c>
      <c r="Q375" s="7">
        <f>Exogenous!X$19</f>
        <v>0</v>
      </c>
      <c r="R375" s="7">
        <f>Exogenous!Y$19</f>
        <v>0</v>
      </c>
      <c r="S375" s="7">
        <f>Exogenous!Z$19</f>
        <v>0</v>
      </c>
      <c r="T375" s="7">
        <f>Exogenous!AA$19</f>
        <v>0</v>
      </c>
    </row>
    <row r="376" spans="1:20" ht="15" x14ac:dyDescent="0.25">
      <c r="A376" s="2" t="s">
        <v>525</v>
      </c>
      <c r="C376" s="61">
        <f>'Fiscal Forecasts'!C$301</f>
        <v>8.7159999999999993</v>
      </c>
      <c r="D376" s="35">
        <f t="shared" ref="D376:I376" si="176">SUM(C$376,D$370,D$371,-D$372,-D$373,D$374,-D$375)</f>
        <v>8.8639999999999972</v>
      </c>
      <c r="E376" s="35">
        <f t="shared" si="176"/>
        <v>8.9819999999999958</v>
      </c>
      <c r="F376" s="34">
        <f t="shared" si="176"/>
        <v>9.1969999999999956</v>
      </c>
      <c r="G376" s="34">
        <f t="shared" si="176"/>
        <v>9.2289999999999957</v>
      </c>
      <c r="H376" s="34">
        <f t="shared" si="176"/>
        <v>9.1779999999999955</v>
      </c>
      <c r="I376" s="34">
        <f t="shared" si="176"/>
        <v>9.0459999999999958</v>
      </c>
      <c r="J376" s="34">
        <f>SUM(I$376,J$370,J$371,-J$372,-J$373,J$374,-J$375)</f>
        <v>8.8279999999999959</v>
      </c>
      <c r="K376" s="38">
        <f>SUM(J$376,K$370,K$371,-K$372,-K$373,K$374,-K$375)</f>
        <v>8.8049999999999962</v>
      </c>
      <c r="L376" s="38">
        <f t="shared" ref="L376:T376" si="177">SUM(K$376,L$370,L$371,-L$372,-L$373,L$374,-L$375)</f>
        <v>8.8079999999999981</v>
      </c>
      <c r="M376" s="38">
        <f t="shared" si="177"/>
        <v>8.8079999999999963</v>
      </c>
      <c r="N376" s="38">
        <f t="shared" si="177"/>
        <v>8.8029999999999955</v>
      </c>
      <c r="O376" s="38">
        <f t="shared" si="177"/>
        <v>8.7939999999999952</v>
      </c>
      <c r="P376" s="38">
        <f t="shared" si="177"/>
        <v>8.7939999999999952</v>
      </c>
      <c r="Q376" s="38">
        <f t="shared" si="177"/>
        <v>8.7899999999999938</v>
      </c>
      <c r="R376" s="38">
        <f t="shared" si="177"/>
        <v>8.7879999999999914</v>
      </c>
      <c r="S376" s="38">
        <f t="shared" si="177"/>
        <v>8.7829999999999906</v>
      </c>
      <c r="T376" s="38">
        <f t="shared" si="177"/>
        <v>8.7719999999999896</v>
      </c>
    </row>
    <row r="377" spans="1:20" ht="15" x14ac:dyDescent="0.25">
      <c r="A377" s="2"/>
      <c r="D377" s="47"/>
      <c r="E377" s="47"/>
      <c r="F377" s="48"/>
      <c r="G377" s="48"/>
      <c r="H377" s="48"/>
      <c r="I377" s="48"/>
      <c r="J377" s="48"/>
      <c r="K377" s="49"/>
      <c r="L377" s="49"/>
      <c r="M377" s="49"/>
      <c r="N377" s="49"/>
      <c r="O377" s="49"/>
      <c r="P377" s="49"/>
      <c r="Q377" s="49"/>
      <c r="R377" s="49"/>
      <c r="S377" s="49"/>
      <c r="T377" s="49"/>
    </row>
    <row r="378" spans="1:20" x14ac:dyDescent="0.2">
      <c r="A378" s="19" t="s">
        <v>224</v>
      </c>
    </row>
    <row r="379" spans="1:20" ht="15" x14ac:dyDescent="0.25">
      <c r="A379" s="2" t="s">
        <v>618</v>
      </c>
      <c r="B379" s="4" t="str">
        <f>$B$38</f>
        <v>From Fiscal</v>
      </c>
      <c r="D379" s="40">
        <f>ROUND('Fiscal Forecasts'!D$176*D$380/SUM(D$380,D$384),3)</f>
        <v>0.45500000000000002</v>
      </c>
      <c r="E379" s="40">
        <f>ROUND('Fiscal Forecasts'!E$176*E$380/SUM(E$380,E$384),3)</f>
        <v>0.47799999999999998</v>
      </c>
      <c r="F379" s="39">
        <f>ROUND('Fiscal Forecasts'!F$176*F$380/SUM(F$380,F$384),3)</f>
        <v>0.5</v>
      </c>
      <c r="G379" s="39">
        <f>ROUND('Fiscal Forecasts'!G$176*G$380/SUM(G$380,G$384),3)</f>
        <v>0.48799999999999999</v>
      </c>
      <c r="H379" s="39">
        <f>ROUND('Fiscal Forecasts'!H$176*H$380/SUM(H$380,H$384),3)</f>
        <v>0.49199999999999999</v>
      </c>
      <c r="I379" s="39">
        <f>ROUND('Fiscal Forecasts'!I$176*I$380/SUM(I$380,I$384),3)</f>
        <v>0.48899999999999999</v>
      </c>
      <c r="J379" s="39">
        <f>ROUND('Fiscal Forecasts'!J$176*J$380/SUM(J$380,J$384),3)</f>
        <v>0.498</v>
      </c>
      <c r="K379" s="8">
        <f ca="1">(J$379/J$13+ IF(K$2&gt;0,K$2*IF(K$6=OFFSET(Assumptions!$B$8,0,$C$1),SUMPRODUCT(OFFSET(J$379,0,0,1,-OFFSET(Assumptions!$B$82,0,$C$1)),OFFSET(J$15,0,0,1,-OFFSET(Assumptions!$B$82,0,$C$1)))/OFFSET(Assumptions!$B$82,0,$C$1)-J$379/J$13,(J$379/J$13-I$379/I$13)/J$2),0))*K$13</f>
        <v>0.52503940050885056</v>
      </c>
      <c r="L379" s="8">
        <f ca="1">(K$379/K$13+ IF(L$2&gt;0,L$2*IF(L$6=OFFSET(Assumptions!$B$8,0,$C$1),SUMPRODUCT(OFFSET(K$379,0,0,1,-OFFSET(Assumptions!$B$82,0,$C$1)),OFFSET(K$15,0,0,1,-OFFSET(Assumptions!$B$82,0,$C$1)))/OFFSET(Assumptions!$B$82,0,$C$1)-K$379/K$13,(K$379/K$13-J$379/J$13)/K$2),0))*L$13</f>
        <v>0.55284295616799661</v>
      </c>
      <c r="M379" s="8">
        <f ca="1">(L$379/L$13+ IF(M$2&gt;0,M$2*IF(M$6=OFFSET(Assumptions!$B$8,0,$C$1),SUMPRODUCT(OFFSET(L$379,0,0,1,-OFFSET(Assumptions!$B$82,0,$C$1)),OFFSET(L$15,0,0,1,-OFFSET(Assumptions!$B$82,0,$C$1)))/OFFSET(Assumptions!$B$82,0,$C$1)-L$379/L$13,(L$379/L$13-K$379/K$13)/L$2),0))*M$13</f>
        <v>0.58073456757005393</v>
      </c>
      <c r="N379" s="8">
        <f ca="1">(M$379/M$13+ IF(N$2&gt;0,N$2*IF(N$6=OFFSET(Assumptions!$B$8,0,$C$1),SUMPRODUCT(OFFSET(M$379,0,0,1,-OFFSET(Assumptions!$B$82,0,$C$1)),OFFSET(M$15,0,0,1,-OFFSET(Assumptions!$B$82,0,$C$1)))/OFFSET(Assumptions!$B$82,0,$C$1)-M$379/M$13,(M$379/M$13-L$379/L$13)/M$2),0))*N$13</f>
        <v>0.60868204015394123</v>
      </c>
      <c r="O379" s="8">
        <f ca="1">(N$379/N$13+ IF(O$2&gt;0,O$2*IF(O$6=OFFSET(Assumptions!$B$8,0,$C$1),SUMPRODUCT(OFFSET(N$379,0,0,1,-OFFSET(Assumptions!$B$82,0,$C$1)),OFFSET(N$15,0,0,1,-OFFSET(Assumptions!$B$82,0,$C$1)))/OFFSET(Assumptions!$B$82,0,$C$1)-N$379/N$13,(N$379/N$13-M$379/M$13)/N$2),0))*O$13</f>
        <v>0.63634238165296486</v>
      </c>
      <c r="P379" s="8">
        <f ca="1">(O$379/O$13+ IF(P$2&gt;0,P$2*IF(P$6=OFFSET(Assumptions!$B$8,0,$C$1),SUMPRODUCT(OFFSET(O$379,0,0,1,-OFFSET(Assumptions!$B$82,0,$C$1)),OFFSET(O$15,0,0,1,-OFFSET(Assumptions!$B$82,0,$C$1)))/OFFSET(Assumptions!$B$82,0,$C$1)-O$379/O$13,(O$379/O$13-N$379/N$13)/O$2),0))*P$13</f>
        <v>0.66365677494047759</v>
      </c>
      <c r="Q379" s="8">
        <f ca="1">(P$379/P$13+ IF(Q$2&gt;0,Q$2*IF(Q$6=OFFSET(Assumptions!$B$8,0,$C$1),SUMPRODUCT(OFFSET(P$379,0,0,1,-OFFSET(Assumptions!$B$82,0,$C$1)),OFFSET(P$15,0,0,1,-OFFSET(Assumptions!$B$82,0,$C$1)))/OFFSET(Assumptions!$B$82,0,$C$1)-P$379/P$13,(P$379/P$13-O$379/O$13)/P$2),0))*Q$13</f>
        <v>0.69188144680137897</v>
      </c>
      <c r="R379" s="8">
        <f ca="1">(Q$379/Q$13+ IF(R$2&gt;0,R$2*IF(R$6=OFFSET(Assumptions!$B$8,0,$C$1),SUMPRODUCT(OFFSET(Q$379,0,0,1,-OFFSET(Assumptions!$B$82,0,$C$1)),OFFSET(Q$15,0,0,1,-OFFSET(Assumptions!$B$82,0,$C$1)))/OFFSET(Assumptions!$B$82,0,$C$1)-Q$379/Q$13,(Q$379/Q$13-P$379/P$13)/Q$2),0))*R$13</f>
        <v>0.72098492429075922</v>
      </c>
      <c r="S379" s="8">
        <f ca="1">(R$379/R$13+ IF(S$2&gt;0,S$2*IF(S$6=OFFSET(Assumptions!$B$8,0,$C$1),SUMPRODUCT(OFFSET(R$379,0,0,1,-OFFSET(Assumptions!$B$82,0,$C$1)),OFFSET(R$15,0,0,1,-OFFSET(Assumptions!$B$82,0,$C$1)))/OFFSET(Assumptions!$B$82,0,$C$1)-R$379/R$13,(R$379/R$13-Q$379/Q$13)/R$2),0))*S$13</f>
        <v>0.75109931524158879</v>
      </c>
      <c r="T379" s="8">
        <f ca="1">(S$379/S$13+ IF(T$2&gt;0,T$2*IF(T$6=OFFSET(Assumptions!$B$8,0,$C$1),SUMPRODUCT(OFFSET(S$379,0,0,1,-OFFSET(Assumptions!$B$82,0,$C$1)),OFFSET(S$15,0,0,1,-OFFSET(Assumptions!$B$82,0,$C$1)))/OFFSET(Assumptions!$B$82,0,$C$1)-S$379/S$13,(S$379/S$13-R$379/R$13)/S$2),0))*T$13</f>
        <v>0.78217785292231912</v>
      </c>
    </row>
    <row r="380" spans="1:20" ht="15" x14ac:dyDescent="0.25">
      <c r="A380" s="2" t="s">
        <v>619</v>
      </c>
      <c r="B380" s="4" t="str">
        <f>$B$38</f>
        <v>From Fiscal</v>
      </c>
      <c r="D380" s="40">
        <f>'Fiscal Forecasts'!D$120</f>
        <v>0.995</v>
      </c>
      <c r="E380" s="40">
        <f>'Fiscal Forecasts'!E$120</f>
        <v>1.1100000000000001</v>
      </c>
      <c r="F380" s="39">
        <f>'Fiscal Forecasts'!F$120</f>
        <v>1.133</v>
      </c>
      <c r="G380" s="39">
        <f>'Fiscal Forecasts'!G$120</f>
        <v>1.026</v>
      </c>
      <c r="H380" s="39">
        <f>'Fiscal Forecasts'!H$120</f>
        <v>1.0169999999999999</v>
      </c>
      <c r="I380" s="39">
        <f>'Fiscal Forecasts'!I$120</f>
        <v>1.022</v>
      </c>
      <c r="J380" s="39">
        <f>'Fiscal Forecasts'!J$120</f>
        <v>1.0449999999999999</v>
      </c>
      <c r="K380" s="8">
        <f ca="1">SUM(K$379,((J$380-J$379)/J$13+ IF(K$2&gt;0,K$2*IF(K$6=OFFSET(Assumptions!$B$8,0,$C$1),(SUMPRODUCT(OFFSET(J$380,0,0,1,-OFFSET(Assumptions!$B$82,0,$C$1)),OFFSET(J$15,0,0,1,-OFFSET(Assumptions!$B$82,0,$C$1)))-SUMPRODUCT(OFFSET(J$379,0,0,1,-OFFSET(Assumptions!$B$82,0,$C$1)),OFFSET(J$15,0,0,1,-OFFSET(Assumptions!$B$82,0,$C$1))))/OFFSET(Assumptions!$B$82,0,$C$1)-(J$380-J$379)/J$13,((J$380-J$379)/J$13-(I$380-I$379)/I$13)/J$2),0))*K$13)</f>
        <v>1.0992968414056461</v>
      </c>
      <c r="L380" s="8">
        <f ca="1">SUM(L$379,((K$380-K$379)/K$13+ IF(L$2&gt;0,L$2*IF(L$6=OFFSET(Assumptions!$B$8,0,$C$1),(SUMPRODUCT(OFFSET(K$380,0,0,1,-OFFSET(Assumptions!$B$82,0,$C$1)),OFFSET(K$15,0,0,1,-OFFSET(Assumptions!$B$82,0,$C$1)))-SUMPRODUCT(OFFSET(K$379,0,0,1,-OFFSET(Assumptions!$B$82,0,$C$1)),OFFSET(K$15,0,0,1,-OFFSET(Assumptions!$B$82,0,$C$1))))/OFFSET(Assumptions!$B$82,0,$C$1)-(K$380-K$379)/K$13,((K$380-K$379)/K$13-(J$380-J$379)/J$13)/K$2),0))*L$13)</f>
        <v>1.1554927870380696</v>
      </c>
      <c r="M380" s="8">
        <f ca="1">SUM(M$379,((L$380-L$379)/L$13+ IF(M$2&gt;0,M$2*IF(M$6=OFFSET(Assumptions!$B$8,0,$C$1),(SUMPRODUCT(OFFSET(L$380,0,0,1,-OFFSET(Assumptions!$B$82,0,$C$1)),OFFSET(L$15,0,0,1,-OFFSET(Assumptions!$B$82,0,$C$1)))-SUMPRODUCT(OFFSET(L$379,0,0,1,-OFFSET(Assumptions!$B$82,0,$C$1)),OFFSET(L$15,0,0,1,-OFFSET(Assumptions!$B$82,0,$C$1))))/OFFSET(Assumptions!$B$82,0,$C$1)-(L$380-L$379)/L$13,((L$380-L$379)/L$13-(K$380-K$379)/K$13)/L$2),0))*M$13)</f>
        <v>1.2122231887980539</v>
      </c>
      <c r="N380" s="8">
        <f ca="1">SUM(N$379,((M$380-M$379)/M$13+ IF(N$2&gt;0,N$2*IF(N$6=OFFSET(Assumptions!$B$8,0,$C$1),(SUMPRODUCT(OFFSET(M$380,0,0,1,-OFFSET(Assumptions!$B$82,0,$C$1)),OFFSET(M$15,0,0,1,-OFFSET(Assumptions!$B$82,0,$C$1)))-SUMPRODUCT(OFFSET(M$379,0,0,1,-OFFSET(Assumptions!$B$82,0,$C$1)),OFFSET(M$15,0,0,1,-OFFSET(Assumptions!$B$82,0,$C$1))))/OFFSET(Assumptions!$B$82,0,$C$1)-(M$380-M$379)/M$13,((M$380-M$379)/M$13-(L$380-L$379)/L$13)/M$2),0))*N$13)</f>
        <v>1.2694783185745349</v>
      </c>
      <c r="O380" s="8">
        <f ca="1">SUM(O$379,((N$380-N$379)/N$13+ IF(O$2&gt;0,O$2*IF(O$6=OFFSET(Assumptions!$B$8,0,$C$1),(SUMPRODUCT(OFFSET(N$380,0,0,1,-OFFSET(Assumptions!$B$82,0,$C$1)),OFFSET(N$15,0,0,1,-OFFSET(Assumptions!$B$82,0,$C$1)))-SUMPRODUCT(OFFSET(N$379,0,0,1,-OFFSET(Assumptions!$B$82,0,$C$1)),OFFSET(N$15,0,0,1,-OFFSET(Assumptions!$B$82,0,$C$1))))/OFFSET(Assumptions!$B$82,0,$C$1)-(N$380-N$379)/N$13,((N$380-N$379)/N$13-(M$380-M$379)/M$13)/N$2),0))*O$13)</f>
        <v>1.326605089643023</v>
      </c>
      <c r="P380" s="8">
        <f ca="1">SUM(P$379,((O$380-O$379)/O$13+ IF(P$2&gt;0,P$2*IF(P$6=OFFSET(Assumptions!$B$8,0,$C$1),(SUMPRODUCT(OFFSET(O$380,0,0,1,-OFFSET(Assumptions!$B$82,0,$C$1)),OFFSET(O$15,0,0,1,-OFFSET(Assumptions!$B$82,0,$C$1)))-SUMPRODUCT(OFFSET(O$379,0,0,1,-OFFSET(Assumptions!$B$82,0,$C$1)),OFFSET(O$15,0,0,1,-OFFSET(Assumptions!$B$82,0,$C$1))))/OFFSET(Assumptions!$B$82,0,$C$1)-(O$380-O$379)/O$13,((O$380-O$379)/O$13-(N$380-N$379)/N$13)/O$2),0))*P$13)</f>
        <v>1.383548355093299</v>
      </c>
      <c r="Q380" s="8">
        <f ca="1">SUM(Q$379,((P$380-P$379)/P$13+ IF(Q$2&gt;0,Q$2*IF(Q$6=OFFSET(Assumptions!$B$8,0,$C$1),(SUMPRODUCT(OFFSET(P$380,0,0,1,-OFFSET(Assumptions!$B$82,0,$C$1)),OFFSET(P$15,0,0,1,-OFFSET(Assumptions!$B$82,0,$C$1)))-SUMPRODUCT(OFFSET(P$379,0,0,1,-OFFSET(Assumptions!$B$82,0,$C$1)),OFFSET(P$15,0,0,1,-OFFSET(Assumptions!$B$82,0,$C$1))))/OFFSET(Assumptions!$B$82,0,$C$1)-(P$380-P$379)/P$13,((P$380-P$379)/P$13-(O$380-O$379)/O$13)/P$2),0))*Q$13)</f>
        <v>1.4423893099373153</v>
      </c>
      <c r="R380" s="8">
        <f ca="1">SUM(R$379,((Q$380-Q$379)/Q$13+ IF(R$2&gt;0,R$2*IF(R$6=OFFSET(Assumptions!$B$8,0,$C$1),(SUMPRODUCT(OFFSET(Q$380,0,0,1,-OFFSET(Assumptions!$B$82,0,$C$1)),OFFSET(Q$15,0,0,1,-OFFSET(Assumptions!$B$82,0,$C$1)))-SUMPRODUCT(OFFSET(Q$379,0,0,1,-OFFSET(Assumptions!$B$82,0,$C$1)),OFFSET(Q$15,0,0,1,-OFFSET(Assumptions!$B$82,0,$C$1))))/OFFSET(Assumptions!$B$82,0,$C$1)-(Q$380-Q$379)/Q$13,((Q$380-Q$379)/Q$13-(P$380-P$379)/P$13)/Q$2),0))*R$13)</f>
        <v>1.5030623414324555</v>
      </c>
      <c r="S380" s="8">
        <f ca="1">SUM(S$379,((R$380-R$379)/R$13+ IF(S$2&gt;0,S$2*IF(S$6=OFFSET(Assumptions!$B$8,0,$C$1),(SUMPRODUCT(OFFSET(R$380,0,0,1,-OFFSET(Assumptions!$B$82,0,$C$1)),OFFSET(R$15,0,0,1,-OFFSET(Assumptions!$B$82,0,$C$1)))-SUMPRODUCT(OFFSET(R$379,0,0,1,-OFFSET(Assumptions!$B$82,0,$C$1)),OFFSET(R$15,0,0,1,-OFFSET(Assumptions!$B$82,0,$C$1))))/OFFSET(Assumptions!$B$82,0,$C$1)-(R$380-R$379)/R$13,((R$380-R$379)/R$13-(Q$380-Q$379)/Q$13)/R$2),0))*S$13)</f>
        <v>1.5658428593717075</v>
      </c>
      <c r="T380" s="8">
        <f ca="1">SUM(T$379,((S$380-S$379)/S$13+ IF(T$2&gt;0,T$2*IF(T$6=OFFSET(Assumptions!$B$8,0,$C$1),(SUMPRODUCT(OFFSET(S$380,0,0,1,-OFFSET(Assumptions!$B$82,0,$C$1)),OFFSET(S$15,0,0,1,-OFFSET(Assumptions!$B$82,0,$C$1)))-SUMPRODUCT(OFFSET(S$379,0,0,1,-OFFSET(Assumptions!$B$82,0,$C$1)),OFFSET(S$15,0,0,1,-OFFSET(Assumptions!$B$82,0,$C$1))))/OFFSET(Assumptions!$B$82,0,$C$1)-(S$380-S$379)/S$13,((S$380-S$379)/S$13-(R$380-R$379)/R$13)/S$2),0))*T$13)</f>
        <v>1.6306333675236602</v>
      </c>
    </row>
    <row r="381" spans="1:20" ht="15" x14ac:dyDescent="0.25">
      <c r="A381" s="2"/>
      <c r="B381" s="4"/>
      <c r="D381" s="40"/>
      <c r="E381" s="40"/>
      <c r="F381" s="40"/>
      <c r="G381" s="40"/>
      <c r="H381" s="40"/>
      <c r="I381" s="40"/>
      <c r="J381" s="40"/>
      <c r="K381" s="40"/>
      <c r="L381" s="40"/>
      <c r="M381" s="40"/>
      <c r="N381" s="40"/>
      <c r="O381" s="40"/>
      <c r="P381" s="40"/>
      <c r="Q381" s="40"/>
      <c r="R381" s="40"/>
      <c r="S381" s="40"/>
      <c r="T381" s="40"/>
    </row>
    <row r="382" spans="1:20" x14ac:dyDescent="0.2">
      <c r="A382" s="19" t="s">
        <v>225</v>
      </c>
    </row>
    <row r="383" spans="1:20" ht="15" x14ac:dyDescent="0.25">
      <c r="A383" s="2" t="s">
        <v>620</v>
      </c>
      <c r="B383" s="4" t="str">
        <f>$B$38</f>
        <v>From Fiscal</v>
      </c>
      <c r="D383" s="40">
        <f>'Fiscal Forecasts'!D$176-D$379</f>
        <v>1.0919999999999999</v>
      </c>
      <c r="E383" s="40">
        <f>'Fiscal Forecasts'!E$176-E$379</f>
        <v>1.254</v>
      </c>
      <c r="F383" s="39">
        <f>'Fiscal Forecasts'!F$176-F$379</f>
        <v>1.2789999999999999</v>
      </c>
      <c r="G383" s="39">
        <f>'Fiscal Forecasts'!G$176-G$379</f>
        <v>1.1859999999999999</v>
      </c>
      <c r="H383" s="39">
        <f>'Fiscal Forecasts'!H$176-H$379</f>
        <v>1.214</v>
      </c>
      <c r="I383" s="39">
        <f>'Fiscal Forecasts'!I$176-I$379</f>
        <v>1.2120000000000002</v>
      </c>
      <c r="J383" s="39">
        <f>'Fiscal Forecasts'!J$176-J$379</f>
        <v>1.2330000000000001</v>
      </c>
      <c r="K383" s="8">
        <f ca="1">(J$383/J$13+ IF(K$2&gt;0,K$2*IF(K$6=OFFSET(Assumptions!$B$8,0,$C$1),SUMPRODUCT(OFFSET(J$383,0,0,1,-OFFSET(Assumptions!$B$82,0,$C$1)),OFFSET(J$15,0,0,1,-OFFSET(Assumptions!$B$82,0,$C$1)))/OFFSET(Assumptions!$B$82,0,$C$1)-J$383/J$13,(J$383/J$13-I$383/I$13)/J$2),0))*K$13</f>
        <v>1.2995782471801685</v>
      </c>
      <c r="L383" s="8">
        <f ca="1">(K$383/K$13+ IF(L$2&gt;0,L$2*IF(L$6=OFFSET(Assumptions!$B$8,0,$C$1),SUMPRODUCT(OFFSET(K$383,0,0,1,-OFFSET(Assumptions!$B$82,0,$C$1)),OFFSET(K$15,0,0,1,-OFFSET(Assumptions!$B$82,0,$C$1)))/OFFSET(Assumptions!$B$82,0,$C$1)-K$383/K$13,(K$383/K$13-J$383/J$13)/K$2),0))*L$13</f>
        <v>1.3680930920931038</v>
      </c>
      <c r="M383" s="8">
        <f ca="1">(L$383/L$13+ IF(M$2&gt;0,M$2*IF(M$6=OFFSET(Assumptions!$B$8,0,$C$1),SUMPRODUCT(OFFSET(L$383,0,0,1,-OFFSET(Assumptions!$B$82,0,$C$1)),OFFSET(L$15,0,0,1,-OFFSET(Assumptions!$B$82,0,$C$1)))/OFFSET(Assumptions!$B$82,0,$C$1)-L$383/L$13,(L$383/L$13-K$383/K$13)/L$2),0))*M$13</f>
        <v>1.4368787406028549</v>
      </c>
      <c r="N383" s="8">
        <f ca="1">(M$383/M$13+ IF(N$2&gt;0,N$2*IF(N$6=OFFSET(Assumptions!$B$8,0,$C$1),SUMPRODUCT(OFFSET(M$383,0,0,1,-OFFSET(Assumptions!$B$82,0,$C$1)),OFFSET(M$15,0,0,1,-OFFSET(Assumptions!$B$82,0,$C$1)))/OFFSET(Assumptions!$B$82,0,$C$1)-M$383/M$13,(M$383/M$13-L$383/L$13)/M$2),0))*N$13</f>
        <v>1.5058642116249317</v>
      </c>
      <c r="O383" s="8">
        <f ca="1">(N$383/N$13+ IF(O$2&gt;0,O$2*IF(O$6=OFFSET(Assumptions!$B$8,0,$C$1),SUMPRODUCT(OFFSET(N$383,0,0,1,-OFFSET(Assumptions!$B$82,0,$C$1)),OFFSET(N$15,0,0,1,-OFFSET(Assumptions!$B$82,0,$C$1)))/OFFSET(Assumptions!$B$82,0,$C$1)-N$383/N$13,(N$383/N$13-M$383/M$13)/N$2),0))*O$13</f>
        <v>1.5742103499279554</v>
      </c>
      <c r="P383" s="8">
        <f ca="1">(O$383/O$13+ IF(P$2&gt;0,P$2*IF(P$6=OFFSET(Assumptions!$B$8,0,$C$1),SUMPRODUCT(OFFSET(O$383,0,0,1,-OFFSET(Assumptions!$B$82,0,$C$1)),OFFSET(O$15,0,0,1,-OFFSET(Assumptions!$B$82,0,$C$1)))/OFFSET(Assumptions!$B$82,0,$C$1)-O$383/O$13,(O$383/O$13-N$383/N$13)/O$2),0))*P$13</f>
        <v>1.6417818363713255</v>
      </c>
      <c r="Q383" s="8">
        <f ca="1">(P$383/P$13+ IF(Q$2&gt;0,Q$2*IF(Q$6=OFFSET(Assumptions!$B$8,0,$C$1),SUMPRODUCT(OFFSET(P$383,0,0,1,-OFFSET(Assumptions!$B$82,0,$C$1)),OFFSET(P$15,0,0,1,-OFFSET(Assumptions!$B$82,0,$C$1)))/OFFSET(Assumptions!$B$82,0,$C$1)-P$383/P$13,(P$383/P$13-O$383/O$13)/P$2),0))*Q$13</f>
        <v>1.711605207952102</v>
      </c>
      <c r="R383" s="8">
        <f ca="1">(Q$383/Q$13+ IF(R$2&gt;0,R$2*IF(R$6=OFFSET(Assumptions!$B$8,0,$C$1),SUMPRODUCT(OFFSET(Q$383,0,0,1,-OFFSET(Assumptions!$B$82,0,$C$1)),OFFSET(Q$15,0,0,1,-OFFSET(Assumptions!$B$82,0,$C$1)))/OFFSET(Assumptions!$B$82,0,$C$1)-Q$383/Q$13,(Q$383/Q$13-P$383/P$13)/Q$2),0))*R$13</f>
        <v>1.7836026055852259</v>
      </c>
      <c r="S383" s="8">
        <f ca="1">(R$383/R$13+ IF(S$2&gt;0,S$2*IF(S$6=OFFSET(Assumptions!$B$8,0,$C$1),SUMPRODUCT(OFFSET(R$383,0,0,1,-OFFSET(Assumptions!$B$82,0,$C$1)),OFFSET(R$15,0,0,1,-OFFSET(Assumptions!$B$82,0,$C$1)))/OFFSET(Assumptions!$B$82,0,$C$1)-R$383/R$13,(R$383/R$13-Q$383/Q$13)/R$2),0))*S$13</f>
        <v>1.8581008431431734</v>
      </c>
      <c r="T383" s="8">
        <f ca="1">(S$383/S$13+ IF(T$2&gt;0,T$2*IF(T$6=OFFSET(Assumptions!$B$8,0,$C$1),SUMPRODUCT(OFFSET(S$383,0,0,1,-OFFSET(Assumptions!$B$82,0,$C$1)),OFFSET(S$15,0,0,1,-OFFSET(Assumptions!$B$82,0,$C$1)))/OFFSET(Assumptions!$B$82,0,$C$1)-S$383/S$13,(S$383/S$13-R$383/R$13)/S$2),0))*T$13</f>
        <v>1.9349842271330095</v>
      </c>
    </row>
    <row r="384" spans="1:20" ht="15" x14ac:dyDescent="0.25">
      <c r="A384" s="2" t="s">
        <v>621</v>
      </c>
      <c r="B384" s="4" t="str">
        <f>$B$38</f>
        <v>From Fiscal</v>
      </c>
      <c r="D384" s="40">
        <f>'Fiscal Forecasts'!D$121</f>
        <v>2.3889999999999998</v>
      </c>
      <c r="E384" s="40">
        <f>'Fiscal Forecasts'!E$121</f>
        <v>2.9140000000000001</v>
      </c>
      <c r="F384" s="39">
        <f>'Fiscal Forecasts'!F$121</f>
        <v>2.8969999999999998</v>
      </c>
      <c r="G384" s="39">
        <f>'Fiscal Forecasts'!G$121</f>
        <v>2.4900000000000002</v>
      </c>
      <c r="H384" s="39">
        <f>'Fiscal Forecasts'!H$121</f>
        <v>2.5089999999999999</v>
      </c>
      <c r="I384" s="39">
        <f>'Fiscal Forecasts'!I$121</f>
        <v>2.5299999999999998</v>
      </c>
      <c r="J384" s="39">
        <f>'Fiscal Forecasts'!J$121</f>
        <v>2.59</v>
      </c>
      <c r="K384" s="8">
        <f ca="1">SUM(K$383,((J$384-J$383)/J$13+ IF(K$2&gt;0,K$2*IF(K$6=OFFSET(Assumptions!$B$8,0,$C$1),(SUMPRODUCT(OFFSET(J$384,0,0,1,-OFFSET(Assumptions!$B$82,0,$C$1)),OFFSET(J$15,0,0,1,-OFFSET(Assumptions!$B$82,0,$C$1)))-SUMPRODUCT(OFFSET(J$383,0,0,1,-OFFSET(Assumptions!$B$82,0,$C$1)),OFFSET(J$15,0,0,1,-OFFSET(Assumptions!$B$82,0,$C$1))))/OFFSET(Assumptions!$B$82,0,$C$1)-(J$384-J$383)/J$13,((J$384-J$383)/J$13-(I$384-I$383)/I$13)/J$2),0))*K$13)</f>
        <v>2.722746351495466</v>
      </c>
      <c r="L384" s="8">
        <f ca="1">SUM(L$383,((K$384-K$383)/K$13+ IF(L$2&gt;0,L$2*IF(L$6=OFFSET(Assumptions!$B$8,0,$C$1),(SUMPRODUCT(OFFSET(K$384,0,0,1,-OFFSET(Assumptions!$B$82,0,$C$1)),OFFSET(K$15,0,0,1,-OFFSET(Assumptions!$B$82,0,$C$1)))-SUMPRODUCT(OFFSET(K$383,0,0,1,-OFFSET(Assumptions!$B$82,0,$C$1)),OFFSET(K$15,0,0,1,-OFFSET(Assumptions!$B$82,0,$C$1))))/OFFSET(Assumptions!$B$82,0,$C$1)-(K$384-K$383)/K$13,((K$384-K$383)/K$13-(J$384-J$383)/J$13)/K$2),0))*L$13)</f>
        <v>2.86042065301528</v>
      </c>
      <c r="M384" s="8">
        <f ca="1">SUM(M$383,((L$384-L$383)/L$13+ IF(M$2&gt;0,M$2*IF(M$6=OFFSET(Assumptions!$B$8,0,$C$1),(SUMPRODUCT(OFFSET(L$384,0,0,1,-OFFSET(Assumptions!$B$82,0,$C$1)),OFFSET(L$15,0,0,1,-OFFSET(Assumptions!$B$82,0,$C$1)))-SUMPRODUCT(OFFSET(L$383,0,0,1,-OFFSET(Assumptions!$B$82,0,$C$1)),OFFSET(L$15,0,0,1,-OFFSET(Assumptions!$B$82,0,$C$1))))/OFFSET(Assumptions!$B$82,0,$C$1)-(L$384-L$383)/L$13,((L$384-L$383)/L$13-(K$384-K$383)/K$13)/L$2),0))*M$13)</f>
        <v>2.9996811082319876</v>
      </c>
      <c r="N384" s="8">
        <f ca="1">SUM(N$383,((M$384-M$383)/M$13+ IF(N$2&gt;0,N$2*IF(N$6=OFFSET(Assumptions!$B$8,0,$C$1),(SUMPRODUCT(OFFSET(M$384,0,0,1,-OFFSET(Assumptions!$B$82,0,$C$1)),OFFSET(M$15,0,0,1,-OFFSET(Assumptions!$B$82,0,$C$1)))-SUMPRODUCT(OFFSET(M$383,0,0,1,-OFFSET(Assumptions!$B$82,0,$C$1)),OFFSET(M$15,0,0,1,-OFFSET(Assumptions!$B$82,0,$C$1))))/OFFSET(Assumptions!$B$82,0,$C$1)-(M$384-M$383)/M$13,((M$384-M$383)/M$13-(L$384-L$383)/L$13)/M$2),0))*N$13)</f>
        <v>3.140546855577024</v>
      </c>
      <c r="O384" s="8">
        <f ca="1">SUM(O$383,((N$384-N$383)/N$13+ IF(O$2&gt;0,O$2*IF(O$6=OFFSET(Assumptions!$B$8,0,$C$1),(SUMPRODUCT(OFFSET(N$384,0,0,1,-OFFSET(Assumptions!$B$82,0,$C$1)),OFFSET(N$15,0,0,1,-OFFSET(Assumptions!$B$82,0,$C$1)))-SUMPRODUCT(OFFSET(N$383,0,0,1,-OFFSET(Assumptions!$B$82,0,$C$1)),OFFSET(N$15,0,0,1,-OFFSET(Assumptions!$B$82,0,$C$1))))/OFFSET(Assumptions!$B$82,0,$C$1)-(N$384-N$383)/N$13,((N$384-N$383)/N$13-(M$384-M$383)/M$13)/N$2),0))*O$13)</f>
        <v>3.2814490834895595</v>
      </c>
      <c r="P384" s="8">
        <f ca="1">SUM(P$383,((O$384-O$383)/O$13+ IF(P$2&gt;0,P$2*IF(P$6=OFFSET(Assumptions!$B$8,0,$C$1),(SUMPRODUCT(OFFSET(O$384,0,0,1,-OFFSET(Assumptions!$B$82,0,$C$1)),OFFSET(O$15,0,0,1,-OFFSET(Assumptions!$B$82,0,$C$1)))-SUMPRODUCT(OFFSET(O$383,0,0,1,-OFFSET(Assumptions!$B$82,0,$C$1)),OFFSET(O$15,0,0,1,-OFFSET(Assumptions!$B$82,0,$C$1))))/OFFSET(Assumptions!$B$82,0,$C$1)-(O$384-O$383)/O$13,((O$384-O$383)/O$13-(N$384-N$383)/N$13)/O$2),0))*P$13)</f>
        <v>3.4223021735926529</v>
      </c>
      <c r="Q384" s="8">
        <f ca="1">SUM(Q$383,((P$384-P$383)/P$13+ IF(Q$2&gt;0,Q$2*IF(Q$6=OFFSET(Assumptions!$B$8,0,$C$1),(SUMPRODUCT(OFFSET(P$384,0,0,1,-OFFSET(Assumptions!$B$82,0,$C$1)),OFFSET(P$15,0,0,1,-OFFSET(Assumptions!$B$82,0,$C$1)))-SUMPRODUCT(OFFSET(P$383,0,0,1,-OFFSET(Assumptions!$B$82,0,$C$1)),OFFSET(P$15,0,0,1,-OFFSET(Assumptions!$B$82,0,$C$1))))/OFFSET(Assumptions!$B$82,0,$C$1)-(P$384-P$383)/P$13,((P$384-P$383)/P$13-(O$384-O$383)/O$13)/P$2),0))*Q$13)</f>
        <v>3.5678493291493263</v>
      </c>
      <c r="R384" s="8">
        <f ca="1">SUM(R$383,((Q$384-Q$383)/Q$13+ IF(R$2&gt;0,R$2*IF(R$6=OFFSET(Assumptions!$B$8,0,$C$1),(SUMPRODUCT(OFFSET(Q$384,0,0,1,-OFFSET(Assumptions!$B$82,0,$C$1)),OFFSET(Q$15,0,0,1,-OFFSET(Assumptions!$B$82,0,$C$1)))-SUMPRODUCT(OFFSET(Q$383,0,0,1,-OFFSET(Assumptions!$B$82,0,$C$1)),OFFSET(Q$15,0,0,1,-OFFSET(Assumptions!$B$82,0,$C$1))))/OFFSET(Assumptions!$B$82,0,$C$1)-(Q$384-Q$383)/Q$13,((Q$384-Q$383)/Q$13-(P$384-P$383)/P$13)/Q$2),0))*R$13)</f>
        <v>3.7179282525204371</v>
      </c>
      <c r="S384" s="8">
        <f ca="1">SUM(S$383,((R$384-R$383)/R$13+ IF(S$2&gt;0,S$2*IF(S$6=OFFSET(Assumptions!$B$8,0,$C$1),(SUMPRODUCT(OFFSET(R$384,0,0,1,-OFFSET(Assumptions!$B$82,0,$C$1)),OFFSET(R$15,0,0,1,-OFFSET(Assumptions!$B$82,0,$C$1)))-SUMPRODUCT(OFFSET(R$383,0,0,1,-OFFSET(Assumptions!$B$82,0,$C$1)),OFFSET(R$15,0,0,1,-OFFSET(Assumptions!$B$82,0,$C$1))))/OFFSET(Assumptions!$B$82,0,$C$1)-(R$384-R$383)/R$13,((R$384-R$383)/R$13-(Q$384-Q$383)/Q$13)/R$2),0))*S$13)</f>
        <v>3.8732201888028417</v>
      </c>
      <c r="T384" s="8">
        <f ca="1">SUM(T$383,((S$384-S$383)/S$13+ IF(T$2&gt;0,T$2*IF(T$6=OFFSET(Assumptions!$B$8,0,$C$1),(SUMPRODUCT(OFFSET(S$384,0,0,1,-OFFSET(Assumptions!$B$82,0,$C$1)),OFFSET(S$15,0,0,1,-OFFSET(Assumptions!$B$82,0,$C$1)))-SUMPRODUCT(OFFSET(S$383,0,0,1,-OFFSET(Assumptions!$B$82,0,$C$1)),OFFSET(S$15,0,0,1,-OFFSET(Assumptions!$B$82,0,$C$1))))/OFFSET(Assumptions!$B$82,0,$C$1)-(S$384-S$383)/S$13,((S$384-S$383)/S$13-(R$384-R$383)/R$13)/S$2),0))*T$13)</f>
        <v>4.033483974351304</v>
      </c>
    </row>
    <row r="385" spans="1:21" ht="15" x14ac:dyDescent="0.25">
      <c r="A385" s="2"/>
      <c r="B385" s="4"/>
      <c r="D385" s="7"/>
      <c r="E385" s="7"/>
      <c r="F385" s="7"/>
      <c r="G385" s="7"/>
      <c r="H385" s="7"/>
      <c r="I385" s="7"/>
      <c r="J385" s="7"/>
      <c r="K385" s="7"/>
      <c r="L385" s="7"/>
      <c r="M385" s="7"/>
      <c r="N385" s="7"/>
      <c r="O385" s="7"/>
      <c r="P385" s="7"/>
      <c r="Q385" s="7"/>
      <c r="R385" s="7"/>
      <c r="S385" s="7"/>
      <c r="T385" s="7"/>
      <c r="U385" s="7"/>
    </row>
    <row r="386" spans="1:21" x14ac:dyDescent="0.2">
      <c r="A386" s="19" t="s">
        <v>622</v>
      </c>
      <c r="B386" s="4"/>
      <c r="D386" s="7"/>
      <c r="E386" s="7"/>
      <c r="F386" s="7"/>
      <c r="G386" s="7"/>
      <c r="H386" s="7"/>
      <c r="I386" s="7"/>
      <c r="J386" s="7"/>
      <c r="K386" s="7"/>
      <c r="L386" s="7"/>
      <c r="M386" s="7"/>
      <c r="N386" s="7"/>
      <c r="O386" s="7"/>
      <c r="P386" s="7"/>
      <c r="Q386" s="7"/>
      <c r="R386" s="7"/>
      <c r="S386" s="7"/>
      <c r="T386" s="7"/>
      <c r="U386" s="7"/>
    </row>
    <row r="387" spans="1:21" ht="15" x14ac:dyDescent="0.25">
      <c r="A387" s="1" t="s">
        <v>626</v>
      </c>
      <c r="B387" s="4"/>
      <c r="C387" s="61">
        <f ca="1">OFFSET(Assumptions!$B$72,0,$C$1)*C$354</f>
        <v>0.25809000000000004</v>
      </c>
      <c r="D387" s="15">
        <f ca="1">OFFSET(Assumptions!$B$72,0,$C$1)*D$354</f>
        <v>0.29522000000000004</v>
      </c>
      <c r="E387" s="15">
        <f ca="1">OFFSET(Assumptions!$B$72,0,$C$1)*E$354</f>
        <v>0.29527000000000003</v>
      </c>
      <c r="F387" s="16">
        <f ca="1">OFFSET(Assumptions!$B$72,0,$C$1)*F$354</f>
        <v>0.34511000000000003</v>
      </c>
      <c r="G387" s="16">
        <f ca="1">OFFSET(Assumptions!$B$72,0,$C$1)*G$354</f>
        <v>0.36818000000000006</v>
      </c>
      <c r="H387" s="16">
        <f ca="1">OFFSET(Assumptions!$B$72,0,$C$1)*H$354</f>
        <v>0.39291000000000004</v>
      </c>
      <c r="I387" s="16">
        <f ca="1">OFFSET(Assumptions!$B$72,0,$C$1)*I$354</f>
        <v>0.41938999999999999</v>
      </c>
      <c r="J387" s="16">
        <f ca="1">OFFSET(Assumptions!$B$72,0,$C$1)*J$354</f>
        <v>0.46958999999999995</v>
      </c>
      <c r="K387" s="7">
        <f ca="1">OFFSET(Assumptions!$B$72,0,$C$1)/SUM(OFFSET(Assumptions!$B$68,0,$C$1,6,1))*SUM(K$354,K$70,-K$322,K$429)</f>
        <v>0.51731437003204017</v>
      </c>
      <c r="L387" s="7">
        <f ca="1">OFFSET(Assumptions!$B$72,0,$C$1)/SUM(OFFSET(Assumptions!$B$68,0,$C$1,6,1))*SUM(L$354,L$70,-L$322,L$429)</f>
        <v>0.56508458612142165</v>
      </c>
      <c r="M387" s="7">
        <f ca="1">OFFSET(Assumptions!$B$72,0,$C$1)/SUM(OFFSET(Assumptions!$B$68,0,$C$1,6,1))*SUM(M$354,M$70,-M$322,M$429)</f>
        <v>0.61383520023584626</v>
      </c>
      <c r="N387" s="7">
        <f ca="1">OFFSET(Assumptions!$B$72,0,$C$1)/SUM(OFFSET(Assumptions!$B$68,0,$C$1,6,1))*SUM(N$354,N$70,-N$322,N$429)</f>
        <v>0.66362166232109354</v>
      </c>
      <c r="O387" s="7">
        <f ca="1">OFFSET(Assumptions!$B$72,0,$C$1)/SUM(OFFSET(Assumptions!$B$68,0,$C$1,6,1))*SUM(O$354,O$70,-O$322,O$429)</f>
        <v>0.71409325782778521</v>
      </c>
      <c r="P387" s="7">
        <f ca="1">OFFSET(Assumptions!$B$72,0,$C$1)/SUM(OFFSET(Assumptions!$B$68,0,$C$1,6,1))*SUM(P$354,P$70,-P$322,P$429)</f>
        <v>0.76483157023124348</v>
      </c>
      <c r="Q387" s="7">
        <f ca="1">OFFSET(Assumptions!$B$72,0,$C$1)/SUM(OFFSET(Assumptions!$B$68,0,$C$1,6,1))*SUM(Q$354,Q$70,-Q$322,Q$429)</f>
        <v>0.81497821244798541</v>
      </c>
      <c r="R387" s="7">
        <f ca="1">OFFSET(Assumptions!$B$72,0,$C$1)/SUM(OFFSET(Assumptions!$B$68,0,$C$1,6,1))*SUM(R$354,R$70,-R$322,R$429)</f>
        <v>0.86450511693589005</v>
      </c>
      <c r="S387" s="7">
        <f ca="1">OFFSET(Assumptions!$B$72,0,$C$1)/SUM(OFFSET(Assumptions!$B$68,0,$C$1,6,1))*SUM(S$354,S$70,-S$322,S$429)</f>
        <v>0.91377469312483328</v>
      </c>
      <c r="T387" s="7">
        <f ca="1">OFFSET(Assumptions!$B$72,0,$C$1)/SUM(OFFSET(Assumptions!$B$68,0,$C$1,6,1))*SUM(T$354,T$70,-T$322,T$429)</f>
        <v>0.96280124665394651</v>
      </c>
    </row>
    <row r="388" spans="1:21" x14ac:dyDescent="0.2">
      <c r="A388" s="1" t="s">
        <v>627</v>
      </c>
      <c r="B388" s="4" t="str">
        <f>$B$38</f>
        <v>From Fiscal</v>
      </c>
      <c r="D388" s="15">
        <f ca="1">'Fiscal Forecasts'!D$173-D$387</f>
        <v>31.993780000000001</v>
      </c>
      <c r="E388" s="15">
        <f ca="1">'Fiscal Forecasts'!E$173-E$387</f>
        <v>35.401730000000001</v>
      </c>
      <c r="F388" s="16">
        <f ca="1">'Fiscal Forecasts'!F$173-F$387 +IF(OFFSET(Assumptions!$B$64,0,$C$1)="Yes",SUM(F$422:F$423),0)</f>
        <v>38.80189</v>
      </c>
      <c r="G388" s="16">
        <f ca="1">'Fiscal Forecasts'!G$173-G$387 +IF(OFFSET(Assumptions!$B$64,0,$C$1)="Yes",SUM(G$422:G$423),0)</f>
        <v>40.759819999999998</v>
      </c>
      <c r="H388" s="16">
        <f ca="1">'Fiscal Forecasts'!H$173-H$387 +IF(OFFSET(Assumptions!$B$64,0,$C$1)="Yes",SUM(H$422:H$423),0)</f>
        <v>41.816090000000003</v>
      </c>
      <c r="I388" s="16">
        <f ca="1">'Fiscal Forecasts'!I$173-I$387 +IF(OFFSET(Assumptions!$B$64,0,$C$1)="Yes",SUM(I$422:I$423),0)</f>
        <v>42.301609999999997</v>
      </c>
      <c r="J388" s="16">
        <f ca="1">'Fiscal Forecasts'!J$173-J$387 +IF(OFFSET(Assumptions!$B$64,0,$C$1)="Yes",SUM(J$422:J$423),0)</f>
        <v>42.511410000000005</v>
      </c>
      <c r="K388" s="7">
        <f t="shared" ref="K388:T388" ca="1" si="178">SUM(J$388,-(K$387-J$387),K$393,-K$394,-K$395)</f>
        <v>42.511409999999998</v>
      </c>
      <c r="L388" s="7">
        <f t="shared" ca="1" si="178"/>
        <v>42.511409999999998</v>
      </c>
      <c r="M388" s="7">
        <f t="shared" ca="1" si="178"/>
        <v>42.511409999999998</v>
      </c>
      <c r="N388" s="7">
        <f t="shared" ca="1" si="178"/>
        <v>42.511409999999998</v>
      </c>
      <c r="O388" s="7">
        <f t="shared" ca="1" si="178"/>
        <v>42.511410000000005</v>
      </c>
      <c r="P388" s="7">
        <f t="shared" ca="1" si="178"/>
        <v>42.511410000000005</v>
      </c>
      <c r="Q388" s="7">
        <f t="shared" ca="1" si="178"/>
        <v>42.511409999999998</v>
      </c>
      <c r="R388" s="7">
        <f t="shared" ca="1" si="178"/>
        <v>42.511409999999998</v>
      </c>
      <c r="S388" s="7">
        <f t="shared" ca="1" si="178"/>
        <v>42.511409999999998</v>
      </c>
      <c r="T388" s="7">
        <f t="shared" ca="1" si="178"/>
        <v>42.511410000000005</v>
      </c>
    </row>
    <row r="389" spans="1:21" ht="15" x14ac:dyDescent="0.25">
      <c r="A389" s="2" t="s">
        <v>625</v>
      </c>
      <c r="B389" s="4"/>
      <c r="C389" s="61">
        <f>'Fiscal Forecasts'!C$173</f>
        <v>30.963000000000001</v>
      </c>
      <c r="D389" s="35">
        <f t="shared" ref="D389:T389" ca="1" si="179">SUM(D$387:D$388)</f>
        <v>32.289000000000001</v>
      </c>
      <c r="E389" s="35">
        <f t="shared" ca="1" si="179"/>
        <v>35.697000000000003</v>
      </c>
      <c r="F389" s="34">
        <f t="shared" ca="1" si="179"/>
        <v>39.146999999999998</v>
      </c>
      <c r="G389" s="34">
        <f t="shared" ca="1" si="179"/>
        <v>41.128</v>
      </c>
      <c r="H389" s="34">
        <f t="shared" ca="1" si="179"/>
        <v>42.209000000000003</v>
      </c>
      <c r="I389" s="34">
        <f t="shared" ca="1" si="179"/>
        <v>42.720999999999997</v>
      </c>
      <c r="J389" s="34">
        <f t="shared" ca="1" si="179"/>
        <v>42.981000000000002</v>
      </c>
      <c r="K389" s="38">
        <f t="shared" ca="1" si="179"/>
        <v>43.028724370032037</v>
      </c>
      <c r="L389" s="38">
        <f t="shared" ca="1" si="179"/>
        <v>43.07649458612142</v>
      </c>
      <c r="M389" s="38">
        <f t="shared" ca="1" si="179"/>
        <v>43.125245200235845</v>
      </c>
      <c r="N389" s="38">
        <f t="shared" ca="1" si="179"/>
        <v>43.175031662321089</v>
      </c>
      <c r="O389" s="38">
        <f t="shared" ca="1" si="179"/>
        <v>43.225503257827789</v>
      </c>
      <c r="P389" s="38">
        <f t="shared" ca="1" si="179"/>
        <v>43.27624157023125</v>
      </c>
      <c r="Q389" s="38">
        <f t="shared" ca="1" si="179"/>
        <v>43.326388212447981</v>
      </c>
      <c r="R389" s="38">
        <f t="shared" ca="1" si="179"/>
        <v>43.375915116935886</v>
      </c>
      <c r="S389" s="38">
        <f t="shared" ca="1" si="179"/>
        <v>43.425184693124834</v>
      </c>
      <c r="T389" s="38">
        <f t="shared" ca="1" si="179"/>
        <v>43.474211246653951</v>
      </c>
    </row>
    <row r="390" spans="1:21" x14ac:dyDescent="0.2">
      <c r="A390" s="1" t="s">
        <v>279</v>
      </c>
      <c r="B390" s="4" t="str">
        <f>$B$38</f>
        <v>From Fiscal</v>
      </c>
      <c r="D390" s="15">
        <f>'Fiscal Forecasts'!D$312</f>
        <v>61.417000000000002</v>
      </c>
      <c r="E390" s="15">
        <f>'Fiscal Forecasts'!E$312</f>
        <v>66.769000000000005</v>
      </c>
      <c r="F390" s="16">
        <f>'Fiscal Forecasts'!F$312</f>
        <v>72.186999999999998</v>
      </c>
      <c r="G390" s="16">
        <f>'Fiscal Forecasts'!G$312</f>
        <v>74.91</v>
      </c>
      <c r="H390" s="16">
        <f>'Fiscal Forecasts'!H$312</f>
        <v>77.754999999999995</v>
      </c>
      <c r="I390" s="16">
        <f>'Fiscal Forecasts'!I$312</f>
        <v>79.861999999999995</v>
      </c>
      <c r="J390" s="16">
        <f>'Fiscal Forecasts'!J$312</f>
        <v>81.034999999999997</v>
      </c>
      <c r="K390" s="7">
        <f ca="1">IF(K$6=OFFSET(Assumptions!$B$8,0,$C$1),AVERAGE(H$390/SUM(H$390,H$391),I$390/SUM(I$390,I$391),J$390/SUM(J$390,J$391)),J$390/SUM(J$390,J$391))*SUM(J$390,J$391,K$396-K$393,-(K$397-K$394),-(K$398-K$395))</f>
        <v>81.444113050385681</v>
      </c>
      <c r="L390" s="7">
        <f ca="1">IF(L$6=OFFSET(Assumptions!$B$8,0,$C$1),AVERAGE(I$390/SUM(I$390,I$391),J$390/SUM(J$390,J$391),K$390/SUM(K$390,K$391)),K$390/SUM(K$390,K$391))*SUM(K$390,K$391,L$396-L$393,-(L$397-L$394),-(L$398-L$395))</f>
        <v>82.545925954744746</v>
      </c>
      <c r="M390" s="7">
        <f ca="1">IF(M$6=OFFSET(Assumptions!$B$8,0,$C$1),AVERAGE(J$390/SUM(J$390,J$391),K$390/SUM(K$390,K$391),L$390/SUM(L$390,L$391)),L$390/SUM(L$390,L$391))*SUM(L$390,L$391,M$396-M$393,-(M$397-M$394),-(M$398-M$395))</f>
        <v>83.708302415550037</v>
      </c>
      <c r="N390" s="7">
        <f ca="1">IF(N$6=OFFSET(Assumptions!$B$8,0,$C$1),AVERAGE(K$390/SUM(K$390,K$391),L$390/SUM(L$390,L$391),M$390/SUM(M$390,M$391)),M$390/SUM(M$390,M$391))*SUM(M$390,M$391,N$396-N$393,-(N$397-N$394),-(N$398-N$395))</f>
        <v>84.921419536620448</v>
      </c>
      <c r="O390" s="7">
        <f ca="1">IF(O$6=OFFSET(Assumptions!$B$8,0,$C$1),AVERAGE(L$390/SUM(L$390,L$391),M$390/SUM(M$390,M$391),N$390/SUM(N$390,N$391)),N$390/SUM(N$390,N$391))*SUM(N$390,N$391,O$396-O$393,-(O$397-O$394),-(O$398-O$395))</f>
        <v>86.186964617838342</v>
      </c>
      <c r="P390" s="7">
        <f ca="1">IF(P$6=OFFSET(Assumptions!$B$8,0,$C$1),AVERAGE(M$390/SUM(M$390,M$391),N$390/SUM(N$390,N$391),O$390/SUM(O$390,O$391)),O$390/SUM(O$390,O$391))*SUM(O$390,O$391,P$396-P$393,-(P$397-P$394),-(P$398-P$395))</f>
        <v>87.506832021548192</v>
      </c>
      <c r="Q390" s="7">
        <f ca="1">IF(Q$6=OFFSET(Assumptions!$B$8,0,$C$1),AVERAGE(N$390/SUM(N$390,N$391),O$390/SUM(O$390,O$391),P$390/SUM(P$390,P$391)),P$390/SUM(P$390,P$391))*SUM(P$390,P$391,Q$396-Q$393,-(Q$397-Q$394),-(Q$398-Q$395))</f>
        <v>88.882832091684833</v>
      </c>
      <c r="R390" s="7">
        <f ca="1">IF(R$6=OFFSET(Assumptions!$B$8,0,$C$1),AVERAGE(O$390/SUM(O$390,O$391),P$390/SUM(P$390,P$391),Q$390/SUM(Q$390,Q$391)),Q$390/SUM(Q$390,Q$391))*SUM(Q$390,Q$391,R$396-R$393,-(R$397-R$394),-(R$398-R$395))</f>
        <v>90.316712579415793</v>
      </c>
      <c r="S390" s="7">
        <f ca="1">IF(S$6=OFFSET(Assumptions!$B$8,0,$C$1),AVERAGE(P$390/SUM(P$390,P$391),Q$390/SUM(Q$390,Q$391),R$390/SUM(R$390,R$391)),R$390/SUM(R$390,R$391))*SUM(R$390,R$391,S$396-S$393,-(S$397-S$394),-(S$398-S$395))</f>
        <v>91.810483969341092</v>
      </c>
      <c r="T390" s="7">
        <f ca="1">IF(T$6=OFFSET(Assumptions!$B$8,0,$C$1),AVERAGE(Q$390/SUM(Q$390,Q$391),R$390/SUM(R$390,R$391),S$390/SUM(S$390,S$391)),S$390/SUM(S$390,S$391))*SUM(S$390,S$391,T$396-T$393,-(T$397-T$394),-(T$398-T$395))</f>
        <v>93.366063737314562</v>
      </c>
    </row>
    <row r="391" spans="1:21" x14ac:dyDescent="0.2">
      <c r="A391" s="1" t="s">
        <v>506</v>
      </c>
      <c r="B391" s="4" t="str">
        <f>$B$38</f>
        <v>From Fiscal</v>
      </c>
      <c r="D391" s="15">
        <f>SUM('Fiscal Forecasts'!D$313:D$314)</f>
        <v>30.852</v>
      </c>
      <c r="E391" s="15">
        <f>SUM('Fiscal Forecasts'!E$313:E$314)</f>
        <v>32.033000000000001</v>
      </c>
      <c r="F391" s="16">
        <f>SUM('Fiscal Forecasts'!F$313:F$314)</f>
        <v>32.792000000000002</v>
      </c>
      <c r="G391" s="16">
        <f>SUM('Fiscal Forecasts'!G$313:G$314)</f>
        <v>32.815000000000005</v>
      </c>
      <c r="H391" s="16">
        <f>SUM('Fiscal Forecasts'!H$313:H$314)</f>
        <v>33.090000000000003</v>
      </c>
      <c r="I391" s="16">
        <f>SUM('Fiscal Forecasts'!I$313:I$314)</f>
        <v>32.956000000000003</v>
      </c>
      <c r="J391" s="16">
        <f>SUM('Fiscal Forecasts'!J$313:J$314)</f>
        <v>32.672000000000004</v>
      </c>
      <c r="K391" s="7">
        <f ca="1">IF(K$6=OFFSET(Assumptions!$B$8,0,$C$1),AVERAGE(H$391/SUM(H$390,H$391),I$391/SUM(I$390,I$391),J$391/SUM(J$390,J$391)),J$391/SUM(J$390,J$391))*SUM(J$390,J$391,K$396-K$393,-(K$397-K$394),-(K$398-K$395))</f>
        <v>33.697088377155247</v>
      </c>
      <c r="L391" s="7">
        <f ca="1">IF(L$6=OFFSET(Assumptions!$B$8,0,$C$1),AVERAGE(I$391/SUM(I$390,I$391),J$391/SUM(J$390,J$391),K$391/SUM(K$390,K$391)),K$391/SUM(K$390,K$391))*SUM(K$390,K$391,L$396-L$393,-(L$397-L$394),-(L$398-L$395))</f>
        <v>34.152957873705702</v>
      </c>
      <c r="M391" s="7">
        <f ca="1">IF(M$6=OFFSET(Assumptions!$B$8,0,$C$1),AVERAGE(J$391/SUM(J$390,J$391),K$391/SUM(K$390,K$391),L$391/SUM(L$390,L$391)),L$391/SUM(L$390,L$391))*SUM(L$390,L$391,M$396-M$393,-(M$397-M$394),-(M$398-M$395))</f>
        <v>34.633885234324744</v>
      </c>
      <c r="N391" s="7">
        <f ca="1">IF(N$6=OFFSET(Assumptions!$B$8,0,$C$1),AVERAGE(K$391/SUM(K$390,K$391),L$391/SUM(L$390,L$391),M$391/SUM(M$390,M$391)),M$391/SUM(M$390,M$391))*SUM(M$390,M$391,N$396-N$393,-(N$397-N$394),-(N$398-N$395))</f>
        <v>35.135806285576912</v>
      </c>
      <c r="O391" s="7">
        <f ca="1">IF(O$6=OFFSET(Assumptions!$B$8,0,$C$1),AVERAGE(L$391/SUM(L$390,L$391),M$391/SUM(M$390,M$391),N$391/SUM(N$390,N$391)),N$391/SUM(N$390,N$391))*SUM(N$390,N$391,O$396-O$393,-(O$397-O$394),-(O$398-O$395))</f>
        <v>35.659419139224056</v>
      </c>
      <c r="P391" s="7">
        <f ca="1">IF(P$6=OFFSET(Assumptions!$B$8,0,$C$1),AVERAGE(M$391/SUM(M$390,M$391),N$391/SUM(N$390,N$391),O$391/SUM(O$390,O$391)),O$391/SUM(O$390,O$391))*SUM(O$390,O$391,P$396-P$393,-(P$397-P$394),-(P$398-P$395))</f>
        <v>36.205507578070737</v>
      </c>
      <c r="Q391" s="7">
        <f ca="1">IF(Q$6=OFFSET(Assumptions!$B$8,0,$C$1),AVERAGE(N$391/SUM(N$390,N$391),O$391/SUM(O$390,O$391),P$391/SUM(P$390,P$391)),P$391/SUM(P$390,P$391))*SUM(P$390,P$391,Q$396-Q$393,-(Q$397-Q$394),-(Q$398-Q$395))</f>
        <v>36.774820622730957</v>
      </c>
      <c r="R391" s="7">
        <f ca="1">IF(R$6=OFFSET(Assumptions!$B$8,0,$C$1),AVERAGE(O$391/SUM(O$390,O$391),P$391/SUM(P$390,P$391),Q$391/SUM(Q$390,Q$391)),Q$391/SUM(Q$390,Q$391))*SUM(Q$390,Q$391,R$396-R$393,-(R$397-R$394),-(R$398-R$395))</f>
        <v>37.368081396378976</v>
      </c>
      <c r="S391" s="7">
        <f ca="1">IF(S$6=OFFSET(Assumptions!$B$8,0,$C$1),AVERAGE(P$391/SUM(P$390,P$391),Q$391/SUM(Q$390,Q$391),R$391/SUM(R$390,R$391)),R$391/SUM(R$390,R$391))*SUM(R$390,R$391,S$396-S$393,-(S$397-S$394),-(S$398-S$395))</f>
        <v>37.986121726813153</v>
      </c>
      <c r="T391" s="7">
        <f ca="1">IF(T$6=OFFSET(Assumptions!$B$8,0,$C$1),AVERAGE(Q$391/SUM(Q$390,Q$391),R$391/SUM(R$390,R$391),S$391/SUM(S$390,S$391)),S$391/SUM(S$390,S$391))*SUM(S$390,S$391,T$396-T$393,-(T$397-T$394),-(T$398-T$395))</f>
        <v>38.629734959935206</v>
      </c>
    </row>
    <row r="392" spans="1:21" ht="15" x14ac:dyDescent="0.25">
      <c r="A392" s="2" t="s">
        <v>623</v>
      </c>
      <c r="B392" s="4"/>
      <c r="D392" s="35">
        <f t="shared" ref="D392:T392" ca="1" si="180">SUM(D$389:D$391)</f>
        <v>124.55800000000001</v>
      </c>
      <c r="E392" s="35">
        <f t="shared" ca="1" si="180"/>
        <v>134.49900000000002</v>
      </c>
      <c r="F392" s="34">
        <f t="shared" ca="1" si="180"/>
        <v>144.126</v>
      </c>
      <c r="G392" s="34">
        <f t="shared" ca="1" si="180"/>
        <v>148.85300000000001</v>
      </c>
      <c r="H392" s="34">
        <f t="shared" ca="1" si="180"/>
        <v>153.054</v>
      </c>
      <c r="I392" s="34">
        <f t="shared" ca="1" si="180"/>
        <v>155.53899999999999</v>
      </c>
      <c r="J392" s="34">
        <f t="shared" ca="1" si="180"/>
        <v>156.68799999999999</v>
      </c>
      <c r="K392" s="38">
        <f t="shared" ca="1" si="180"/>
        <v>158.16992579757297</v>
      </c>
      <c r="L392" s="38">
        <f t="shared" ca="1" si="180"/>
        <v>159.77537841457186</v>
      </c>
      <c r="M392" s="38">
        <f t="shared" ca="1" si="180"/>
        <v>161.46743285011061</v>
      </c>
      <c r="N392" s="38">
        <f t="shared" ca="1" si="180"/>
        <v>163.23225748451844</v>
      </c>
      <c r="O392" s="38">
        <f t="shared" ca="1" si="180"/>
        <v>165.07188701489019</v>
      </c>
      <c r="P392" s="38">
        <f t="shared" ca="1" si="180"/>
        <v>166.98858116985019</v>
      </c>
      <c r="Q392" s="38">
        <f t="shared" ca="1" si="180"/>
        <v>168.98404092686377</v>
      </c>
      <c r="R392" s="38">
        <f t="shared" ca="1" si="180"/>
        <v>171.06070909273066</v>
      </c>
      <c r="S392" s="38">
        <f t="shared" ca="1" si="180"/>
        <v>173.22179038927908</v>
      </c>
      <c r="T392" s="38">
        <f t="shared" ca="1" si="180"/>
        <v>175.47000994390373</v>
      </c>
    </row>
    <row r="393" spans="1:21" x14ac:dyDescent="0.2">
      <c r="A393" s="1" t="s">
        <v>1336</v>
      </c>
      <c r="B393" s="4"/>
      <c r="D393" s="15">
        <f t="shared" ref="D393:J393" ca="1" si="181">SUM(D$389-C$389,D$394,D$395)</f>
        <v>1.7337644050915526</v>
      </c>
      <c r="E393" s="15">
        <f t="shared" ca="1" si="181"/>
        <v>3.9153419691260805</v>
      </c>
      <c r="F393" s="16">
        <f t="shared" ca="1" si="181"/>
        <v>4.4343797166458341</v>
      </c>
      <c r="G393" s="16">
        <f t="shared" ca="1" si="181"/>
        <v>3.292606228972152</v>
      </c>
      <c r="H393" s="16">
        <f t="shared" ca="1" si="181"/>
        <v>2.601920670265105</v>
      </c>
      <c r="I393" s="16">
        <f t="shared" ca="1" si="181"/>
        <v>2.0979111519021663</v>
      </c>
      <c r="J393" s="16">
        <f t="shared" ca="1" si="181"/>
        <v>1.9001149461116036</v>
      </c>
      <c r="K393" s="7">
        <f ca="1">SUM(K$387-J$387,IF(OFFSET(Assumptions!$B$64,0,$C$1)="Yes",SUM(K$422-J$422,K$423-J$423),0),K$395)/(1-IF(K$6=OFFSET(Assumptions!$B$8,0,$C$1),AVERAGE(H$394/H$393,I$394/I$393,J$394/J$393),J$394/J$393))</f>
        <v>1.7869902592625868</v>
      </c>
      <c r="L393" s="7">
        <f ca="1">SUM(L$387-K$387,IF(OFFSET(Assumptions!$B$64,0,$C$1)="Yes",SUM(L$422-K$422,L$423-K$423),0),L$395)/(1-IF(L$6=OFFSET(Assumptions!$B$8,0,$C$1),AVERAGE(I$394/I$393,J$394/J$393,K$394/K$393),K$394/K$393))</f>
        <v>1.8185427080928447</v>
      </c>
      <c r="M393" s="7">
        <f ca="1">SUM(M$387-L$387,IF(OFFSET(Assumptions!$B$64,0,$C$1)="Yes",SUM(M$422-L$422,M$423-L$423),0),M$395)/(1-IF(M$6=OFFSET(Assumptions!$B$8,0,$C$1),AVERAGE(J$394/J$393,K$394/K$393,L$394/L$393),L$394/L$393))</f>
        <v>1.930749732967783</v>
      </c>
      <c r="N393" s="7">
        <f ca="1">SUM(N$387-M$387,IF(OFFSET(Assumptions!$B$64,0,$C$1)="Yes",SUM(N$422-M$422,N$423-M$423),0),N$395)/(1-IF(N$6=OFFSET(Assumptions!$B$8,0,$C$1),AVERAGE(K$394/K$393,L$394/L$393,M$394/M$393),M$394/M$393))</f>
        <v>2.0788203453238974</v>
      </c>
      <c r="O393" s="7">
        <f ca="1">SUM(O$387-N$387,IF(OFFSET(Assumptions!$B$64,0,$C$1)="Yes",SUM(O$422-N$422,O$423-N$423),0),O$395)/(1-IF(O$6=OFFSET(Assumptions!$B$8,0,$C$1),AVERAGE(L$394/L$393,M$394/M$393,N$394/N$393),N$394/N$393))</f>
        <v>2.2639038411604964</v>
      </c>
      <c r="P393" s="7">
        <f ca="1">SUM(P$387-O$387,IF(OFFSET(Assumptions!$B$64,0,$C$1)="Yes",SUM(P$422-O$422,P$423-O$423),0),P$395)/(1-IF(P$6=OFFSET(Assumptions!$B$8,0,$C$1),AVERAGE(M$394/M$393,N$394/N$393,O$394/O$393),O$394/O$393))</f>
        <v>2.4854573602385277</v>
      </c>
      <c r="Q393" s="7">
        <f ca="1">SUM(Q$387-P$387,IF(OFFSET(Assumptions!$B$64,0,$C$1)="Yes",SUM(Q$422-P$422,Q$423-P$423),0),Q$395)/(1-IF(Q$6=OFFSET(Assumptions!$B$8,0,$C$1),AVERAGE(N$394/N$393,O$394/O$393,P$394/P$393),P$394/P$393))</f>
        <v>2.7504242436978465</v>
      </c>
      <c r="R393" s="7">
        <f ca="1">SUM(R$387-Q$387,IF(OFFSET(Assumptions!$B$64,0,$C$1)="Yes",SUM(R$422-Q$422,R$423-Q$423),0),R$395)/(1-IF(R$6=OFFSET(Assumptions!$B$8,0,$C$1),AVERAGE(O$394/O$393,P$394/P$393,Q$394/Q$393),Q$394/Q$393))</f>
        <v>3.0684733455506752</v>
      </c>
      <c r="S393" s="7">
        <f ca="1">SUM(S$387-R$387,IF(OFFSET(Assumptions!$B$64,0,$C$1)="Yes",SUM(S$422-R$422,S$423-R$423),0),S$395)/(1-IF(S$6=OFFSET(Assumptions!$B$8,0,$C$1),AVERAGE(P$394/P$393,Q$394/Q$393,R$394/R$393),R$394/R$393))</f>
        <v>3.4506109479445692</v>
      </c>
      <c r="T393" s="7">
        <f ca="1">SUM(T$387-S$387,IF(OFFSET(Assumptions!$B$64,0,$C$1)="Yes",SUM(T$422-S$422,T$423-S$423),0),T$395)/(1-IF(T$6=OFFSET(Assumptions!$B$8,0,$C$1),AVERAGE(Q$394/Q$393,R$394/R$393,S$394/S$393),S$394/S$393))</f>
        <v>3.9092408039621533</v>
      </c>
    </row>
    <row r="394" spans="1:21" x14ac:dyDescent="0.2">
      <c r="A394" s="1" t="s">
        <v>726</v>
      </c>
      <c r="B394" s="4"/>
      <c r="D394" s="15">
        <f t="shared" ref="D394:J394" ca="1" si="182">D$388/(D$392-D$387)*D$397</f>
        <v>-0.74485703233100053</v>
      </c>
      <c r="E394" s="15">
        <f t="shared" ca="1" si="182"/>
        <v>-0.71962172318161344</v>
      </c>
      <c r="F394" s="16">
        <f t="shared" ca="1" si="182"/>
        <v>-0.43448780223853117</v>
      </c>
      <c r="G394" s="16">
        <f t="shared" ca="1" si="182"/>
        <v>-0.19983961296515021</v>
      </c>
      <c r="H394" s="16">
        <f t="shared" ca="1" si="182"/>
        <v>-3.643063186565746E-2</v>
      </c>
      <c r="I394" s="16">
        <f t="shared" ca="1" si="182"/>
        <v>-3.4906006274770807E-2</v>
      </c>
      <c r="J394" s="16">
        <f t="shared" ca="1" si="182"/>
        <v>-3.3199621094594428E-2</v>
      </c>
      <c r="K394" s="7">
        <f ca="1">IF(K$6=OFFSET(Assumptions!$B$8,0,$C$1),AVERAGE(H$394/H$393,I$394/I$393,J$394/J$393),J$394/J$393)*K$393</f>
        <v>-2.8658751413092824E-2</v>
      </c>
      <c r="L394" s="7">
        <f ca="1">IF(L$6=OFFSET(Assumptions!$B$8,0,$C$1),AVERAGE(I$394/I$393,J$394/J$393,K$394/K$393),K$394/K$393)*L$393</f>
        <v>-2.9164771959547194E-2</v>
      </c>
      <c r="M394" s="7">
        <f ca="1">IF(M$6=OFFSET(Assumptions!$B$8,0,$C$1),AVERAGE(J$394/J$393,K$394/K$393,L$394/L$393),L$394/L$393)*M$393</f>
        <v>-3.0964285536090451E-2</v>
      </c>
      <c r="N394" s="7">
        <f ca="1">IF(N$6=OFFSET(Assumptions!$B$8,0,$C$1),AVERAGE(K$394/K$393,L$394/L$393,M$394/M$393),M$394/M$393)*N$393</f>
        <v>-3.3338959292202264E-2</v>
      </c>
      <c r="O394" s="7">
        <f ca="1">IF(O$6=OFFSET(Assumptions!$B$8,0,$C$1),AVERAGE(L$394/L$393,M$394/M$393,N$394/N$393),N$394/N$393)*O$393</f>
        <v>-3.6307224995024916E-2</v>
      </c>
      <c r="P394" s="7">
        <f ca="1">IF(P$6=OFFSET(Assumptions!$B$8,0,$C$1),AVERAGE(M$394/M$393,N$394/N$393,O$394/O$393),O$394/O$393)*P$393</f>
        <v>-3.9860376555332443E-2</v>
      </c>
      <c r="Q394" s="7">
        <f ca="1">IF(Q$6=OFFSET(Assumptions!$B$8,0,$C$1),AVERAGE(N$394/N$393,O$394/O$393,P$394/P$393),P$394/P$393)*Q$393</f>
        <v>-4.410976739918411E-2</v>
      </c>
      <c r="R394" s="7">
        <f ca="1">IF(R$6=OFFSET(Assumptions!$B$8,0,$C$1),AVERAGE(O$394/O$393,P$394/P$393,Q$394/Q$393),Q$394/Q$393)*R$393</f>
        <v>-4.9210461205382576E-2</v>
      </c>
      <c r="S394" s="7">
        <f ca="1">IF(S$6=OFFSET(Assumptions!$B$8,0,$C$1),AVERAGE(P$394/P$393,Q$394/Q$393,R$394/R$393),R$394/R$393)*S$393</f>
        <v>-5.5338970577963685E-2</v>
      </c>
      <c r="T394" s="7">
        <f ca="1">IF(T$6=OFFSET(Assumptions!$B$8,0,$C$1),AVERAGE(Q$394/Q$393,R$394/R$393,S$394/S$393),S$394/S$393)*T$393</f>
        <v>-6.2694219979073651E-2</v>
      </c>
    </row>
    <row r="395" spans="1:21" x14ac:dyDescent="0.2">
      <c r="A395" s="1" t="s">
        <v>1334</v>
      </c>
      <c r="B395" s="4"/>
      <c r="D395" s="15">
        <f t="shared" ref="D395:J395" si="183">D$190/D$193*D$398</f>
        <v>1.1526214374225527</v>
      </c>
      <c r="E395" s="15">
        <f t="shared" si="183"/>
        <v>1.2269636923076923</v>
      </c>
      <c r="F395" s="16">
        <f t="shared" si="183"/>
        <v>1.4188675188843693</v>
      </c>
      <c r="G395" s="16">
        <f t="shared" si="183"/>
        <v>1.5114458419373007</v>
      </c>
      <c r="H395" s="16">
        <f t="shared" si="183"/>
        <v>1.5573513021307595</v>
      </c>
      <c r="I395" s="16">
        <f t="shared" si="183"/>
        <v>1.6208171581769439</v>
      </c>
      <c r="J395" s="16">
        <f t="shared" si="183"/>
        <v>1.6733145672061929</v>
      </c>
      <c r="K395" s="7">
        <f ca="1">IF(OFFSET(Assumptions!$B$64,0,$C$1)="Yes",IF(K$6=OFFSET(Assumptions!$B$8,0,$C$1),AVERAGE(H$395/G$388,I$395/H$388,J$395/I$388),J$395/I$388)*J$388,IF(K$6=OFFSET(Assumptions!$B$8,0,$C$1),AVERAGE(H$395/SUM(G$388,G$422:G$423),I$395/SUM(H$388,H$422:H$423),J$395/SUM(I$388,I$422:I$423)),J$395/SUM(I$388,I$422:I$423))*SUM(J$388,J$422:J$423))</f>
        <v>1.7679246406436393</v>
      </c>
      <c r="L395" s="7">
        <f ca="1">IF(OFFSET(Assumptions!$B$64,0,$C$1)="Yes",IF(L$6=OFFSET(Assumptions!$B$8,0,$C$1),AVERAGE(I$395/H$388,J$395/I$388,K$395/J$388),K$395/J$388)*K$388,IF(L$6=OFFSET(Assumptions!$B$8,0,$C$1),AVERAGE(I$395/SUM(H$388,H$422:H$423),J$395/SUM(I$388,I$422:I$423),K$395/SUM(J$388,J$422:J$423)),K$395/SUM(J$388,J$422:J$423))*SUM(K$388,K$422:K$423))</f>
        <v>1.7999372639630105</v>
      </c>
      <c r="M395" s="7">
        <f ca="1">IF(OFFSET(Assumptions!$B$64,0,$C$1)="Yes",IF(M$6=OFFSET(Assumptions!$B$8,0,$C$1),AVERAGE(J$395/I$388,K$395/J$388,L$395/K$388),L$395/K$388)*L$388,IF(M$6=OFFSET(Assumptions!$B$8,0,$C$1),AVERAGE(J$395/SUM(I$388,I$422:I$423),K$395/SUM(J$388,J$422:J$423),L$395/SUM(K$388,K$422:K$423)),L$395/SUM(K$388,K$422:K$423))*SUM(L$388,L$422:L$423))</f>
        <v>1.9129634043894488</v>
      </c>
      <c r="N395" s="7">
        <f ca="1">IF(OFFSET(Assumptions!$B$64,0,$C$1)="Yes",IF(N$6=OFFSET(Assumptions!$B$8,0,$C$1),AVERAGE(K$395/J$388,L$395/K$388,M$395/L$388),M$395/L$388)*M$388,IF(N$6=OFFSET(Assumptions!$B$8,0,$C$1),AVERAGE(K$395/SUM(J$388,J$422:J$423),L$395/SUM(K$388,K$422:K$423),M$395/SUM(L$388,L$422:L$423)),M$395/SUM(L$388,L$422:L$423))*SUM(M$388,M$422:M$423))</f>
        <v>2.0623728425308521</v>
      </c>
      <c r="O395" s="7">
        <f ca="1">IF(OFFSET(Assumptions!$B$64,0,$C$1)="Yes",IF(O$6=OFFSET(Assumptions!$B$8,0,$C$1),AVERAGE(L$395/K$388,M$395/L$388,N$395/M$388),N$395/M$388)*N$388,IF(O$6=OFFSET(Assumptions!$B$8,0,$C$1),AVERAGE(L$395/SUM(K$388,K$422:K$423),M$395/SUM(L$388,L$422:L$423),N$395/SUM(M$388,M$422:M$423)),N$395/SUM(M$388,M$422:M$423))*SUM(N$388,N$422:N$423))</f>
        <v>2.2497394706488292</v>
      </c>
      <c r="P395" s="7">
        <f ca="1">IF(OFFSET(Assumptions!$B$64,0,$C$1)="Yes",IF(P$6=OFFSET(Assumptions!$B$8,0,$C$1),AVERAGE(M$395/L$388,N$395/M$388,O$395/N$388),O$395/N$388)*O$388,IF(P$6=OFFSET(Assumptions!$B$8,0,$C$1),AVERAGE(M$395/SUM(L$388,L$422:L$423),N$395/SUM(M$388,M$422:M$423),O$395/SUM(N$388,N$422:N$423)),O$395/SUM(N$388,N$422:N$423))*SUM(O$388,O$422:O$423))</f>
        <v>2.4745794243904018</v>
      </c>
      <c r="Q395" s="7">
        <f ca="1">IF(OFFSET(Assumptions!$B$64,0,$C$1)="Yes",IF(Q$6=OFFSET(Assumptions!$B$8,0,$C$1),AVERAGE(N$395/M$388,O$395/N$388,P$395/O$388),P$395/O$388)*P$388,IF(Q$6=OFFSET(Assumptions!$B$8,0,$C$1),AVERAGE(N$395/SUM(M$388,M$422:M$423),O$395/SUM(N$388,N$422:N$423),P$395/SUM(O$388,O$422:O$423)),P$395/SUM(O$388,O$422:O$423))*SUM(P$388,P$422:P$423))</f>
        <v>2.7443873688802887</v>
      </c>
      <c r="R395" s="7">
        <f ca="1">IF(OFFSET(Assumptions!$B$64,0,$C$1)="Yes",IF(R$6=OFFSET(Assumptions!$B$8,0,$C$1),AVERAGE(O$395/N$388,P$395/O$388,Q$395/P$388),Q$395/P$388)*Q$388,IF(R$6=OFFSET(Assumptions!$B$8,0,$C$1),AVERAGE(O$395/SUM(N$388,N$422:N$423),P$395/SUM(O$388,O$422:O$423),Q$395/SUM(P$388,P$422:P$423)),Q$395/SUM(P$388,P$422:P$423))*SUM(Q$388,Q$422:Q$423))</f>
        <v>3.0681569022681527</v>
      </c>
      <c r="S395" s="7">
        <f ca="1">IF(OFFSET(Assumptions!$B$64,0,$C$1)="Yes",IF(S$6=OFFSET(Assumptions!$B$8,0,$C$1),AVERAGE(P$395/O$388,Q$395/P$388,R$395/Q$388),R$395/Q$388)*R$388,IF(S$6=OFFSET(Assumptions!$B$8,0,$C$1),AVERAGE(P$395/SUM(O$388,O$422:O$423),Q$395/SUM(P$388,P$422:P$423),R$395/SUM(Q$388,Q$422:Q$423)),R$395/SUM(Q$388,Q$422:Q$423))*SUM(R$388,R$422:R$423))</f>
        <v>3.4566803423335895</v>
      </c>
      <c r="T395" s="7">
        <f ca="1">IF(OFFSET(Assumptions!$B$64,0,$C$1)="Yes",IF(T$6=OFFSET(Assumptions!$B$8,0,$C$1),AVERAGE(Q$395/P$388,R$395/Q$388,S$395/R$388),S$395/R$388)*S$388,IF(T$6=OFFSET(Assumptions!$B$8,0,$C$1),AVERAGE(Q$395/SUM(P$388,P$422:P$423),R$395/SUM(Q$388,Q$422:Q$423),S$395/SUM(R$388,R$422:R$423)),S$395/SUM(R$388,R$422:R$423))*SUM(S$388,S$422:S$423))</f>
        <v>3.9229084704121138</v>
      </c>
    </row>
    <row r="396" spans="1:21" x14ac:dyDescent="0.2">
      <c r="A396" s="1" t="s">
        <v>624</v>
      </c>
      <c r="B396" s="4" t="str">
        <f>$B$38</f>
        <v>From Fiscal</v>
      </c>
      <c r="D396" s="15">
        <f>SUM('Fiscal Forecasts'!D$317:D$320)</f>
        <v>9.2320000000000011</v>
      </c>
      <c r="E396" s="15">
        <f>SUM('Fiscal Forecasts'!E$317:E$320)</f>
        <v>11.125</v>
      </c>
      <c r="F396" s="16">
        <f ca="1">SUM('Fiscal Forecasts'!F$317:F$320) +IF(OFFSET(Assumptions!$B$64,0,$C$1)="Yes",SUM(F$422:F$423)-SUM(E$422:E$423),0)</f>
        <v>12.513999999999999</v>
      </c>
      <c r="G396" s="16">
        <f ca="1">SUM('Fiscal Forecasts'!G$317:G$320) +IF(OFFSET(Assumptions!$B$64,0,$C$1)="Yes",SUM(G$422:G$423)-SUM(F$422:F$423),0)</f>
        <v>8.552999999999999</v>
      </c>
      <c r="H396" s="16">
        <f ca="1">SUM('Fiscal Forecasts'!H$317:H$320) +IF(OFFSET(Assumptions!$B$64,0,$C$1)="Yes",SUM(H$422:H$423)-SUM(G$422:G$423),0)</f>
        <v>8.7640000000000011</v>
      </c>
      <c r="I396" s="16">
        <f ca="1">SUM('Fiscal Forecasts'!I$317:I$320) +IF(OFFSET(Assumptions!$B$64,0,$C$1)="Yes",SUM(I$422:I$423)-SUM(H$422:H$423),0)</f>
        <v>7.1450000000000005</v>
      </c>
      <c r="J396" s="16">
        <f ca="1">SUM('Fiscal Forecasts'!J$317:J$320) +IF(OFFSET(Assumptions!$B$64,0,$C$1)="Yes",SUM(J$422:J$423)-SUM(I$422:I$423),0)</f>
        <v>5.9069999999999991</v>
      </c>
      <c r="K396" s="7">
        <f ca="1">SUM(K$393,SUM(K$398-K$395,K$127-K$261)/(1-IF(K$6=OFFSET(Assumptions!$B$8,0,$C$1),AVERAGE((H$397-H$394)/(H$396-H$393),(I$397-I$394)/(I$396-I$393),(J$397-J$394)/(J$396-J$393)),(J$397-J$394)/(J$396-J$393))))</f>
        <v>6.3992844461459759</v>
      </c>
      <c r="L396" s="7">
        <f ca="1">SUM(L$393,SUM(L$398-L$395,L$127-L$261)/(1-IF(L$6=OFFSET(Assumptions!$B$8,0,$C$1),AVERAGE((I$397-I$394)/(I$396-I$393),(J$397-J$394)/(J$396-J$393),(K$397-K$394)/(K$396-K$393)),(K$397-K$394)/(K$396-K$393))))</f>
        <v>6.5924628894633059</v>
      </c>
      <c r="M396" s="7">
        <f ca="1">SUM(M$393,SUM(M$398-M$395,M$127-M$261)/(1-IF(M$6=OFFSET(Assumptions!$B$8,0,$C$1),AVERAGE((J$397-J$394)/(J$396-J$393),(K$397-K$394)/(K$396-K$393),(L$397-L$394)/(L$396-L$393)),(L$397-L$394)/(L$396-L$393))))</f>
        <v>6.8326134585962697</v>
      </c>
      <c r="N396" s="7">
        <f ca="1">SUM(N$393,SUM(N$398-N$395,N$127-N$261)/(1-IF(N$6=OFFSET(Assumptions!$B$8,0,$C$1),AVERAGE((K$397-K$394)/(K$396-K$393),(L$397-L$394)/(L$396-L$393),(M$397-M$394)/(M$396-M$393)),(M$397-M$394)/(M$396-M$393))))</f>
        <v>7.097409254959782</v>
      </c>
      <c r="O396" s="7">
        <f ca="1">SUM(O$393,SUM(O$398-O$395,O$127-O$261)/(1-IF(O$6=OFFSET(Assumptions!$B$8,0,$C$1),AVERAGE((L$397-L$394)/(L$396-L$393),(M$397-M$394)/(M$396-M$393),(N$397-N$394)/(N$396-N$393)),(N$397-N$394)/(N$396-N$393))))</f>
        <v>7.4035810460571643</v>
      </c>
      <c r="P396" s="7">
        <f ca="1">SUM(P$393,SUM(P$398-P$395,P$127-P$261)/(1-IF(P$6=OFFSET(Assumptions!$B$8,0,$C$1),AVERAGE((M$397-M$394)/(M$396-M$393),(N$397-N$394)/(N$396-N$393),(O$397-O$394)/(O$396-O$393)),(O$397-O$394)/(O$396-O$393))))</f>
        <v>7.7509405406473135</v>
      </c>
      <c r="Q396" s="7">
        <f ca="1">SUM(Q$393,SUM(Q$398-Q$395,Q$127-Q$261)/(1-IF(Q$6=OFFSET(Assumptions!$B$8,0,$C$1),AVERAGE((N$397-N$394)/(N$396-N$393),(O$397-O$394)/(O$396-O$393),(P$397-P$394)/(P$396-P$393)),(P$397-P$394)/(P$396-P$393))))</f>
        <v>8.1463899622663867</v>
      </c>
      <c r="R396" s="7">
        <f ca="1">SUM(R$393,SUM(R$398-R$395,R$127-R$261)/(1-IF(R$6=OFFSET(Assumptions!$B$8,0,$C$1),AVERAGE((O$397-O$394)/(O$396-O$393),(P$397-P$394)/(P$396-P$393),(Q$397-Q$394)/(Q$396-Q$393)),(Q$397-Q$394)/(Q$396-Q$393))))</f>
        <v>8.599583432459049</v>
      </c>
      <c r="S396" s="7">
        <f ca="1">SUM(S$393,SUM(S$398-S$395,S$127-S$261)/(1-IF(S$6=OFFSET(Assumptions!$B$8,0,$C$1),AVERAGE((P$397-P$394)/(P$396-P$393),(Q$397-Q$394)/(Q$396-Q$393),(R$397-R$394)/(R$396-R$393)),(R$397-R$394)/(R$396-R$393))))</f>
        <v>9.1219614661682762</v>
      </c>
      <c r="T396" s="7">
        <f ca="1">SUM(T$393,SUM(T$398-T$395,T$127-T$261)/(1-IF(T$6=OFFSET(Assumptions!$B$8,0,$C$1),AVERAGE((Q$397-Q$394)/(Q$396-Q$393),(R$397-R$394)/(R$396-R$393),(S$397-S$394)/(S$396-S$393)),(S$397-S$394)/(S$396-S$393))))</f>
        <v>9.7258788494524318</v>
      </c>
    </row>
    <row r="397" spans="1:21" x14ac:dyDescent="0.2">
      <c r="A397" s="1" t="s">
        <v>727</v>
      </c>
      <c r="B397" s="4" t="str">
        <f>$B$38</f>
        <v>From Fiscal</v>
      </c>
      <c r="D397" s="15">
        <f>SUM('Fiscal Forecasts'!D$322:D$324,'Fiscal Forecasts'!D$326)</f>
        <v>-2.8930000000000002</v>
      </c>
      <c r="E397" s="15">
        <f>SUM('Fiscal Forecasts'!E$322:E$324,'Fiscal Forecasts'!E$326)</f>
        <v>-2.7280000000000002</v>
      </c>
      <c r="F397" s="16">
        <f>SUM('Fiscal Forecasts'!F$322:F$324,'Fiscal Forecasts'!F$326)</f>
        <v>-1.61</v>
      </c>
      <c r="G397" s="16">
        <f>SUM('Fiscal Forecasts'!G$322:G$324,'Fiscal Forecasts'!G$326)</f>
        <v>-0.72799999999999998</v>
      </c>
      <c r="H397" s="16">
        <f>SUM('Fiscal Forecasts'!H$322:H$324,'Fiscal Forecasts'!H$326)</f>
        <v>-0.13300000000000001</v>
      </c>
      <c r="I397" s="16">
        <f>SUM('Fiscal Forecasts'!I$322:I$324,'Fiscal Forecasts'!I$326)</f>
        <v>-0.128</v>
      </c>
      <c r="J397" s="16">
        <f>SUM('Fiscal Forecasts'!J$322:J$324,'Fiscal Forecasts'!J$326)</f>
        <v>-0.12200000000000001</v>
      </c>
      <c r="K397" s="7">
        <f ca="1">SUM(K$394,IF(K$6=OFFSET(Assumptions!$B$8,0,$C$1),AVERAGE((H$397-H$394)/(H$396-H$393),(I$397-I$394)/(I$396-I$393),(J$397-J$394)/(J$396-J$393)),(J$397-J$394)/(J$396-J$393))*(K$396-K$393))</f>
        <v>-0.1151832238499364</v>
      </c>
      <c r="L397" s="7">
        <f ca="1">SUM(L$394,IF(L$6=OFFSET(Assumptions!$B$8,0,$C$1),AVERAGE((I$397-I$394)/(I$396-I$393),(J$397-J$394)/(J$396-J$393),(K$397-K$394)/(K$396-K$393)),(K$397-K$394)/(K$396-K$393))*(L$396-L$393))</f>
        <v>-0.11872127213322596</v>
      </c>
      <c r="M397" s="7">
        <f ca="1">SUM(M$394,IF(M$6=OFFSET(Assumptions!$B$8,0,$C$1),AVERAGE((J$397-J$394)/(J$396-J$393),(K$397-K$394)/(K$396-K$393),(L$397-L$394)/(L$396-L$393)),(L$397-L$394)/(L$396-L$393))*(M$396-M$393))</f>
        <v>-0.12292094650179058</v>
      </c>
      <c r="N397" s="7">
        <f ca="1">SUM(N$394,IF(N$6=OFFSET(Assumptions!$B$8,0,$C$1),AVERAGE((K$397-K$394)/(K$396-K$393),(L$397-L$394)/(L$396-L$393),(M$397-M$394)/(M$396-M$393)),(M$397-M$394)/(M$396-M$393))*(N$396-N$393))</f>
        <v>-0.12748532988116432</v>
      </c>
      <c r="O397" s="7">
        <f ca="1">SUM(O$394,IF(O$6=OFFSET(Assumptions!$B$8,0,$C$1),AVERAGE((L$397-L$394)/(L$396-L$393),(M$397-M$394)/(M$396-M$393),(N$397-N$394)/(N$396-N$393)),(N$397-N$394)/(N$396-N$393))*(O$396-O$393))</f>
        <v>-0.13272515512490071</v>
      </c>
      <c r="P397" s="7">
        <f ca="1">SUM(P$394,IF(P$6=OFFSET(Assumptions!$B$8,0,$C$1),AVERAGE((M$397-M$394)/(M$396-M$393),(N$397-N$394)/(N$396-N$393),(O$397-O$394)/(O$396-O$393)),(O$397-O$394)/(O$396-O$393))*(P$396-P$393))</f>
        <v>-0.13863836769162549</v>
      </c>
      <c r="Q397" s="7">
        <f ca="1">SUM(Q$394,IF(Q$6=OFFSET(Assumptions!$B$8,0,$C$1),AVERAGE((N$397-N$394)/(N$396-N$393),(O$397-O$394)/(O$396-O$393),(P$397-P$394)/(P$396-P$393)),(P$397-P$394)/(P$396-P$393))*(Q$396-Q$393))</f>
        <v>-0.14533554966046647</v>
      </c>
      <c r="R397" s="7">
        <f ca="1">SUM(R$394,IF(R$6=OFFSET(Assumptions!$B$8,0,$C$1),AVERAGE((O$397-O$394)/(O$396-O$393),(P$397-P$394)/(P$396-P$393),(Q$397-Q$394)/(Q$396-Q$393)),(Q$397-Q$394)/(Q$396-Q$393))*(R$396-R$393))</f>
        <v>-0.15297148833605517</v>
      </c>
      <c r="S397" s="7">
        <f ca="1">SUM(S$394,IF(S$6=OFFSET(Assumptions!$B$8,0,$C$1),AVERAGE((P$397-P$394)/(P$396-P$393),(Q$397-Q$394)/(Q$396-Q$393),(R$397-R$394)/(R$396-R$393)),(R$397-R$394)/(R$396-R$393))*(S$396-S$393))</f>
        <v>-0.16173084232569959</v>
      </c>
      <c r="T397" s="7">
        <f ca="1">SUM(T$394,IF(T$6=OFFSET(Assumptions!$B$8,0,$C$1),AVERAGE((Q$397-Q$394)/(Q$396-Q$393),(R$397-R$394)/(R$396-R$393),(S$397-S$394)/(S$396-S$393)),(S$397-S$394)/(S$396-S$393))*(T$396-T$393))</f>
        <v>-0.17181161749317184</v>
      </c>
    </row>
    <row r="398" spans="1:21" x14ac:dyDescent="0.2">
      <c r="A398" s="1" t="s">
        <v>1335</v>
      </c>
      <c r="B398" s="4" t="str">
        <f>$B$38</f>
        <v>From Fiscal</v>
      </c>
      <c r="D398" s="15">
        <f>'Fiscal Forecasts'!D$325</f>
        <v>3.8730000000000002</v>
      </c>
      <c r="E398" s="15">
        <f>'Fiscal Forecasts'!E$325</f>
        <v>3.9119999999999999</v>
      </c>
      <c r="F398" s="16">
        <f>'Fiscal Forecasts'!F$325</f>
        <v>4.4969999999999999</v>
      </c>
      <c r="G398" s="16">
        <f>'Fiscal Forecasts'!G$325</f>
        <v>4.5540000000000003</v>
      </c>
      <c r="H398" s="16">
        <f>'Fiscal Forecasts'!H$325</f>
        <v>4.6959999999999997</v>
      </c>
      <c r="I398" s="16">
        <f>'Fiscal Forecasts'!I$325</f>
        <v>4.7880000000000003</v>
      </c>
      <c r="J398" s="16">
        <f>'Fiscal Forecasts'!J$325</f>
        <v>4.88</v>
      </c>
      <c r="K398" s="7">
        <f ca="1">SUM(K$395,IF(K$6=OFFSET(Assumptions!$B$8,0,$C$1),AVERAGE((H$398-H$395)/SUM(G$390:G$391),(I$398-I$395)/SUM(H$390:H$391),(J$398-J$395)/SUM(I$390:I$391)),(J$398-J$395)/SUM(I$390:I$391))*SUM(J$390:J$391))</f>
        <v>5.0325418724229376</v>
      </c>
      <c r="L398" s="7">
        <f ca="1">SUM(L$395,IF(L$6=OFFSET(Assumptions!$B$8,0,$C$1),AVERAGE((I$398-I$395)/SUM(H$390:H$391),(J$398-J$395)/SUM(I$390:I$391),(K$398-K$395)/SUM(J$390:J$391)),(K$398-K$395)/SUM(J$390:J$391))*SUM(K$390:K$391))</f>
        <v>5.105731544597635</v>
      </c>
      <c r="M398" s="7">
        <f ca="1">SUM(M$395,IF(M$6=OFFSET(Assumptions!$B$8,0,$C$1),AVERAGE((J$398-J$395)/SUM(I$390:I$391),(K$398-K$395)/SUM(J$390:J$391),(L$398-L$395)/SUM(K$390:K$391)),(L$398-L$395)/SUM(K$390:K$391))*SUM(L$390:L$391))</f>
        <v>5.263479969559314</v>
      </c>
      <c r="N398" s="7">
        <f ca="1">SUM(N$395,IF(N$6=OFFSET(Assumptions!$B$8,0,$C$1),AVERAGE((K$398-K$395)/SUM(J$390:J$391),(L$398-L$395)/SUM(K$390:K$391),(M$398-M$395)/SUM(L$390:L$391)),(M$398-M$395)/SUM(L$390:L$391))*SUM(M$390:M$391))</f>
        <v>5.4600699504330965</v>
      </c>
      <c r="O398" s="7">
        <f ca="1">SUM(O$395,IF(O$6=OFFSET(Assumptions!$B$8,0,$C$1),AVERAGE((L$398-L$395)/SUM(K$390:K$391),(M$398-M$395)/SUM(L$390:L$391),(N$398-N$395)/SUM(M$390:M$391)),(N$398-N$395)/SUM(M$390:M$391))*SUM(N$390:N$391))</f>
        <v>5.6966766708103327</v>
      </c>
      <c r="P398" s="7">
        <f ca="1">SUM(P$395,IF(P$6=OFFSET(Assumptions!$B$8,0,$C$1),AVERAGE((M$398-M$395)/SUM(L$390:L$391),(N$398-N$395)/SUM(M$390:M$391),(O$398-O$395)/SUM(N$390:N$391)),(O$398-O$395)/SUM(N$390:N$391))*SUM(O$390:O$391))</f>
        <v>5.9728847533789349</v>
      </c>
      <c r="Q398" s="7">
        <f ca="1">SUM(Q$395,IF(Q$6=OFFSET(Assumptions!$B$8,0,$C$1),AVERAGE((N$398-N$395)/SUM(M$390:M$391),(O$398-O$395)/SUM(N$390:N$391),(P$398-P$395)/SUM(O$390:O$391)),(P$398-P$395)/SUM(O$390:O$391))*SUM(P$390:P$391))</f>
        <v>6.2962657549132368</v>
      </c>
      <c r="R398" s="7">
        <f ca="1">SUM(R$395,IF(R$6=OFFSET(Assumptions!$B$8,0,$C$1),AVERAGE((O$398-O$395)/SUM(N$390:N$391),(P$398-P$395)/SUM(O$390:O$391),(Q$398-Q$395)/SUM(P$390:P$391)),(Q$398-Q$395)/SUM(P$390:P$391))*SUM(Q$390:Q$391))</f>
        <v>6.6758867549282392</v>
      </c>
      <c r="S398" s="7">
        <f ca="1">SUM(S$395,IF(S$6=OFFSET(Assumptions!$B$8,0,$C$1),AVERAGE((P$398-P$395)/SUM(O$390:O$391),(Q$398-Q$395)/SUM(P$390:P$391),(R$398-R$395)/SUM(Q$390:Q$391)),(R$398-R$395)/SUM(Q$390:Q$391))*SUM(R$390:R$391))</f>
        <v>7.1226110119455672</v>
      </c>
      <c r="T398" s="7">
        <f ca="1">SUM(T$395,IF(T$6=OFFSET(Assumptions!$B$8,0,$C$1),AVERAGE((Q$398-Q$395)/SUM(P$390:P$391),(R$398-R$395)/SUM(Q$390:Q$391),(S$398-S$395)/SUM(R$390:R$391)),(S$398-S$395)/SUM(R$390:R$391))*SUM(S$390:S$391))</f>
        <v>7.6494709123209512</v>
      </c>
    </row>
    <row r="399" spans="1:21" x14ac:dyDescent="0.2">
      <c r="B399" s="66"/>
      <c r="C399" s="66"/>
      <c r="D399" s="66"/>
      <c r="E399" s="66"/>
      <c r="F399" s="66"/>
      <c r="G399" s="66"/>
      <c r="H399" s="66"/>
      <c r="I399" s="66"/>
      <c r="J399" s="66"/>
      <c r="K399" s="66"/>
      <c r="L399" s="66"/>
      <c r="M399" s="66"/>
      <c r="N399" s="66"/>
      <c r="O399" s="66"/>
      <c r="P399" s="66"/>
      <c r="Q399" s="66"/>
      <c r="R399" s="66"/>
      <c r="S399" s="66"/>
      <c r="T399" s="66"/>
    </row>
    <row r="400" spans="1:21" x14ac:dyDescent="0.2">
      <c r="A400" s="19" t="s">
        <v>227</v>
      </c>
      <c r="B400" s="66"/>
      <c r="C400" s="66"/>
      <c r="D400" s="66"/>
      <c r="E400" s="66"/>
      <c r="F400" s="66"/>
      <c r="G400" s="66"/>
      <c r="H400" s="66"/>
      <c r="I400" s="66"/>
      <c r="J400" s="66"/>
      <c r="K400" s="66"/>
      <c r="L400" s="66"/>
      <c r="M400" s="66"/>
      <c r="N400" s="66"/>
      <c r="O400" s="66"/>
      <c r="P400" s="66"/>
      <c r="Q400" s="66"/>
      <c r="R400" s="66"/>
      <c r="S400" s="66"/>
      <c r="T400" s="66"/>
    </row>
    <row r="401" spans="1:20" x14ac:dyDescent="0.2">
      <c r="A401" s="1" t="s">
        <v>628</v>
      </c>
      <c r="B401" s="4"/>
      <c r="D401" s="15">
        <f ca="1">D$358-D$387</f>
        <v>1.09778</v>
      </c>
      <c r="E401" s="15">
        <f ca="1">E$358-E$387</f>
        <v>1.2507299999999999</v>
      </c>
      <c r="F401" s="16">
        <f ca="1">F$358-F$387</f>
        <v>1.4718899999999999</v>
      </c>
      <c r="G401" s="16">
        <f t="shared" ref="G401:J401" ca="1" si="184">G$358-G$387</f>
        <v>1.5088200000000001</v>
      </c>
      <c r="H401" s="16">
        <f t="shared" ca="1" si="184"/>
        <v>1.54609</v>
      </c>
      <c r="I401" s="16">
        <f t="shared" ca="1" si="184"/>
        <v>1.5836100000000002</v>
      </c>
      <c r="J401" s="16">
        <f t="shared" ca="1" si="184"/>
        <v>1.6024100000000001</v>
      </c>
      <c r="K401" s="7">
        <f ca="1">OFFSET(Assumptions!$B$73,0,$C$1)/SUM(OFFSET(Assumptions!$B$68,0,$C$1,6,1))*SUM(K$354,K$70,-K$322,K$429)</f>
        <v>2.5865718501602011</v>
      </c>
      <c r="L401" s="7">
        <f ca="1">OFFSET(Assumptions!$B$73,0,$C$1)/SUM(OFFSET(Assumptions!$B$68,0,$C$1,6,1))*SUM(L$354,L$70,-L$322,L$429)</f>
        <v>2.8254229306071084</v>
      </c>
      <c r="M401" s="7">
        <f ca="1">OFFSET(Assumptions!$B$73,0,$C$1)/SUM(OFFSET(Assumptions!$B$68,0,$C$1,6,1))*SUM(M$354,M$70,-M$322,M$429)</f>
        <v>3.0691760011792311</v>
      </c>
      <c r="N401" s="7">
        <f ca="1">OFFSET(Assumptions!$B$73,0,$C$1)/SUM(OFFSET(Assumptions!$B$68,0,$C$1,6,1))*SUM(N$354,N$70,-N$322,N$429)</f>
        <v>3.3181083116054677</v>
      </c>
      <c r="O401" s="7">
        <f ca="1">OFFSET(Assumptions!$B$73,0,$C$1)/SUM(OFFSET(Assumptions!$B$68,0,$C$1,6,1))*SUM(O$354,O$70,-O$322,O$429)</f>
        <v>3.5704662891389263</v>
      </c>
      <c r="P401" s="7">
        <f ca="1">OFFSET(Assumptions!$B$73,0,$C$1)/SUM(OFFSET(Assumptions!$B$68,0,$C$1,6,1))*SUM(P$354,P$70,-P$322,P$429)</f>
        <v>3.8241578511562171</v>
      </c>
      <c r="Q401" s="7">
        <f ca="1">OFFSET(Assumptions!$B$73,0,$C$1)/SUM(OFFSET(Assumptions!$B$68,0,$C$1,6,1))*SUM(Q$354,Q$70,-Q$322,Q$429)</f>
        <v>4.074891062239927</v>
      </c>
      <c r="R401" s="7">
        <f ca="1">OFFSET(Assumptions!$B$73,0,$C$1)/SUM(OFFSET(Assumptions!$B$68,0,$C$1,6,1))*SUM(R$354,R$70,-R$322,R$429)</f>
        <v>4.3225255846794504</v>
      </c>
      <c r="S401" s="7">
        <f ca="1">OFFSET(Assumptions!$B$73,0,$C$1)/SUM(OFFSET(Assumptions!$B$68,0,$C$1,6,1))*SUM(S$354,S$70,-S$322,S$429)</f>
        <v>4.5688734656241667</v>
      </c>
      <c r="T401" s="7">
        <f ca="1">OFFSET(Assumptions!$B$73,0,$C$1)/SUM(OFFSET(Assumptions!$B$68,0,$C$1,6,1))*SUM(T$354,T$70,-T$322,T$429)</f>
        <v>4.8140062332697324</v>
      </c>
    </row>
    <row r="402" spans="1:20" x14ac:dyDescent="0.2">
      <c r="A402" s="1" t="s">
        <v>629</v>
      </c>
      <c r="B402" s="4" t="str">
        <f>$B$38</f>
        <v>From Fiscal</v>
      </c>
      <c r="D402" s="15">
        <f ca="1">'Fiscal Forecasts'!D$174-D$401</f>
        <v>33.785220000000002</v>
      </c>
      <c r="E402" s="15">
        <f ca="1">'Fiscal Forecasts'!E$174-E$401</f>
        <v>37.12527</v>
      </c>
      <c r="F402" s="16">
        <f ca="1">'Fiscal Forecasts'!F$174-F$401</f>
        <v>41.411110000000001</v>
      </c>
      <c r="G402" s="16">
        <f ca="1">'Fiscal Forecasts'!G$174-G$401</f>
        <v>43.928179999999998</v>
      </c>
      <c r="H402" s="16">
        <f ca="1">'Fiscal Forecasts'!H$174-H$401</f>
        <v>46.142910000000001</v>
      </c>
      <c r="I402" s="16">
        <f ca="1">'Fiscal Forecasts'!I$174-I$401</f>
        <v>48.16039</v>
      </c>
      <c r="J402" s="16">
        <f ca="1">'Fiscal Forecasts'!J$174-J$401</f>
        <v>49.73959</v>
      </c>
      <c r="K402" s="7">
        <f t="shared" ref="K402:T402" ca="1" si="185">SUM(J$402,K$127-K$261)</f>
        <v>51.173791427540934</v>
      </c>
      <c r="L402" s="7">
        <f t="shared" ca="1" si="185"/>
        <v>52.731473828450447</v>
      </c>
      <c r="M402" s="7">
        <f t="shared" ca="1" si="185"/>
        <v>54.374777649874773</v>
      </c>
      <c r="N402" s="7">
        <f t="shared" ca="1" si="185"/>
        <v>56.089815822197373</v>
      </c>
      <c r="O402" s="7">
        <f t="shared" ca="1" si="185"/>
        <v>57.878973757062411</v>
      </c>
      <c r="P402" s="7">
        <f t="shared" ca="1" si="185"/>
        <v>59.744929599618956</v>
      </c>
      <c r="Q402" s="7">
        <f t="shared" ca="1" si="185"/>
        <v>61.690242714415831</v>
      </c>
      <c r="R402" s="7">
        <f t="shared" ca="1" si="185"/>
        <v>63.717383975794789</v>
      </c>
      <c r="S402" s="7">
        <f t="shared" ca="1" si="185"/>
        <v>65.829195696154258</v>
      </c>
      <c r="T402" s="7">
        <f t="shared" ca="1" si="185"/>
        <v>68.028388697249795</v>
      </c>
    </row>
    <row r="403" spans="1:20" ht="15" x14ac:dyDescent="0.25">
      <c r="A403" s="2" t="s">
        <v>630</v>
      </c>
      <c r="B403" s="4"/>
      <c r="D403" s="35">
        <f t="shared" ref="D403:T403" ca="1" si="186">SUM(D$401:D$402)</f>
        <v>34.883000000000003</v>
      </c>
      <c r="E403" s="35">
        <f t="shared" ca="1" si="186"/>
        <v>38.375999999999998</v>
      </c>
      <c r="F403" s="34">
        <f t="shared" ca="1" si="186"/>
        <v>42.883000000000003</v>
      </c>
      <c r="G403" s="34">
        <f t="shared" ca="1" si="186"/>
        <v>45.436999999999998</v>
      </c>
      <c r="H403" s="34">
        <f t="shared" ca="1" si="186"/>
        <v>47.689</v>
      </c>
      <c r="I403" s="34">
        <f t="shared" ca="1" si="186"/>
        <v>49.744</v>
      </c>
      <c r="J403" s="34">
        <f t="shared" ca="1" si="186"/>
        <v>51.341999999999999</v>
      </c>
      <c r="K403" s="38">
        <f t="shared" ca="1" si="186"/>
        <v>53.760363277701131</v>
      </c>
      <c r="L403" s="38">
        <f t="shared" ca="1" si="186"/>
        <v>55.556896759057558</v>
      </c>
      <c r="M403" s="38">
        <f t="shared" ca="1" si="186"/>
        <v>57.443953651054002</v>
      </c>
      <c r="N403" s="38">
        <f t="shared" ca="1" si="186"/>
        <v>59.407924133802844</v>
      </c>
      <c r="O403" s="38">
        <f t="shared" ca="1" si="186"/>
        <v>61.449440046201339</v>
      </c>
      <c r="P403" s="38">
        <f t="shared" ca="1" si="186"/>
        <v>63.569087450775172</v>
      </c>
      <c r="Q403" s="38">
        <f t="shared" ca="1" si="186"/>
        <v>65.765133776655759</v>
      </c>
      <c r="R403" s="38">
        <f t="shared" ca="1" si="186"/>
        <v>68.039909560474243</v>
      </c>
      <c r="S403" s="38">
        <f t="shared" ca="1" si="186"/>
        <v>70.398069161778423</v>
      </c>
      <c r="T403" s="38">
        <f t="shared" ca="1" si="186"/>
        <v>72.842394930519532</v>
      </c>
    </row>
    <row r="404" spans="1:20" ht="15" x14ac:dyDescent="0.25">
      <c r="A404" s="2" t="s">
        <v>631</v>
      </c>
      <c r="B404" s="4" t="str">
        <f>$B$38</f>
        <v>From Fiscal</v>
      </c>
      <c r="D404" s="40">
        <f>'Fiscal Forecasts'!D$123</f>
        <v>11.917999999999999</v>
      </c>
      <c r="E404" s="40">
        <f>'Fiscal Forecasts'!E$123</f>
        <v>12.705</v>
      </c>
      <c r="F404" s="39">
        <f>'Fiscal Forecasts'!F$123</f>
        <v>14.167</v>
      </c>
      <c r="G404" s="39">
        <f>'Fiscal Forecasts'!G$123</f>
        <v>14.351000000000001</v>
      </c>
      <c r="H404" s="39">
        <f>'Fiscal Forecasts'!H$123</f>
        <v>14.547000000000001</v>
      </c>
      <c r="I404" s="39">
        <f>'Fiscal Forecasts'!I$123</f>
        <v>14.74</v>
      </c>
      <c r="J404" s="39">
        <f>'Fiscal Forecasts'!J$123</f>
        <v>14.935</v>
      </c>
      <c r="K404" s="8">
        <f ca="1">IF(K$6=OFFSET(Assumptions!$B$8,0,$C$1),AVERAGE(H$404/H$402,I$404/I$402,J$404/J$402),J$404/J$402)*K$402</f>
        <v>15.720318858640043</v>
      </c>
      <c r="L404" s="8">
        <f ca="1">IF(L$6=OFFSET(Assumptions!$B$8,0,$C$1),AVERAGE(I$404/I$402,J$404/J$402,K$404/K$402),K$404/K$402)*L$402</f>
        <v>16.198830677672685</v>
      </c>
      <c r="M404" s="8">
        <f ca="1">IF(M$6=OFFSET(Assumptions!$B$8,0,$C$1),AVERAGE(J$404/J$402,K$404/K$402,L$404/L$402),L$404/L$402)*M$402</f>
        <v>16.703644945558043</v>
      </c>
      <c r="N404" s="8">
        <f ca="1">IF(N$6=OFFSET(Assumptions!$B$8,0,$C$1),AVERAGE(K$404/K$402,L$404/L$402,M$404/M$402),M$404/M$402)*N$402</f>
        <v>17.230495627744173</v>
      </c>
      <c r="O404" s="8">
        <f ca="1">IF(O$6=OFFSET(Assumptions!$B$8,0,$C$1),AVERAGE(L$404/L$402,M$404/M$402,N$404/N$402),N$404/N$402)*O$402</f>
        <v>17.780115510108551</v>
      </c>
      <c r="P404" s="8">
        <f ca="1">IF(P$6=OFFSET(Assumptions!$B$8,0,$C$1),AVERAGE(M$404/M$402,N$404/N$402,O$404/O$402),O$404/O$402)*P$402</f>
        <v>18.353327304717627</v>
      </c>
      <c r="Q404" s="8">
        <f ca="1">IF(Q$6=OFFSET(Assumptions!$B$8,0,$C$1),AVERAGE(N$404/N$402,O$404/O$402,P$404/P$402),P$404/P$402)*Q$402</f>
        <v>18.950917234863841</v>
      </c>
      <c r="R404" s="8">
        <f ca="1">IF(R$6=OFFSET(Assumptions!$B$8,0,$C$1),AVERAGE(O$404/O$402,P$404/P$402,Q$404/Q$402),Q$404/Q$402)*R$402</f>
        <v>19.573644340114683</v>
      </c>
      <c r="S404" s="8">
        <f ca="1">IF(S$6=OFFSET(Assumptions!$B$8,0,$C$1),AVERAGE(P$404/P$402,Q$404/Q$402,R$404/R$402),R$404/R$402)*S$402</f>
        <v>20.222381763849857</v>
      </c>
      <c r="T404" s="8">
        <f ca="1">IF(T$6=OFFSET(Assumptions!$B$8,0,$C$1),AVERAGE(Q$404/Q$402,R$404/R$402,S$404/S$402),S$404/S$402)*T$402</f>
        <v>20.897962256216996</v>
      </c>
    </row>
    <row r="405" spans="1:20" ht="15" x14ac:dyDescent="0.25">
      <c r="A405" s="2"/>
      <c r="B405" s="4"/>
      <c r="D405" s="8"/>
      <c r="E405" s="8"/>
      <c r="F405" s="8"/>
      <c r="G405" s="8"/>
      <c r="H405" s="8"/>
      <c r="I405" s="8"/>
      <c r="J405" s="8"/>
      <c r="K405" s="8"/>
      <c r="L405" s="8"/>
      <c r="M405" s="8"/>
      <c r="N405" s="8"/>
      <c r="O405" s="8"/>
      <c r="P405" s="8"/>
      <c r="Q405" s="8"/>
      <c r="R405" s="8"/>
      <c r="S405" s="8"/>
      <c r="T405" s="8"/>
    </row>
    <row r="406" spans="1:20" ht="15" x14ac:dyDescent="0.25">
      <c r="A406" s="19" t="s">
        <v>228</v>
      </c>
      <c r="B406" s="4"/>
      <c r="D406" s="40"/>
      <c r="E406" s="40"/>
      <c r="F406" s="39"/>
      <c r="G406" s="39"/>
      <c r="H406" s="39"/>
      <c r="I406" s="39"/>
      <c r="J406" s="39"/>
      <c r="K406" s="39"/>
      <c r="L406" s="39"/>
      <c r="M406" s="39"/>
      <c r="N406" s="39"/>
      <c r="O406" s="39"/>
      <c r="P406" s="39"/>
      <c r="Q406" s="39"/>
      <c r="R406" s="39"/>
      <c r="S406" s="39"/>
      <c r="T406" s="39"/>
    </row>
    <row r="407" spans="1:20" ht="15" x14ac:dyDescent="0.25">
      <c r="A407" s="2" t="s">
        <v>307</v>
      </c>
      <c r="B407" s="4" t="str">
        <f>$B$38</f>
        <v>From Fiscal</v>
      </c>
      <c r="D407" s="15">
        <f>'Fiscal Forecasts'!D$175</f>
        <v>1.2390000000000001</v>
      </c>
      <c r="E407" s="15">
        <f>'Fiscal Forecasts'!E$175</f>
        <v>1.351</v>
      </c>
      <c r="F407" s="16">
        <f>'Fiscal Forecasts'!F$175</f>
        <v>1.52</v>
      </c>
      <c r="G407" s="16">
        <f>'Fiscal Forecasts'!G$175</f>
        <v>1.6930000000000001</v>
      </c>
      <c r="H407" s="16">
        <f>'Fiscal Forecasts'!H$175</f>
        <v>1.7549999999999999</v>
      </c>
      <c r="I407" s="16">
        <f>'Fiscal Forecasts'!I$175</f>
        <v>1.752</v>
      </c>
      <c r="J407" s="16">
        <f>'Fiscal Forecasts'!J$175</f>
        <v>1.667</v>
      </c>
      <c r="K407" s="7">
        <f ca="1">(J$407/J$13+ IF(K$2&gt;0,K$2*IF(K$6=OFFSET(Assumptions!$B$8,0,$C$1),SUMPRODUCT(OFFSET(J$407,0,0,1,-OFFSET(Assumptions!$B$82,0,$C$1)),OFFSET(J$15,0,0,1,-OFFSET(Assumptions!$B$82,0,$C$1)))/OFFSET(Assumptions!$B$82,0,$C$1)-J$407/J$13,(J$407/J$13-I$407/I$13)/J$2),0))*K$13</f>
        <v>1.7850475216593182</v>
      </c>
      <c r="L407" s="7">
        <f ca="1">(K$407/K$13+ IF(L$2&gt;0,L$2*IF(L$6=OFFSET(Assumptions!$B$8,0,$C$1),SUMPRODUCT(OFFSET(K$407,0,0,1,-OFFSET(Assumptions!$B$82,0,$C$1)),OFFSET(K$15,0,0,1,-OFFSET(Assumptions!$B$82,0,$C$1)))/OFFSET(Assumptions!$B$82,0,$C$1)-K$407/K$13,(K$407/K$13-J$407/J$13)/K$2),0))*L$13</f>
        <v>1.902320332211672</v>
      </c>
      <c r="M407" s="7">
        <f ca="1">(L$407/L$13+ IF(M$2&gt;0,M$2*IF(M$6=OFFSET(Assumptions!$B$8,0,$C$1),SUMPRODUCT(OFFSET(L$407,0,0,1,-OFFSET(Assumptions!$B$82,0,$C$1)),OFFSET(L$15,0,0,1,-OFFSET(Assumptions!$B$82,0,$C$1)))/OFFSET(Assumptions!$B$82,0,$C$1)-L$407/L$13,(L$407/L$13-K$407/K$13)/L$2),0))*M$13</f>
        <v>2.0159456317391959</v>
      </c>
      <c r="N407" s="7">
        <f ca="1">(M$407/M$13+ IF(N$2&gt;0,N$2*IF(N$6=OFFSET(Assumptions!$B$8,0,$C$1),SUMPRODUCT(OFFSET(M$407,0,0,1,-OFFSET(Assumptions!$B$82,0,$C$1)),OFFSET(M$15,0,0,1,-OFFSET(Assumptions!$B$82,0,$C$1)))/OFFSET(Assumptions!$B$82,0,$C$1)-M$407/M$13,(M$407/M$13-L$407/L$13)/M$2),0))*N$13</f>
        <v>2.1251636962003682</v>
      </c>
      <c r="O407" s="7">
        <f ca="1">(N$407/N$13+ IF(O$2&gt;0,O$2*IF(O$6=OFFSET(Assumptions!$B$8,0,$C$1),SUMPRODUCT(OFFSET(N$407,0,0,1,-OFFSET(Assumptions!$B$82,0,$C$1)),OFFSET(N$15,0,0,1,-OFFSET(Assumptions!$B$82,0,$C$1)))/OFFSET(Assumptions!$B$82,0,$C$1)-N$407/N$13,(N$407/N$13-M$407/M$13)/N$2),0))*O$13</f>
        <v>2.2280750351403489</v>
      </c>
      <c r="P407" s="7">
        <f ca="1">(O$407/O$13+ IF(P$2&gt;0,P$2*IF(P$6=OFFSET(Assumptions!$B$8,0,$C$1),SUMPRODUCT(OFFSET(O$407,0,0,1,-OFFSET(Assumptions!$B$82,0,$C$1)),OFFSET(O$15,0,0,1,-OFFSET(Assumptions!$B$82,0,$C$1)))/OFFSET(Assumptions!$B$82,0,$C$1)-O$407/O$13,(O$407/O$13-N$407/N$13)/O$2),0))*P$13</f>
        <v>2.3237130431350796</v>
      </c>
      <c r="Q407" s="7">
        <f ca="1">(P$407/P$13+ IF(Q$2&gt;0,Q$2*IF(Q$6=OFFSET(Assumptions!$B$8,0,$C$1),SUMPRODUCT(OFFSET(P$407,0,0,1,-OFFSET(Assumptions!$B$82,0,$C$1)),OFFSET(P$15,0,0,1,-OFFSET(Assumptions!$B$82,0,$C$1)))/OFFSET(Assumptions!$B$82,0,$C$1)-P$407/P$13,(P$407/P$13-O$407/O$13)/P$2),0))*Q$13</f>
        <v>2.422538280242418</v>
      </c>
      <c r="R407" s="7">
        <f ca="1">(Q$407/Q$13+ IF(R$2&gt;0,R$2*IF(R$6=OFFSET(Assumptions!$B$8,0,$C$1),SUMPRODUCT(OFFSET(Q$407,0,0,1,-OFFSET(Assumptions!$B$82,0,$C$1)),OFFSET(Q$15,0,0,1,-OFFSET(Assumptions!$B$82,0,$C$1)))/OFFSET(Assumptions!$B$82,0,$C$1)-Q$407/Q$13,(Q$407/Q$13-P$407/P$13)/Q$2),0))*R$13</f>
        <v>2.5244405477943865</v>
      </c>
      <c r="S407" s="7">
        <f ca="1">(R$407/R$13+ IF(S$2&gt;0,S$2*IF(S$6=OFFSET(Assumptions!$B$8,0,$C$1),SUMPRODUCT(OFFSET(R$407,0,0,1,-OFFSET(Assumptions!$B$82,0,$C$1)),OFFSET(R$15,0,0,1,-OFFSET(Assumptions!$B$82,0,$C$1)))/OFFSET(Assumptions!$B$82,0,$C$1)-R$407/R$13,(R$407/R$13-Q$407/Q$13)/R$2),0))*S$13</f>
        <v>2.6298824052135137</v>
      </c>
      <c r="T407" s="7">
        <f ca="1">(S$407/S$13+ IF(T$2&gt;0,T$2*IF(T$6=OFFSET(Assumptions!$B$8,0,$C$1),SUMPRODUCT(OFFSET(S$407,0,0,1,-OFFSET(Assumptions!$B$82,0,$C$1)),OFFSET(S$15,0,0,1,-OFFSET(Assumptions!$B$82,0,$C$1)))/OFFSET(Assumptions!$B$82,0,$C$1)-S$407/S$13,(S$407/S$13-R$407/R$13)/S$2),0))*T$13</f>
        <v>2.7387001045080854</v>
      </c>
    </row>
    <row r="408" spans="1:20" x14ac:dyDescent="0.2">
      <c r="A408" s="1" t="s">
        <v>279</v>
      </c>
      <c r="B408" s="4" t="str">
        <f>$B$38</f>
        <v>From Fiscal</v>
      </c>
      <c r="D408" s="15">
        <f>'Fiscal Forecasts'!D$330</f>
        <v>0.60699999999999998</v>
      </c>
      <c r="E408" s="15">
        <f>'Fiscal Forecasts'!E$330</f>
        <v>0.54400000000000004</v>
      </c>
      <c r="F408" s="16">
        <f>'Fiscal Forecasts'!F$330</f>
        <v>0.51700000000000002</v>
      </c>
      <c r="G408" s="16">
        <f>'Fiscal Forecasts'!G$330</f>
        <v>0.58099999999999996</v>
      </c>
      <c r="H408" s="16">
        <f>'Fiscal Forecasts'!H$330</f>
        <v>0.57599999999999996</v>
      </c>
      <c r="I408" s="16">
        <f>'Fiscal Forecasts'!I$330</f>
        <v>0.57099999999999995</v>
      </c>
      <c r="J408" s="16">
        <f>'Fiscal Forecasts'!J$330</f>
        <v>0.55600000000000005</v>
      </c>
      <c r="K408" s="7">
        <f ca="1">(J$408/J$13+ IF(K$2&gt;0,K$2*IF(K$6=OFFSET(Assumptions!$B$8,0,$C$1),SUMPRODUCT(OFFSET(J$408,0,0,1,-OFFSET(Assumptions!$B$82,0,$C$1)),OFFSET(J$15,0,0,1,-OFFSET(Assumptions!$B$82,0,$C$1)))/OFFSET(Assumptions!$B$82,0,$C$1)-J$408/J$13,(J$408/J$13-I$408/I$13)/J$2),0))*K$13</f>
        <v>0.59258161104045015</v>
      </c>
      <c r="L408" s="7">
        <f ca="1">(K$408/K$13+ IF(L$2&gt;0,L$2*IF(L$6=OFFSET(Assumptions!$B$8,0,$C$1),SUMPRODUCT(OFFSET(K$408,0,0,1,-OFFSET(Assumptions!$B$82,0,$C$1)),OFFSET(K$15,0,0,1,-OFFSET(Assumptions!$B$82,0,$C$1)))/OFFSET(Assumptions!$B$82,0,$C$1)-K$408/K$13,(K$408/K$13-J$408/J$13)/K$2),0))*L$13</f>
        <v>0.62924263908166145</v>
      </c>
      <c r="M408" s="7">
        <f ca="1">(L$408/L$13+ IF(M$2&gt;0,M$2*IF(M$6=OFFSET(Assumptions!$B$8,0,$C$1),SUMPRODUCT(OFFSET(L$408,0,0,1,-OFFSET(Assumptions!$B$82,0,$C$1)),OFFSET(L$15,0,0,1,-OFFSET(Assumptions!$B$82,0,$C$1)))/OFFSET(Assumptions!$B$82,0,$C$1)-L$408/L$13,(L$408/L$13-K$408/K$13)/L$2),0))*M$13</f>
        <v>0.66508670435711292</v>
      </c>
      <c r="N408" s="7">
        <f ca="1">(M$408/M$13+ IF(N$2&gt;0,N$2*IF(N$6=OFFSET(Assumptions!$B$8,0,$C$1),SUMPRODUCT(OFFSET(M$408,0,0,1,-OFFSET(Assumptions!$B$82,0,$C$1)),OFFSET(M$15,0,0,1,-OFFSET(Assumptions!$B$82,0,$C$1)))/OFFSET(Assumptions!$B$82,0,$C$1)-M$408/M$13,(M$408/M$13-L$408/L$13)/M$2),0))*N$13</f>
        <v>0.6999264984304896</v>
      </c>
      <c r="O408" s="7">
        <f ca="1">(N$408/N$13+ IF(O$2&gt;0,O$2*IF(O$6=OFFSET(Assumptions!$B$8,0,$C$1),SUMPRODUCT(OFFSET(N$408,0,0,1,-OFFSET(Assumptions!$B$82,0,$C$1)),OFFSET(N$15,0,0,1,-OFFSET(Assumptions!$B$82,0,$C$1)))/OFFSET(Assumptions!$B$82,0,$C$1)-N$408/N$13,(N$408/N$13-M$408/M$13)/N$2),0))*O$13</f>
        <v>0.73320463893966903</v>
      </c>
      <c r="P408" s="7">
        <f ca="1">(O$408/O$13+ IF(P$2&gt;0,P$2*IF(P$6=OFFSET(Assumptions!$B$8,0,$C$1),SUMPRODUCT(OFFSET(O$408,0,0,1,-OFFSET(Assumptions!$B$82,0,$C$1)),OFFSET(O$15,0,0,1,-OFFSET(Assumptions!$B$82,0,$C$1)))/OFFSET(Assumptions!$B$82,0,$C$1)-O$408/O$13,(O$408/O$13-N$408/N$13)/O$2),0))*P$13</f>
        <v>0.7646767527665127</v>
      </c>
      <c r="Q408" s="7">
        <f ca="1">(P$408/P$13+ IF(Q$2&gt;0,Q$2*IF(Q$6=OFFSET(Assumptions!$B$8,0,$C$1),SUMPRODUCT(OFFSET(P$408,0,0,1,-OFFSET(Assumptions!$B$82,0,$C$1)),OFFSET(P$15,0,0,1,-OFFSET(Assumptions!$B$82,0,$C$1)))/OFFSET(Assumptions!$B$82,0,$C$1)-P$408/P$13,(P$408/P$13-O$408/O$13)/P$2),0))*Q$13</f>
        <v>0.79719770522485245</v>
      </c>
      <c r="R408" s="7">
        <f ca="1">(Q$408/Q$13+ IF(R$2&gt;0,R$2*IF(R$6=OFFSET(Assumptions!$B$8,0,$C$1),SUMPRODUCT(OFFSET(Q$408,0,0,1,-OFFSET(Assumptions!$B$82,0,$C$1)),OFFSET(Q$15,0,0,1,-OFFSET(Assumptions!$B$82,0,$C$1)))/OFFSET(Assumptions!$B$82,0,$C$1)-Q$408/Q$13,(Q$408/Q$13-P$408/P$13)/Q$2),0))*R$13</f>
        <v>0.83073123264614424</v>
      </c>
      <c r="S408" s="7">
        <f ca="1">(R$408/R$13+ IF(S$2&gt;0,S$2*IF(S$6=OFFSET(Assumptions!$B$8,0,$C$1),SUMPRODUCT(OFFSET(R$408,0,0,1,-OFFSET(Assumptions!$B$82,0,$C$1)),OFFSET(R$15,0,0,1,-OFFSET(Assumptions!$B$82,0,$C$1)))/OFFSET(Assumptions!$B$82,0,$C$1)-R$408/R$13,(R$408/R$13-Q$408/Q$13)/R$2),0))*S$13</f>
        <v>0.8654295519481463</v>
      </c>
      <c r="T408" s="7">
        <f ca="1">(S$408/S$13+ IF(T$2&gt;0,T$2*IF(T$6=OFFSET(Assumptions!$B$8,0,$C$1),SUMPRODUCT(OFFSET(S$408,0,0,1,-OFFSET(Assumptions!$B$82,0,$C$1)),OFFSET(S$15,0,0,1,-OFFSET(Assumptions!$B$82,0,$C$1)))/OFFSET(Assumptions!$B$82,0,$C$1)-S$408/S$13,(S$408/S$13-R$408/R$13)/S$2),0))*T$13</f>
        <v>0.901238777698255</v>
      </c>
    </row>
    <row r="409" spans="1:20" x14ac:dyDescent="0.2">
      <c r="A409" s="1" t="s">
        <v>506</v>
      </c>
      <c r="B409" s="4" t="str">
        <f>$B$38</f>
        <v>From Fiscal</v>
      </c>
      <c r="D409" s="15">
        <f>SUM('Fiscal Forecasts'!D$331:D$332)</f>
        <v>1.21</v>
      </c>
      <c r="E409" s="15">
        <f>SUM('Fiscal Forecasts'!E$331:E$332)</f>
        <v>1.3009999999999999</v>
      </c>
      <c r="F409" s="16">
        <f>SUM('Fiscal Forecasts'!F$331:F$332)</f>
        <v>1.494</v>
      </c>
      <c r="G409" s="16">
        <f>SUM('Fiscal Forecasts'!G$331:G$332)</f>
        <v>1.5330000000000001</v>
      </c>
      <c r="H409" s="16">
        <f>SUM('Fiscal Forecasts'!H$331:H$332)</f>
        <v>1.5210000000000001</v>
      </c>
      <c r="I409" s="16">
        <f>SUM('Fiscal Forecasts'!I$331:I$332)</f>
        <v>1.4950000000000001</v>
      </c>
      <c r="J409" s="16">
        <f>SUM('Fiscal Forecasts'!J$331:J$332)</f>
        <v>1.486</v>
      </c>
      <c r="K409" s="7">
        <f ca="1">(J$409/J$13+ IF(K$2&gt;0,K$2*IF(K$6=OFFSET(Assumptions!$B$8,0,$C$1),SUMPRODUCT(OFFSET(J$409,0,0,1,-OFFSET(Assumptions!$B$82,0,$C$1)),OFFSET(J$15,0,0,1,-OFFSET(Assumptions!$B$82,0,$C$1)))/OFFSET(Assumptions!$B$82,0,$C$1)-J$409/J$13,(J$409/J$13-I$409/I$13)/J$2),0))*K$13</f>
        <v>1.5776899636195449</v>
      </c>
      <c r="L409" s="7">
        <f ca="1">(K$409/K$13+ IF(L$2&gt;0,L$2*IF(L$6=OFFSET(Assumptions!$B$8,0,$C$1),SUMPRODUCT(OFFSET(K$409,0,0,1,-OFFSET(Assumptions!$B$82,0,$C$1)),OFFSET(K$15,0,0,1,-OFFSET(Assumptions!$B$82,0,$C$1)))/OFFSET(Assumptions!$B$82,0,$C$1)-K$409/K$13,(K$409/K$13-J$409/J$13)/K$2),0))*L$13</f>
        <v>1.6703280691319387</v>
      </c>
      <c r="M409" s="7">
        <f ca="1">(L$409/L$13+ IF(M$2&gt;0,M$2*IF(M$6=OFFSET(Assumptions!$B$8,0,$C$1),SUMPRODUCT(OFFSET(L$409,0,0,1,-OFFSET(Assumptions!$B$82,0,$C$1)),OFFSET(L$15,0,0,1,-OFFSET(Assumptions!$B$82,0,$C$1)))/OFFSET(Assumptions!$B$82,0,$C$1)-L$409/L$13,(L$409/L$13-K$409/K$13)/L$2),0))*M$13</f>
        <v>1.7616532107303182</v>
      </c>
      <c r="N409" s="7">
        <f ca="1">(M$409/M$13+ IF(N$2&gt;0,N$2*IF(N$6=OFFSET(Assumptions!$B$8,0,$C$1),SUMPRODUCT(OFFSET(M$409,0,0,1,-OFFSET(Assumptions!$B$82,0,$C$1)),OFFSET(M$15,0,0,1,-OFFSET(Assumptions!$B$82,0,$C$1)))/OFFSET(Assumptions!$B$82,0,$C$1)-M$409/M$13,(M$409/M$13-L$409/L$13)/M$2),0))*N$13</f>
        <v>1.8513087362827261</v>
      </c>
      <c r="O409" s="7">
        <f ca="1">(N$409/N$13+ IF(O$2&gt;0,O$2*IF(O$6=OFFSET(Assumptions!$B$8,0,$C$1),SUMPRODUCT(OFFSET(N$409,0,0,1,-OFFSET(Assumptions!$B$82,0,$C$1)),OFFSET(N$15,0,0,1,-OFFSET(Assumptions!$B$82,0,$C$1)))/OFFSET(Assumptions!$B$82,0,$C$1)-N$409/N$13,(N$409/N$13-M$409/M$13)/N$2),0))*O$13</f>
        <v>1.9379708611275526</v>
      </c>
      <c r="P409" s="7">
        <f ca="1">(O$409/O$13+ IF(P$2&gt;0,P$2*IF(P$6=OFFSET(Assumptions!$B$8,0,$C$1),SUMPRODUCT(OFFSET(O$409,0,0,1,-OFFSET(Assumptions!$B$82,0,$C$1)),OFFSET(O$15,0,0,1,-OFFSET(Assumptions!$B$82,0,$C$1)))/OFFSET(Assumptions!$B$82,0,$C$1)-O$409/O$13,(O$409/O$13-N$409/N$13)/O$2),0))*P$13</f>
        <v>2.0211564225592378</v>
      </c>
      <c r="Q409" s="7">
        <f ca="1">(P$409/P$13+ IF(Q$2&gt;0,Q$2*IF(Q$6=OFFSET(Assumptions!$B$8,0,$C$1),SUMPRODUCT(OFFSET(P$409,0,0,1,-OFFSET(Assumptions!$B$82,0,$C$1)),OFFSET(P$15,0,0,1,-OFFSET(Assumptions!$B$82,0,$C$1)))/OFFSET(Assumptions!$B$82,0,$C$1)-P$409/P$13,(P$409/P$13-O$409/O$13)/P$2),0))*Q$13</f>
        <v>2.1071142232784488</v>
      </c>
      <c r="R409" s="7">
        <f ca="1">(Q$409/Q$13+ IF(R$2&gt;0,R$2*IF(R$6=OFFSET(Assumptions!$B$8,0,$C$1),SUMPRODUCT(OFFSET(Q$409,0,0,1,-OFFSET(Assumptions!$B$82,0,$C$1)),OFFSET(Q$15,0,0,1,-OFFSET(Assumptions!$B$82,0,$C$1)))/OFFSET(Assumptions!$B$82,0,$C$1)-Q$409/Q$13,(Q$409/Q$13-P$409/P$13)/Q$2),0))*R$13</f>
        <v>2.1957484129192384</v>
      </c>
      <c r="S409" s="7">
        <f ca="1">(R$409/R$13+ IF(S$2&gt;0,S$2*IF(S$6=OFFSET(Assumptions!$B$8,0,$C$1),SUMPRODUCT(OFFSET(R$409,0,0,1,-OFFSET(Assumptions!$B$82,0,$C$1)),OFFSET(R$15,0,0,1,-OFFSET(Assumptions!$B$82,0,$C$1)))/OFFSET(Assumptions!$B$82,0,$C$1)-R$409/R$13,(R$409/R$13-Q$409/Q$13)/R$2),0))*S$13</f>
        <v>2.287461323839477</v>
      </c>
      <c r="T409" s="7">
        <f ca="1">(S$409/S$13+ IF(T$2&gt;0,T$2*IF(T$6=OFFSET(Assumptions!$B$8,0,$C$1),SUMPRODUCT(OFFSET(S$409,0,0,1,-OFFSET(Assumptions!$B$82,0,$C$1)),OFFSET(S$15,0,0,1,-OFFSET(Assumptions!$B$82,0,$C$1)))/OFFSET(Assumptions!$B$82,0,$C$1)-S$409/S$13,(S$409/S$13-R$409/R$13)/S$2),0))*T$13</f>
        <v>2.3821105286830369</v>
      </c>
    </row>
    <row r="410" spans="1:20" ht="15" x14ac:dyDescent="0.25">
      <c r="A410" s="2" t="s">
        <v>632</v>
      </c>
      <c r="B410" s="4"/>
      <c r="D410" s="35">
        <f t="shared" ref="D410:T410" si="187">SUM(D$407:D$409)</f>
        <v>3.056</v>
      </c>
      <c r="E410" s="35">
        <f t="shared" si="187"/>
        <v>3.1959999999999997</v>
      </c>
      <c r="F410" s="34">
        <f t="shared" si="187"/>
        <v>3.5309999999999997</v>
      </c>
      <c r="G410" s="34">
        <f t="shared" si="187"/>
        <v>3.8070000000000004</v>
      </c>
      <c r="H410" s="34">
        <f t="shared" si="187"/>
        <v>3.8520000000000003</v>
      </c>
      <c r="I410" s="34">
        <f t="shared" si="187"/>
        <v>3.8180000000000001</v>
      </c>
      <c r="J410" s="34">
        <f t="shared" si="187"/>
        <v>3.7089999999999996</v>
      </c>
      <c r="K410" s="38">
        <f t="shared" ca="1" si="187"/>
        <v>3.9553190963193132</v>
      </c>
      <c r="L410" s="38">
        <f t="shared" ca="1" si="187"/>
        <v>4.2018910404252718</v>
      </c>
      <c r="M410" s="38">
        <f t="shared" ca="1" si="187"/>
        <v>4.4426855468266275</v>
      </c>
      <c r="N410" s="38">
        <f t="shared" ca="1" si="187"/>
        <v>4.6763989309135834</v>
      </c>
      <c r="O410" s="38">
        <f t="shared" ca="1" si="187"/>
        <v>4.8992505352075701</v>
      </c>
      <c r="P410" s="38">
        <f t="shared" ca="1" si="187"/>
        <v>5.1095462184608298</v>
      </c>
      <c r="Q410" s="38">
        <f t="shared" ca="1" si="187"/>
        <v>5.3268502087457197</v>
      </c>
      <c r="R410" s="38">
        <f t="shared" ca="1" si="187"/>
        <v>5.5509201933597687</v>
      </c>
      <c r="S410" s="38">
        <f t="shared" ca="1" si="187"/>
        <v>5.7827732810011376</v>
      </c>
      <c r="T410" s="38">
        <f t="shared" ca="1" si="187"/>
        <v>6.0220494108893767</v>
      </c>
    </row>
    <row r="411" spans="1:20" ht="15" x14ac:dyDescent="0.25">
      <c r="A411" s="2"/>
      <c r="B411" s="4"/>
      <c r="D411" s="47"/>
      <c r="E411" s="47"/>
      <c r="F411" s="48"/>
      <c r="G411" s="48"/>
      <c r="H411" s="48"/>
      <c r="I411" s="48"/>
      <c r="J411" s="48"/>
      <c r="K411" s="49"/>
      <c r="L411" s="49"/>
      <c r="M411" s="49"/>
      <c r="N411" s="49"/>
      <c r="O411" s="49"/>
      <c r="P411" s="49"/>
      <c r="Q411" s="49"/>
      <c r="R411" s="49"/>
      <c r="S411" s="49"/>
      <c r="T411" s="49"/>
    </row>
    <row r="412" spans="1:20" ht="15" x14ac:dyDescent="0.25">
      <c r="A412" s="19" t="s">
        <v>338</v>
      </c>
      <c r="B412" s="4"/>
      <c r="D412" s="47"/>
      <c r="E412" s="47"/>
      <c r="F412" s="48"/>
      <c r="G412" s="48"/>
      <c r="H412" s="48"/>
      <c r="I412" s="48"/>
      <c r="J412" s="48"/>
    </row>
    <row r="413" spans="1:20" x14ac:dyDescent="0.2">
      <c r="A413" s="1" t="s">
        <v>333</v>
      </c>
      <c r="B413" s="4" t="str">
        <f t="shared" ref="B413:B418" si="188">$B$38</f>
        <v>From Fiscal</v>
      </c>
      <c r="D413" s="15">
        <f>'Fiscal Forecasts'!D$270</f>
        <v>0</v>
      </c>
      <c r="E413" s="15">
        <f>'Fiscal Forecasts'!E$270</f>
        <v>0</v>
      </c>
      <c r="F413" s="16">
        <f>'Fiscal Forecasts'!F$270</f>
        <v>0</v>
      </c>
      <c r="G413" s="16">
        <f>'Fiscal Forecasts'!G$270</f>
        <v>0.27600000000000002</v>
      </c>
      <c r="H413" s="16">
        <f>'Fiscal Forecasts'!H$270</f>
        <v>0.76500000000000001</v>
      </c>
      <c r="I413" s="16">
        <f>'Fiscal Forecasts'!I$270</f>
        <v>0.46500000000000002</v>
      </c>
      <c r="J413" s="16">
        <f>'Fiscal Forecasts'!J$270</f>
        <v>0.245</v>
      </c>
      <c r="K413" s="7">
        <f ca="1">IF(K$6=OFFSET(Assumptions!$B$8,0,$C$1),0,J$413)</f>
        <v>0</v>
      </c>
      <c r="L413" s="7">
        <f ca="1">IF(L$6=OFFSET(Assumptions!$B$8,0,$C$1),0,K$413)</f>
        <v>0</v>
      </c>
      <c r="M413" s="7">
        <f ca="1">IF(M$6=OFFSET(Assumptions!$B$8,0,$C$1),0,L$413)</f>
        <v>0</v>
      </c>
      <c r="N413" s="7">
        <f ca="1">IF(N$6=OFFSET(Assumptions!$B$8,0,$C$1),0,M$413)</f>
        <v>0</v>
      </c>
      <c r="O413" s="7">
        <f ca="1">IF(O$6=OFFSET(Assumptions!$B$8,0,$C$1),0,N$413)</f>
        <v>0</v>
      </c>
      <c r="P413" s="7">
        <f ca="1">IF(P$6=OFFSET(Assumptions!$B$8,0,$C$1),0,O$413)</f>
        <v>0</v>
      </c>
      <c r="Q413" s="7">
        <f ca="1">IF(Q$6=OFFSET(Assumptions!$B$8,0,$C$1),0,P$413)</f>
        <v>0</v>
      </c>
      <c r="R413" s="7">
        <f ca="1">IF(R$6=OFFSET(Assumptions!$B$8,0,$C$1),0,Q$413)</f>
        <v>0</v>
      </c>
      <c r="S413" s="7">
        <f ca="1">IF(S$6=OFFSET(Assumptions!$B$8,0,$C$1),0,R$413)</f>
        <v>0</v>
      </c>
      <c r="T413" s="7">
        <f ca="1">IF(T$6=OFFSET(Assumptions!$B$8,0,$C$1),0,S$413)</f>
        <v>0</v>
      </c>
    </row>
    <row r="414" spans="1:20" x14ac:dyDescent="0.2">
      <c r="A414" s="1" t="s">
        <v>633</v>
      </c>
      <c r="B414" s="4" t="str">
        <f t="shared" si="188"/>
        <v>From Fiscal</v>
      </c>
      <c r="D414" s="15">
        <f>'Fiscal Forecasts'!D$271</f>
        <v>0</v>
      </c>
      <c r="E414" s="15">
        <f>'Fiscal Forecasts'!E$271</f>
        <v>0</v>
      </c>
      <c r="F414" s="16">
        <f>'Fiscal Forecasts'!F$271</f>
        <v>0</v>
      </c>
      <c r="G414" s="16">
        <f>'Fiscal Forecasts'!G$271</f>
        <v>0</v>
      </c>
      <c r="H414" s="16">
        <f>'Fiscal Forecasts'!H$271</f>
        <v>0</v>
      </c>
      <c r="I414" s="16">
        <f>'Fiscal Forecasts'!I$271</f>
        <v>0</v>
      </c>
      <c r="J414" s="16">
        <f>'Fiscal Forecasts'!J$271</f>
        <v>0</v>
      </c>
      <c r="K414" s="7">
        <f ca="1">IF(K$6=OFFSET(Assumptions!$B$8,0,$C$1),0,J$414)</f>
        <v>0</v>
      </c>
      <c r="L414" s="7">
        <f ca="1">IF(L$6=OFFSET(Assumptions!$B$8,0,$C$1),0,K$414)</f>
        <v>0</v>
      </c>
      <c r="M414" s="7">
        <f ca="1">IF(M$6=OFFSET(Assumptions!$B$8,0,$C$1),0,L$414)</f>
        <v>0</v>
      </c>
      <c r="N414" s="7">
        <f ca="1">IF(N$6=OFFSET(Assumptions!$B$8,0,$C$1),0,M$414)</f>
        <v>0</v>
      </c>
      <c r="O414" s="7">
        <f ca="1">IF(O$6=OFFSET(Assumptions!$B$8,0,$C$1),0,N$414)</f>
        <v>0</v>
      </c>
      <c r="P414" s="7">
        <f ca="1">IF(P$6=OFFSET(Assumptions!$B$8,0,$C$1),0,O$414)</f>
        <v>0</v>
      </c>
      <c r="Q414" s="7">
        <f ca="1">IF(Q$6=OFFSET(Assumptions!$B$8,0,$C$1),0,P$414)</f>
        <v>0</v>
      </c>
      <c r="R414" s="7">
        <f ca="1">IF(R$6=OFFSET(Assumptions!$B$8,0,$C$1),0,Q$414)</f>
        <v>0</v>
      </c>
      <c r="S414" s="7">
        <f ca="1">IF(S$6=OFFSET(Assumptions!$B$8,0,$C$1),0,R$414)</f>
        <v>0</v>
      </c>
      <c r="T414" s="7">
        <f ca="1">IF(T$6=OFFSET(Assumptions!$B$8,0,$C$1),0,S$414)</f>
        <v>0</v>
      </c>
    </row>
    <row r="415" spans="1:20" x14ac:dyDescent="0.2">
      <c r="A415" s="1" t="s">
        <v>634</v>
      </c>
      <c r="B415" s="4" t="str">
        <f t="shared" si="188"/>
        <v>From Fiscal</v>
      </c>
      <c r="D415" s="15">
        <f>'Fiscal Forecasts'!D$272</f>
        <v>0</v>
      </c>
      <c r="E415" s="15">
        <f>'Fiscal Forecasts'!E$272</f>
        <v>0</v>
      </c>
      <c r="F415" s="16">
        <f>'Fiscal Forecasts'!F$272</f>
        <v>0</v>
      </c>
      <c r="G415" s="16">
        <f>'Fiscal Forecasts'!G$272</f>
        <v>7.0000000000000007E-2</v>
      </c>
      <c r="H415" s="16">
        <f>'Fiscal Forecasts'!H$272</f>
        <v>0.48799999999999999</v>
      </c>
      <c r="I415" s="16">
        <f>'Fiscal Forecasts'!I$272</f>
        <v>0.19500000000000001</v>
      </c>
      <c r="J415" s="16">
        <f>'Fiscal Forecasts'!J$272</f>
        <v>0.32</v>
      </c>
      <c r="K415" s="7">
        <f ca="1">IF(K$6=OFFSET(Assumptions!$B$8,0,$C$1),OFFSET(K$421,0,-4)-SUM(OFFSET(K$415,0,-5,1,5)),0)</f>
        <v>-1.0730000000000002</v>
      </c>
      <c r="L415" s="7">
        <f ca="1">IF(L$6=OFFSET(Assumptions!$B$8,0,$C$1),OFFSET(L$421,0,-4)-SUM(OFFSET(L$415,0,-5,1,5)),0)</f>
        <v>0</v>
      </c>
      <c r="M415" s="7">
        <f ca="1">IF(M$6=OFFSET(Assumptions!$B$8,0,$C$1),OFFSET(M$421,0,-4)-SUM(OFFSET(M$415,0,-5,1,5)),0)</f>
        <v>0</v>
      </c>
      <c r="N415" s="7">
        <f ca="1">IF(N$6=OFFSET(Assumptions!$B$8,0,$C$1),OFFSET(N$421,0,-4)-SUM(OFFSET(N$415,0,-5,1,5)),0)</f>
        <v>0</v>
      </c>
      <c r="O415" s="7">
        <f ca="1">IF(O$6=OFFSET(Assumptions!$B$8,0,$C$1),OFFSET(O$421,0,-4)-SUM(OFFSET(O$415,0,-5,1,5)),0)</f>
        <v>0</v>
      </c>
      <c r="P415" s="7">
        <f ca="1">IF(P$6=OFFSET(Assumptions!$B$8,0,$C$1),OFFSET(P$421,0,-4)-SUM(OFFSET(P$415,0,-5,1,5)),0)</f>
        <v>0</v>
      </c>
      <c r="Q415" s="7">
        <f ca="1">IF(Q$6=OFFSET(Assumptions!$B$8,0,$C$1),OFFSET(Q$421,0,-4)-SUM(OFFSET(Q$415,0,-5,1,5)),0)</f>
        <v>0</v>
      </c>
      <c r="R415" s="7">
        <f ca="1">IF(R$6=OFFSET(Assumptions!$B$8,0,$C$1),OFFSET(R$421,0,-4)-SUM(OFFSET(R$415,0,-5,1,5)),0)</f>
        <v>0</v>
      </c>
      <c r="S415" s="7">
        <f ca="1">IF(S$6=OFFSET(Assumptions!$B$8,0,$C$1),OFFSET(S$421,0,-4)-SUM(OFFSET(S$415,0,-5,1,5)),0)</f>
        <v>0</v>
      </c>
      <c r="T415" s="7">
        <f ca="1">IF(T$6=OFFSET(Assumptions!$B$8,0,$C$1),OFFSET(T$421,0,-4)-SUM(OFFSET(T$415,0,-5,1,5)),0)</f>
        <v>0</v>
      </c>
    </row>
    <row r="416" spans="1:20" x14ac:dyDescent="0.2">
      <c r="A416" s="1" t="s">
        <v>635</v>
      </c>
      <c r="B416" s="4" t="str">
        <f t="shared" si="188"/>
        <v>From Fiscal</v>
      </c>
      <c r="D416" s="15">
        <f>'Fiscal Forecasts'!D$273</f>
        <v>0</v>
      </c>
      <c r="E416" s="15">
        <f>'Fiscal Forecasts'!E$273</f>
        <v>0</v>
      </c>
      <c r="F416" s="16">
        <f>'Fiscal Forecasts'!F$273</f>
        <v>0</v>
      </c>
      <c r="G416" s="16">
        <f>'Fiscal Forecasts'!G$273</f>
        <v>0</v>
      </c>
      <c r="H416" s="16">
        <f>'Fiscal Forecasts'!H$273</f>
        <v>0.1</v>
      </c>
      <c r="I416" s="16">
        <f>'Fiscal Forecasts'!I$273</f>
        <v>0.82499999999999996</v>
      </c>
      <c r="J416" s="16">
        <f>'Fiscal Forecasts'!J$273</f>
        <v>0.245</v>
      </c>
      <c r="K416" s="7">
        <f ca="1">IF(K$6=OFFSET(Assumptions!$B$8,0,$C$1),OFFSET(K$421,0,-3)-SUM(OFFSET(K$416,0,-5,1,5)),0)</f>
        <v>0.10299999999999998</v>
      </c>
      <c r="L416" s="7">
        <f ca="1">IF(L$6=OFFSET(Assumptions!$B$8,0,$C$1),OFFSET(L$421,0,-3)-SUM(OFFSET(L$416,0,-5,1,5)),0)</f>
        <v>0</v>
      </c>
      <c r="M416" s="7">
        <f ca="1">IF(M$6=OFFSET(Assumptions!$B$8,0,$C$1),OFFSET(M$421,0,-3)-SUM(OFFSET(M$416,0,-5,1,5)),0)</f>
        <v>0</v>
      </c>
      <c r="N416" s="7">
        <f ca="1">IF(N$6=OFFSET(Assumptions!$B$8,0,$C$1),OFFSET(N$421,0,-3)-SUM(OFFSET(N$416,0,-5,1,5)),0)</f>
        <v>0</v>
      </c>
      <c r="O416" s="7">
        <f ca="1">IF(O$6=OFFSET(Assumptions!$B$8,0,$C$1),OFFSET(O$421,0,-3)-SUM(OFFSET(O$416,0,-5,1,5)),0)</f>
        <v>0</v>
      </c>
      <c r="P416" s="7">
        <f ca="1">IF(P$6=OFFSET(Assumptions!$B$8,0,$C$1),OFFSET(P$421,0,-3)-SUM(OFFSET(P$416,0,-5,1,5)),0)</f>
        <v>0</v>
      </c>
      <c r="Q416" s="7">
        <f ca="1">IF(Q$6=OFFSET(Assumptions!$B$8,0,$C$1),OFFSET(Q$421,0,-3)-SUM(OFFSET(Q$416,0,-5,1,5)),0)</f>
        <v>0</v>
      </c>
      <c r="R416" s="7">
        <f ca="1">IF(R$6=OFFSET(Assumptions!$B$8,0,$C$1),OFFSET(R$421,0,-3)-SUM(OFFSET(R$416,0,-5,1,5)),0)</f>
        <v>0</v>
      </c>
      <c r="S416" s="7">
        <f ca="1">IF(S$6=OFFSET(Assumptions!$B$8,0,$C$1),OFFSET(S$421,0,-3)-SUM(OFFSET(S$416,0,-5,1,5)),0)</f>
        <v>0</v>
      </c>
      <c r="T416" s="7">
        <f ca="1">IF(T$6=OFFSET(Assumptions!$B$8,0,$C$1),OFFSET(T$421,0,-3)-SUM(OFFSET(T$416,0,-5,1,5)),0)</f>
        <v>0</v>
      </c>
    </row>
    <row r="417" spans="1:20" x14ac:dyDescent="0.2">
      <c r="A417" s="1" t="s">
        <v>636</v>
      </c>
      <c r="B417" s="4" t="str">
        <f t="shared" si="188"/>
        <v>From Fiscal</v>
      </c>
      <c r="D417" s="15">
        <f>'Fiscal Forecasts'!D$274</f>
        <v>0</v>
      </c>
      <c r="E417" s="15">
        <f>'Fiscal Forecasts'!E$274</f>
        <v>0</v>
      </c>
      <c r="F417" s="16">
        <f>'Fiscal Forecasts'!F$274</f>
        <v>0</v>
      </c>
      <c r="G417" s="16">
        <f>'Fiscal Forecasts'!G$274</f>
        <v>0</v>
      </c>
      <c r="H417" s="16">
        <f>'Fiscal Forecasts'!H$274</f>
        <v>0</v>
      </c>
      <c r="I417" s="16">
        <f>'Fiscal Forecasts'!I$274</f>
        <v>0.1</v>
      </c>
      <c r="J417" s="16">
        <f>'Fiscal Forecasts'!J$274</f>
        <v>0.82499999999999996</v>
      </c>
      <c r="K417" s="7">
        <f ca="1">IF(K$6=OFFSET(Assumptions!$B$8,0,$C$1),(OFFSET(K$421,0,-2)-SUM(OFFSET(K$417,0,-5,1,5)))/2,IF(J$6=OFFSET(Assumptions!$B$8,0,$C$1),J$417,0))</f>
        <v>0.42399999999999999</v>
      </c>
      <c r="L417" s="7">
        <f ca="1">IF(L$6=OFFSET(Assumptions!$B$8,0,$C$1),(OFFSET(L$421,0,-2)-SUM(OFFSET(L$417,0,-5,1,5)))/2,IF(K$6=OFFSET(Assumptions!$B$8,0,$C$1),K$417,0))</f>
        <v>0.42399999999999999</v>
      </c>
      <c r="M417" s="7">
        <f ca="1">IF(M$6=OFFSET(Assumptions!$B$8,0,$C$1),(OFFSET(M$421,0,-2)-SUM(OFFSET(M$417,0,-5,1,5)))/2,IF(L$6=OFFSET(Assumptions!$B$8,0,$C$1),L$417,0))</f>
        <v>0</v>
      </c>
      <c r="N417" s="7">
        <f ca="1">IF(N$6=OFFSET(Assumptions!$B$8,0,$C$1),(OFFSET(N$421,0,-2)-SUM(OFFSET(N$417,0,-5,1,5)))/2,IF(M$6=OFFSET(Assumptions!$B$8,0,$C$1),M$417,0))</f>
        <v>0</v>
      </c>
      <c r="O417" s="7">
        <f ca="1">IF(O$6=OFFSET(Assumptions!$B$8,0,$C$1),(OFFSET(O$421,0,-2)-SUM(OFFSET(O$417,0,-5,1,5)))/2,IF(N$6=OFFSET(Assumptions!$B$8,0,$C$1),N$417,0))</f>
        <v>0</v>
      </c>
      <c r="P417" s="7">
        <f ca="1">IF(P$6=OFFSET(Assumptions!$B$8,0,$C$1),(OFFSET(P$421,0,-2)-SUM(OFFSET(P$417,0,-5,1,5)))/2,IF(O$6=OFFSET(Assumptions!$B$8,0,$C$1),O$417,0))</f>
        <v>0</v>
      </c>
      <c r="Q417" s="7">
        <f ca="1">IF(Q$6=OFFSET(Assumptions!$B$8,0,$C$1),(OFFSET(Q$421,0,-2)-SUM(OFFSET(Q$417,0,-5,1,5)))/2,IF(P$6=OFFSET(Assumptions!$B$8,0,$C$1),P$417,0))</f>
        <v>0</v>
      </c>
      <c r="R417" s="7">
        <f ca="1">IF(R$6=OFFSET(Assumptions!$B$8,0,$C$1),(OFFSET(R$421,0,-2)-SUM(OFFSET(R$417,0,-5,1,5)))/2,IF(Q$6=OFFSET(Assumptions!$B$8,0,$C$1),Q$417,0))</f>
        <v>0</v>
      </c>
      <c r="S417" s="7">
        <f ca="1">IF(S$6=OFFSET(Assumptions!$B$8,0,$C$1),(OFFSET(S$421,0,-2)-SUM(OFFSET(S$417,0,-5,1,5)))/2,IF(R$6=OFFSET(Assumptions!$B$8,0,$C$1),R$417,0))</f>
        <v>0</v>
      </c>
      <c r="T417" s="7">
        <f ca="1">IF(T$6=OFFSET(Assumptions!$B$8,0,$C$1),(OFFSET(T$421,0,-2)-SUM(OFFSET(T$417,0,-5,1,5)))/2,IF(S$6=OFFSET(Assumptions!$B$8,0,$C$1),S$417,0))</f>
        <v>0</v>
      </c>
    </row>
    <row r="418" spans="1:20" x14ac:dyDescent="0.2">
      <c r="A418" s="1" t="s">
        <v>637</v>
      </c>
      <c r="B418" s="4" t="str">
        <f t="shared" si="188"/>
        <v>From Fiscal</v>
      </c>
      <c r="D418" s="15">
        <f>'Fiscal Forecasts'!D$275</f>
        <v>0</v>
      </c>
      <c r="E418" s="15">
        <f>'Fiscal Forecasts'!E$275</f>
        <v>0</v>
      </c>
      <c r="F418" s="16">
        <f>'Fiscal Forecasts'!F$275</f>
        <v>0</v>
      </c>
      <c r="G418" s="16">
        <f>'Fiscal Forecasts'!G$275</f>
        <v>0</v>
      </c>
      <c r="H418" s="16">
        <f>'Fiscal Forecasts'!H$275</f>
        <v>0</v>
      </c>
      <c r="I418" s="16">
        <f>'Fiscal Forecasts'!I$275</f>
        <v>0</v>
      </c>
      <c r="J418" s="16">
        <f>'Fiscal Forecasts'!J$275</f>
        <v>0.1</v>
      </c>
      <c r="K418" s="7">
        <f ca="1">IF(K$6=OFFSET(Assumptions!$B$8,0,$C$1),(OFFSET(K$421,0,-1)-SUM(OFFSET(K$418,0,-5,1,5)))/3,IF(OR(J$6=OFFSET(Assumptions!$B$8,0,$C$1),I$6=OFFSET(Assumptions!$B$8,0,$C$1)),J$418,0))</f>
        <v>0.65766666666666662</v>
      </c>
      <c r="L418" s="7">
        <f ca="1">IF(L$6=OFFSET(Assumptions!$B$8,0,$C$1),(OFFSET(L$421,0,-1)-SUM(OFFSET(L$418,0,-5,1,5)))/3,IF(OR(K$6=OFFSET(Assumptions!$B$8,0,$C$1),J$6=OFFSET(Assumptions!$B$8,0,$C$1)),K$418,0))</f>
        <v>0.65766666666666662</v>
      </c>
      <c r="M418" s="7">
        <f ca="1">IF(M$6=OFFSET(Assumptions!$B$8,0,$C$1),(OFFSET(M$421,0,-1)-SUM(OFFSET(M$418,0,-5,1,5)))/3,IF(OR(L$6=OFFSET(Assumptions!$B$8,0,$C$1),K$6=OFFSET(Assumptions!$B$8,0,$C$1)),L$418,0))</f>
        <v>0.65766666666666662</v>
      </c>
      <c r="N418" s="7">
        <f ca="1">IF(N$6=OFFSET(Assumptions!$B$8,0,$C$1),(OFFSET(N$421,0,-1)-SUM(OFFSET(N$418,0,-5,1,5)))/3,IF(OR(M$6=OFFSET(Assumptions!$B$8,0,$C$1),L$6=OFFSET(Assumptions!$B$8,0,$C$1)),M$418,0))</f>
        <v>0</v>
      </c>
      <c r="O418" s="7">
        <f ca="1">IF(O$6=OFFSET(Assumptions!$B$8,0,$C$1),(OFFSET(O$421,0,-1)-SUM(OFFSET(O$418,0,-5,1,5)))/3,IF(OR(N$6=OFFSET(Assumptions!$B$8,0,$C$1),M$6=OFFSET(Assumptions!$B$8,0,$C$1)),N$418,0))</f>
        <v>0</v>
      </c>
      <c r="P418" s="7">
        <f ca="1">IF(P$6=OFFSET(Assumptions!$B$8,0,$C$1),(OFFSET(P$421,0,-1)-SUM(OFFSET(P$418,0,-5,1,5)))/3,IF(OR(O$6=OFFSET(Assumptions!$B$8,0,$C$1),N$6=OFFSET(Assumptions!$B$8,0,$C$1)),O$418,0))</f>
        <v>0</v>
      </c>
      <c r="Q418" s="7">
        <f ca="1">IF(Q$6=OFFSET(Assumptions!$B$8,0,$C$1),(OFFSET(Q$421,0,-1)-SUM(OFFSET(Q$418,0,-5,1,5)))/3,IF(OR(P$6=OFFSET(Assumptions!$B$8,0,$C$1),O$6=OFFSET(Assumptions!$B$8,0,$C$1)),P$418,0))</f>
        <v>0</v>
      </c>
      <c r="R418" s="7">
        <f ca="1">IF(R$6=OFFSET(Assumptions!$B$8,0,$C$1),(OFFSET(R$421,0,-1)-SUM(OFFSET(R$418,0,-5,1,5)))/3,IF(OR(Q$6=OFFSET(Assumptions!$B$8,0,$C$1),P$6=OFFSET(Assumptions!$B$8,0,$C$1)),Q$418,0))</f>
        <v>0</v>
      </c>
      <c r="S418" s="7">
        <f ca="1">IF(S$6=OFFSET(Assumptions!$B$8,0,$C$1),(OFFSET(S$421,0,-1)-SUM(OFFSET(S$418,0,-5,1,5)))/3,IF(OR(R$6=OFFSET(Assumptions!$B$8,0,$C$1),Q$6=OFFSET(Assumptions!$B$8,0,$C$1)),R$418,0))</f>
        <v>0</v>
      </c>
      <c r="T418" s="7">
        <f ca="1">IF(T$6=OFFSET(Assumptions!$B$8,0,$C$1),(OFFSET(T$421,0,-1)-SUM(OFFSET(T$418,0,-5,1,5)))/3,IF(OR(S$6=OFFSET(Assumptions!$B$8,0,$C$1),R$6=OFFSET(Assumptions!$B$8,0,$C$1)),S$418,0))</f>
        <v>0</v>
      </c>
    </row>
    <row r="419" spans="1:20" ht="15" x14ac:dyDescent="0.25">
      <c r="A419" s="1" t="s">
        <v>638</v>
      </c>
      <c r="B419" s="4"/>
      <c r="C419" s="61">
        <f ca="1">OFFSET(Assumptions!$B$9,0,$C$1)</f>
        <v>0</v>
      </c>
      <c r="D419" s="15">
        <f t="shared" ref="D419:F419" ca="1" si="189">C$419</f>
        <v>0</v>
      </c>
      <c r="E419" s="15">
        <f t="shared" ca="1" si="189"/>
        <v>0</v>
      </c>
      <c r="F419" s="16">
        <f t="shared" ca="1" si="189"/>
        <v>0</v>
      </c>
      <c r="G419" s="16">
        <f t="shared" ref="G419" ca="1" si="190">F$419</f>
        <v>0</v>
      </c>
      <c r="H419" s="16">
        <f t="shared" ref="H419" ca="1" si="191">G$419</f>
        <v>0</v>
      </c>
      <c r="I419" s="16">
        <f t="shared" ref="I419" ca="1" si="192">H$419</f>
        <v>0</v>
      </c>
      <c r="J419" s="16">
        <f t="shared" ref="J419" ca="1" si="193">I$419</f>
        <v>0</v>
      </c>
      <c r="K419" s="7">
        <f ca="1">IF(K$6=OFFSET(Assumptions!$B$8,0,$C$1),K$421,IF(J$6=OFFSET(Assumptions!$B$8,0,$C$1),SUM(J$421:K$421),IF(I$6=OFFSET(Assumptions!$B$8,0,$C$1),SUM(I$421:K$421),SUM(H$421:K$421))))/4</f>
        <v>1</v>
      </c>
      <c r="L419" s="7">
        <f ca="1">IF(L$6=OFFSET(Assumptions!$B$8,0,$C$1),L$421,IF(K$6=OFFSET(Assumptions!$B$8,0,$C$1),SUM(K$421:L$421),IF(J$6=OFFSET(Assumptions!$B$8,0,$C$1),SUM(J$421:L$421),SUM(I$421:L$421))))/4</f>
        <v>2.2000000000000002</v>
      </c>
      <c r="M419" s="7">
        <f ca="1">IF(M$6=OFFSET(Assumptions!$B$8,0,$C$1),M$421,IF(L$6=OFFSET(Assumptions!$B$8,0,$C$1),SUM(L$421:M$421),IF(K$6=OFFSET(Assumptions!$B$8,0,$C$1),SUM(K$421:M$421),SUM(J$421:M$421))))/4</f>
        <v>3.64</v>
      </c>
      <c r="N419" s="7">
        <f ca="1">IF(N$6=OFFSET(Assumptions!$B$8,0,$C$1),N$421,IF(M$6=OFFSET(Assumptions!$B$8,0,$C$1),SUM(M$421:N$421),IF(L$6=OFFSET(Assumptions!$B$8,0,$C$1),SUM(L$421:N$421),SUM(K$421:N$421))))/4</f>
        <v>5.3680000000000003</v>
      </c>
      <c r="O419" s="7">
        <f ca="1">IF(O$6=OFFSET(Assumptions!$B$8,0,$C$1),O$421,IF(N$6=OFFSET(Assumptions!$B$8,0,$C$1),SUM(N$421:O$421),IF(M$6=OFFSET(Assumptions!$B$8,0,$C$1),SUM(M$421:O$421),SUM(L$421:O$421))))/4</f>
        <v>6.4415999999999993</v>
      </c>
      <c r="P419" s="7">
        <f ca="1">IF(P$6=OFFSET(Assumptions!$B$8,0,$C$1),P$421,IF(O$6=OFFSET(Assumptions!$B$8,0,$C$1),SUM(O$421:P$421),IF(N$6=OFFSET(Assumptions!$B$8,0,$C$1),SUM(N$421:P$421),SUM(M$421:P$421))))/4</f>
        <v>7.7299199999999999</v>
      </c>
      <c r="Q419" s="7">
        <f ca="1">IF(Q$6=OFFSET(Assumptions!$B$8,0,$C$1),Q$421,IF(P$6=OFFSET(Assumptions!$B$8,0,$C$1),SUM(P$421:Q$421),IF(O$6=OFFSET(Assumptions!$B$8,0,$C$1),SUM(O$421:Q$421),SUM(N$421:Q$421))))/4</f>
        <v>9.2759039999999988</v>
      </c>
      <c r="R419" s="7">
        <f ca="1">IF(R$6=OFFSET(Assumptions!$B$8,0,$C$1),R$421,IF(Q$6=OFFSET(Assumptions!$B$8,0,$C$1),SUM(Q$421:R$421),IF(P$6=OFFSET(Assumptions!$B$8,0,$C$1),SUM(P$421:R$421),SUM(O$421:R$421))))/4</f>
        <v>11.131084799999998</v>
      </c>
      <c r="S419" s="7">
        <f ca="1">IF(S$6=OFFSET(Assumptions!$B$8,0,$C$1),S$421,IF(R$6=OFFSET(Assumptions!$B$8,0,$C$1),SUM(R$421:S$421),IF(Q$6=OFFSET(Assumptions!$B$8,0,$C$1),SUM(Q$421:S$421),SUM(P$421:S$421))))/4</f>
        <v>13.357301759999999</v>
      </c>
      <c r="T419" s="7">
        <f ca="1">IF(T$6=OFFSET(Assumptions!$B$8,0,$C$1),T$421,IF(S$6=OFFSET(Assumptions!$B$8,0,$C$1),SUM(S$421:T$421),IF(R$6=OFFSET(Assumptions!$B$8,0,$C$1),SUM(R$421:T$421),SUM(Q$421:T$421))))/4</f>
        <v>16.028762111999999</v>
      </c>
    </row>
    <row r="420" spans="1:20" ht="15" x14ac:dyDescent="0.25">
      <c r="A420" s="2" t="s">
        <v>639</v>
      </c>
      <c r="B420" s="4"/>
      <c r="D420" s="35">
        <f t="shared" ref="D420:T420" ca="1" si="194">SUM(D$413:D$419)</f>
        <v>0</v>
      </c>
      <c r="E420" s="35">
        <f t="shared" ca="1" si="194"/>
        <v>0</v>
      </c>
      <c r="F420" s="34">
        <f t="shared" ca="1" si="194"/>
        <v>0</v>
      </c>
      <c r="G420" s="34">
        <f t="shared" ca="1" si="194"/>
        <v>0.34600000000000003</v>
      </c>
      <c r="H420" s="34">
        <f t="shared" ca="1" si="194"/>
        <v>1.3530000000000002</v>
      </c>
      <c r="I420" s="34">
        <f t="shared" ca="1" si="194"/>
        <v>1.585</v>
      </c>
      <c r="J420" s="34">
        <f t="shared" ca="1" si="194"/>
        <v>1.7349999999999999</v>
      </c>
      <c r="K420" s="38">
        <f t="shared" ca="1" si="194"/>
        <v>1.1116666666666664</v>
      </c>
      <c r="L420" s="38">
        <f t="shared" ca="1" si="194"/>
        <v>3.2816666666666667</v>
      </c>
      <c r="M420" s="38">
        <f t="shared" ca="1" si="194"/>
        <v>4.2976666666666663</v>
      </c>
      <c r="N420" s="38">
        <f t="shared" ca="1" si="194"/>
        <v>5.3680000000000003</v>
      </c>
      <c r="O420" s="38">
        <f t="shared" ca="1" si="194"/>
        <v>6.4415999999999993</v>
      </c>
      <c r="P420" s="38">
        <f t="shared" ca="1" si="194"/>
        <v>7.7299199999999999</v>
      </c>
      <c r="Q420" s="38">
        <f t="shared" ca="1" si="194"/>
        <v>9.2759039999999988</v>
      </c>
      <c r="R420" s="38">
        <f t="shared" ca="1" si="194"/>
        <v>11.131084799999998</v>
      </c>
      <c r="S420" s="38">
        <f t="shared" ca="1" si="194"/>
        <v>13.357301759999999</v>
      </c>
      <c r="T420" s="38">
        <f t="shared" ca="1" si="194"/>
        <v>16.028762111999999</v>
      </c>
    </row>
    <row r="421" spans="1:20" ht="15" x14ac:dyDescent="0.25">
      <c r="A421" s="2" t="s">
        <v>640</v>
      </c>
      <c r="B421" s="4" t="str">
        <f t="shared" ref="B421:B426" si="195">$B$38</f>
        <v>From Fiscal</v>
      </c>
      <c r="D421" s="15">
        <f>'Fiscal Forecasts'!D$277</f>
        <v>0</v>
      </c>
      <c r="E421" s="15">
        <f>'Fiscal Forecasts'!E$277</f>
        <v>0</v>
      </c>
      <c r="F421" s="16">
        <f>'Fiscal Forecasts'!F$277</f>
        <v>1.7509999999999999</v>
      </c>
      <c r="G421" s="16">
        <f>'Fiscal Forecasts'!G$277</f>
        <v>0</v>
      </c>
      <c r="H421" s="16">
        <f>'Fiscal Forecasts'!H$277</f>
        <v>1.2729999999999999</v>
      </c>
      <c r="I421" s="16">
        <f>'Fiscal Forecasts'!I$277</f>
        <v>1.7729999999999999</v>
      </c>
      <c r="J421" s="16">
        <f>'Fiscal Forecasts'!J$277</f>
        <v>2.073</v>
      </c>
      <c r="K421" s="7">
        <f ca="1">IF(K$6=OFFSET(Assumptions!$B$8,0,$C$1),OFFSET(Assumptions!$B$62,0,$C$1),J$421*(1+OFFSET(Assumptions!$B$63,0,$C$1)))</f>
        <v>4</v>
      </c>
      <c r="L421" s="7">
        <f ca="1">IF(L$6=OFFSET(Assumptions!$B$8,0,$C$1),OFFSET(Assumptions!$B$62,0,$C$1),K$421*(1+OFFSET(Assumptions!$B$63,0,$C$1)))</f>
        <v>4.8</v>
      </c>
      <c r="M421" s="7">
        <f ca="1">IF(M$6=OFFSET(Assumptions!$B$8,0,$C$1),OFFSET(Assumptions!$B$62,0,$C$1),L$421*(1+OFFSET(Assumptions!$B$63,0,$C$1)))</f>
        <v>5.76</v>
      </c>
      <c r="N421" s="7">
        <f ca="1">IF(N$6=OFFSET(Assumptions!$B$8,0,$C$1),OFFSET(Assumptions!$B$62,0,$C$1),M$421*(1+OFFSET(Assumptions!$B$63,0,$C$1)))</f>
        <v>6.9119999999999999</v>
      </c>
      <c r="O421" s="7">
        <f ca="1">IF(O$6=OFFSET(Assumptions!$B$8,0,$C$1),OFFSET(Assumptions!$B$62,0,$C$1),N$421*(1+OFFSET(Assumptions!$B$63,0,$C$1)))</f>
        <v>8.2943999999999996</v>
      </c>
      <c r="P421" s="7">
        <f ca="1">IF(P$6=OFFSET(Assumptions!$B$8,0,$C$1),OFFSET(Assumptions!$B$62,0,$C$1),O$421*(1+OFFSET(Assumptions!$B$63,0,$C$1)))</f>
        <v>9.9532799999999995</v>
      </c>
      <c r="Q421" s="7">
        <f ca="1">IF(Q$6=OFFSET(Assumptions!$B$8,0,$C$1),OFFSET(Assumptions!$B$62,0,$C$1),P$421*(1+OFFSET(Assumptions!$B$63,0,$C$1)))</f>
        <v>11.943935999999999</v>
      </c>
      <c r="R421" s="7">
        <f ca="1">IF(R$6=OFFSET(Assumptions!$B$8,0,$C$1),OFFSET(Assumptions!$B$62,0,$C$1),Q$421*(1+OFFSET(Assumptions!$B$63,0,$C$1)))</f>
        <v>14.332723199999998</v>
      </c>
      <c r="S421" s="7">
        <f ca="1">IF(S$6=OFFSET(Assumptions!$B$8,0,$C$1),OFFSET(Assumptions!$B$62,0,$C$1),R$421*(1+OFFSET(Assumptions!$B$63,0,$C$1)))</f>
        <v>17.199267839999997</v>
      </c>
      <c r="T421" s="7">
        <f ca="1">IF(T$6=OFFSET(Assumptions!$B$8,0,$C$1),OFFSET(Assumptions!$B$62,0,$C$1),S$421*(1+OFFSET(Assumptions!$B$63,0,$C$1)))</f>
        <v>20.639121407999998</v>
      </c>
    </row>
    <row r="422" spans="1:20" ht="15" x14ac:dyDescent="0.25">
      <c r="A422" s="2" t="s">
        <v>897</v>
      </c>
      <c r="B422" s="4" t="str">
        <f t="shared" si="195"/>
        <v>From Fiscal</v>
      </c>
      <c r="D422" s="40">
        <f>'Fiscal Forecasts'!D$125</f>
        <v>0</v>
      </c>
      <c r="E422" s="40">
        <f>'Fiscal Forecasts'!E$125</f>
        <v>0</v>
      </c>
      <c r="F422" s="39">
        <f>'Fiscal Forecasts'!F$125</f>
        <v>0</v>
      </c>
      <c r="G422" s="39">
        <f>'Fiscal Forecasts'!G$125</f>
        <v>0.34599999999999997</v>
      </c>
      <c r="H422" s="39">
        <f>'Fiscal Forecasts'!H$125</f>
        <v>1.6990000000000001</v>
      </c>
      <c r="I422" s="39">
        <f>'Fiscal Forecasts'!I$125</f>
        <v>3.2839999999999998</v>
      </c>
      <c r="J422" s="39">
        <f>'Fiscal Forecasts'!J$125</f>
        <v>5.0190000000000001</v>
      </c>
      <c r="K422" s="8">
        <f ca="1">SUM($D$420:K$420)</f>
        <v>6.1306666666666665</v>
      </c>
      <c r="L422" s="8">
        <f ca="1">SUM($D$420:L$420)</f>
        <v>9.4123333333333328</v>
      </c>
      <c r="M422" s="8">
        <f ca="1">SUM($D$420:M$420)</f>
        <v>13.709999999999999</v>
      </c>
      <c r="N422" s="8">
        <f ca="1">SUM($D$420:N$420)</f>
        <v>19.077999999999999</v>
      </c>
      <c r="O422" s="8">
        <f ca="1">SUM($D$420:O$420)</f>
        <v>25.519599999999997</v>
      </c>
      <c r="P422" s="8">
        <f ca="1">SUM($D$420:P$420)</f>
        <v>33.249519999999997</v>
      </c>
      <c r="Q422" s="8">
        <f ca="1">SUM($D$420:Q$420)</f>
        <v>42.525423999999994</v>
      </c>
      <c r="R422" s="8">
        <f ca="1">SUM($D$420:R$420)</f>
        <v>53.65650879999999</v>
      </c>
      <c r="S422" s="8">
        <f ca="1">SUM($D$420:S$420)</f>
        <v>67.013810559999996</v>
      </c>
      <c r="T422" s="8">
        <f ca="1">SUM($D$420:T$420)</f>
        <v>83.042572671999991</v>
      </c>
    </row>
    <row r="423" spans="1:20" ht="15" x14ac:dyDescent="0.25">
      <c r="A423" s="2" t="s">
        <v>898</v>
      </c>
      <c r="B423" s="4" t="str">
        <f t="shared" si="195"/>
        <v>From Fiscal</v>
      </c>
      <c r="D423" s="40">
        <f>'Fiscal Forecasts'!D$126</f>
        <v>0</v>
      </c>
      <c r="E423" s="40">
        <f>'Fiscal Forecasts'!E$126</f>
        <v>0</v>
      </c>
      <c r="F423" s="39">
        <f>'Fiscal Forecasts'!F$126</f>
        <v>0</v>
      </c>
      <c r="G423" s="39">
        <f>'Fiscal Forecasts'!G$126</f>
        <v>-0.99</v>
      </c>
      <c r="H423" s="39">
        <f>'Fiscal Forecasts'!H$126</f>
        <v>-1.1399999999999999</v>
      </c>
      <c r="I423" s="39">
        <f>'Fiscal Forecasts'!I$126</f>
        <v>-1.38</v>
      </c>
      <c r="J423" s="39">
        <f>'Fiscal Forecasts'!J$126</f>
        <v>-1.38</v>
      </c>
      <c r="K423" s="8">
        <f ca="1">J$423*(1+OFFSET(Assumptions!$B$63,0,$C$1))</f>
        <v>-1.6559999999999999</v>
      </c>
      <c r="L423" s="8">
        <f ca="1">K$423*(1+OFFSET(Assumptions!$B$63,0,$C$1))</f>
        <v>-1.9871999999999999</v>
      </c>
      <c r="M423" s="8">
        <f ca="1">L$423*(1+OFFSET(Assumptions!$B$63,0,$C$1))</f>
        <v>-2.3846399999999996</v>
      </c>
      <c r="N423" s="8">
        <f ca="1">M$423*(1+OFFSET(Assumptions!$B$63,0,$C$1))</f>
        <v>-2.8615679999999997</v>
      </c>
      <c r="O423" s="8">
        <f ca="1">N$423*(1+OFFSET(Assumptions!$B$63,0,$C$1))</f>
        <v>-3.4338815999999994</v>
      </c>
      <c r="P423" s="8">
        <f ca="1">O$423*(1+OFFSET(Assumptions!$B$63,0,$C$1))</f>
        <v>-4.1206579199999993</v>
      </c>
      <c r="Q423" s="8">
        <f ca="1">P$423*(1+OFFSET(Assumptions!$B$63,0,$C$1))</f>
        <v>-4.9447895039999992</v>
      </c>
      <c r="R423" s="8">
        <f ca="1">Q$423*(1+OFFSET(Assumptions!$B$63,0,$C$1))</f>
        <v>-5.9337474047999992</v>
      </c>
      <c r="S423" s="8">
        <f ca="1">R$423*(1+OFFSET(Assumptions!$B$63,0,$C$1))</f>
        <v>-7.1204968857599988</v>
      </c>
      <c r="T423" s="8">
        <f ca="1">S$423*(1+OFFSET(Assumptions!$B$63,0,$C$1))</f>
        <v>-8.5445962629119983</v>
      </c>
    </row>
    <row r="424" spans="1:20" ht="15" x14ac:dyDescent="0.25">
      <c r="B424" s="4"/>
      <c r="D424" s="40"/>
      <c r="E424" s="40"/>
      <c r="F424" s="40"/>
      <c r="G424" s="40"/>
      <c r="H424" s="40"/>
      <c r="I424" s="40"/>
      <c r="J424" s="40"/>
      <c r="K424" s="8"/>
      <c r="L424" s="8"/>
      <c r="M424" s="8"/>
      <c r="N424" s="8"/>
      <c r="O424" s="8"/>
      <c r="P424" s="8"/>
      <c r="Q424" s="8"/>
      <c r="R424" s="8"/>
      <c r="S424" s="8"/>
      <c r="T424" s="8"/>
    </row>
    <row r="425" spans="1:20" ht="15" x14ac:dyDescent="0.25">
      <c r="A425" s="19" t="s">
        <v>232</v>
      </c>
      <c r="B425" s="4"/>
      <c r="D425" s="40"/>
      <c r="E425" s="40"/>
      <c r="F425" s="39"/>
      <c r="G425" s="39"/>
      <c r="H425" s="39"/>
      <c r="I425" s="39"/>
      <c r="J425" s="39"/>
      <c r="K425" s="8"/>
      <c r="L425" s="8"/>
      <c r="M425" s="8"/>
      <c r="N425" s="8"/>
      <c r="O425" s="8"/>
      <c r="P425" s="8"/>
      <c r="Q425" s="8"/>
      <c r="R425" s="8"/>
      <c r="S425" s="8"/>
      <c r="T425" s="8"/>
    </row>
    <row r="426" spans="1:20" ht="15" x14ac:dyDescent="0.25">
      <c r="A426" s="2" t="s">
        <v>643</v>
      </c>
      <c r="B426" s="4" t="str">
        <f t="shared" si="195"/>
        <v>From Fiscal</v>
      </c>
      <c r="D426" s="40">
        <f>'Fiscal Forecasts'!D$128</f>
        <v>5.3360000000000003</v>
      </c>
      <c r="E426" s="40">
        <f>'Fiscal Forecasts'!E$128</f>
        <v>5.7149999999999999</v>
      </c>
      <c r="F426" s="39">
        <f>'Fiscal Forecasts'!F$128</f>
        <v>6.0170000000000003</v>
      </c>
      <c r="G426" s="39">
        <f>'Fiscal Forecasts'!G$128</f>
        <v>6.1950000000000003</v>
      </c>
      <c r="H426" s="39">
        <f>'Fiscal Forecasts'!H$128</f>
        <v>6.3789999999999996</v>
      </c>
      <c r="I426" s="39">
        <f>'Fiscal Forecasts'!I$128</f>
        <v>6.5679999999999996</v>
      </c>
      <c r="J426" s="39">
        <f>'Fiscal Forecasts'!J$128</f>
        <v>6.7619999999999996</v>
      </c>
      <c r="K426" s="8">
        <f ca="1">(J$426/J$13+ IF(K$2&gt;0,K$2*IF(K$6=OFFSET(Assumptions!$B$8,0,$C$1),SUMPRODUCT(OFFSET(J$426,0,0,1,-OFFSET(Assumptions!$B$82,0,$C$1)),OFFSET(J$15,0,0,1,-OFFSET(Assumptions!$B$82,0,$C$1)))/OFFSET(Assumptions!$B$82,0,$C$1)-J$426/J$13,(J$426/J$13-I$426/I$13)/J$2),0))*K$13</f>
        <v>7.0824073344513945</v>
      </c>
      <c r="L426" s="8">
        <f ca="1">(K$426/K$13+ IF(L$2&gt;0,L$2*IF(L$6=OFFSET(Assumptions!$B$8,0,$C$1),SUMPRODUCT(OFFSET(K$426,0,0,1,-OFFSET(Assumptions!$B$82,0,$C$1)),OFFSET(K$15,0,0,1,-OFFSET(Assumptions!$B$82,0,$C$1)))/OFFSET(Assumptions!$B$82,0,$C$1)-K$426/K$13,(K$426/K$13-J$426/J$13)/K$2),0))*L$13</f>
        <v>7.4188477035267795</v>
      </c>
      <c r="M426" s="8">
        <f ca="1">(L$426/L$13+ IF(M$2&gt;0,M$2*IF(M$6=OFFSET(Assumptions!$B$8,0,$C$1),SUMPRODUCT(OFFSET(L$426,0,0,1,-OFFSET(Assumptions!$B$82,0,$C$1)),OFFSET(L$15,0,0,1,-OFFSET(Assumptions!$B$82,0,$C$1)))/OFFSET(Assumptions!$B$82,0,$C$1)-L$426/L$13,(L$426/L$13-K$426/K$13)/L$2),0))*M$13</f>
        <v>7.7631756579814475</v>
      </c>
      <c r="N426" s="8">
        <f ca="1">(M$426/M$13+ IF(N$2&gt;0,N$2*IF(N$6=OFFSET(Assumptions!$B$8,0,$C$1),SUMPRODUCT(OFFSET(M$426,0,0,1,-OFFSET(Assumptions!$B$82,0,$C$1)),OFFSET(M$15,0,0,1,-OFFSET(Assumptions!$B$82,0,$C$1)))/OFFSET(Assumptions!$B$82,0,$C$1)-M$426/M$13,(M$426/M$13-L$426/L$13)/M$2),0))*N$13</f>
        <v>8.116060735413587</v>
      </c>
      <c r="O426" s="8">
        <f ca="1">(N$426/N$13+ IF(O$2&gt;0,O$2*IF(O$6=OFFSET(Assumptions!$B$8,0,$C$1),SUMPRODUCT(OFFSET(N$426,0,0,1,-OFFSET(Assumptions!$B$82,0,$C$1)),OFFSET(N$15,0,0,1,-OFFSET(Assumptions!$B$82,0,$C$1)))/OFFSET(Assumptions!$B$82,0,$C$1)-N$426/N$13,(N$426/N$13-M$426/M$13)/N$2),0))*O$13</f>
        <v>8.4741211039301838</v>
      </c>
      <c r="P426" s="8">
        <f ca="1">(O$426/O$13+ IF(P$2&gt;0,P$2*IF(P$6=OFFSET(Assumptions!$B$8,0,$C$1),SUMPRODUCT(OFFSET(O$426,0,0,1,-OFFSET(Assumptions!$B$82,0,$C$1)),OFFSET(O$15,0,0,1,-OFFSET(Assumptions!$B$82,0,$C$1)))/OFFSET(Assumptions!$B$82,0,$C$1)-O$426/O$13,(O$426/O$13-N$426/N$13)/O$2),0))*P$13</f>
        <v>8.837864716287898</v>
      </c>
      <c r="Q426" s="8">
        <f ca="1">(P$426/P$13+ IF(Q$2&gt;0,Q$2*IF(Q$6=OFFSET(Assumptions!$B$8,0,$C$1),SUMPRODUCT(OFFSET(P$426,0,0,1,-OFFSET(Assumptions!$B$82,0,$C$1)),OFFSET(P$15,0,0,1,-OFFSET(Assumptions!$B$82,0,$C$1)))/OFFSET(Assumptions!$B$82,0,$C$1)-P$426/P$13,(P$426/P$13-O$426/O$13)/P$2),0))*Q$13</f>
        <v>9.2137304363216259</v>
      </c>
      <c r="R426" s="8">
        <f ca="1">(Q$426/Q$13+ IF(R$2&gt;0,R$2*IF(R$6=OFFSET(Assumptions!$B$8,0,$C$1),SUMPRODUCT(OFFSET(Q$426,0,0,1,-OFFSET(Assumptions!$B$82,0,$C$1)),OFFSET(Q$15,0,0,1,-OFFSET(Assumptions!$B$82,0,$C$1)))/OFFSET(Assumptions!$B$82,0,$C$1)-Q$426/Q$13,(Q$426/Q$13-P$426/P$13)/Q$2),0))*R$13</f>
        <v>9.6012991413163746</v>
      </c>
      <c r="S426" s="8">
        <f ca="1">(R$426/R$13+ IF(S$2&gt;0,S$2*IF(S$6=OFFSET(Assumptions!$B$8,0,$C$1),SUMPRODUCT(OFFSET(R$426,0,0,1,-OFFSET(Assumptions!$B$82,0,$C$1)),OFFSET(R$15,0,0,1,-OFFSET(Assumptions!$B$82,0,$C$1)))/OFFSET(Assumptions!$B$82,0,$C$1)-R$426/R$13,(R$426/R$13-Q$426/Q$13)/R$2),0))*S$13</f>
        <v>10.002330100822071</v>
      </c>
      <c r="T426" s="8">
        <f ca="1">(S$426/S$13+ IF(T$2&gt;0,T$2*IF(T$6=OFFSET(Assumptions!$B$8,0,$C$1),SUMPRODUCT(OFFSET(S$426,0,0,1,-OFFSET(Assumptions!$B$82,0,$C$1)),OFFSET(S$15,0,0,1,-OFFSET(Assumptions!$B$82,0,$C$1)))/OFFSET(Assumptions!$B$82,0,$C$1)-S$426/S$13,(S$426/S$13-R$426/R$13)/S$2),0))*T$13</f>
        <v>10.416200525978184</v>
      </c>
    </row>
    <row r="427" spans="1:20" ht="15" x14ac:dyDescent="0.25">
      <c r="A427" s="2"/>
      <c r="B427" s="4"/>
    </row>
    <row r="428" spans="1:20" x14ac:dyDescent="0.2">
      <c r="A428" s="19" t="s">
        <v>233</v>
      </c>
      <c r="B428" s="4"/>
    </row>
    <row r="429" spans="1:20" x14ac:dyDescent="0.2">
      <c r="A429" s="1" t="s">
        <v>644</v>
      </c>
      <c r="B429" s="4"/>
      <c r="D429" s="15">
        <f t="shared" ref="D429:J429" si="196">D$357-D$70</f>
        <v>0.65200000000000014</v>
      </c>
      <c r="E429" s="15">
        <f t="shared" si="196"/>
        <v>0.82600000000000007</v>
      </c>
      <c r="F429" s="16">
        <f t="shared" si="196"/>
        <v>3.2139999999999995</v>
      </c>
      <c r="G429" s="16">
        <f t="shared" si="196"/>
        <v>1.0349999999999999</v>
      </c>
      <c r="H429" s="16">
        <f t="shared" si="196"/>
        <v>1.0769999999999997</v>
      </c>
      <c r="I429" s="16">
        <f t="shared" si="196"/>
        <v>1.1250000000000002</v>
      </c>
      <c r="J429" s="16">
        <f t="shared" si="196"/>
        <v>1.1819999999999997</v>
      </c>
      <c r="K429" s="7">
        <f ca="1">SUM(J$429,OFFSET(Assumptions!$B$77,0,$C$1)*K$349)</f>
        <v>1.2741771056740576</v>
      </c>
      <c r="L429" s="7">
        <f ca="1">SUM(K$429,OFFSET(Assumptions!$B$77,0,$C$1)*L$349)</f>
        <v>1.378149104198958</v>
      </c>
      <c r="M429" s="7">
        <f ca="1">SUM(L$429,OFFSET(Assumptions!$B$77,0,$C$1)*M$349)</f>
        <v>1.4946811995437925</v>
      </c>
      <c r="N429" s="7">
        <f ca="1">SUM(M$429,OFFSET(Assumptions!$B$77,0,$C$1)*N$349)</f>
        <v>1.6245165496760516</v>
      </c>
      <c r="O429" s="7">
        <f ca="1">SUM(N$429,OFFSET(Assumptions!$B$77,0,$C$1)*O$349)</f>
        <v>1.7683809655505609</v>
      </c>
      <c r="P429" s="7">
        <f ca="1">SUM(O$429,OFFSET(Assumptions!$B$77,0,$C$1)*P$349)</f>
        <v>1.9259354897155538</v>
      </c>
      <c r="Q429" s="7">
        <f ca="1">SUM(P$429,OFFSET(Assumptions!$B$77,0,$C$1)*Q$349)</f>
        <v>2.0943775784703149</v>
      </c>
      <c r="R429" s="7">
        <f ca="1">SUM(Q$429,OFFSET(Assumptions!$B$77,0,$C$1)*R$349)</f>
        <v>2.2735857583845718</v>
      </c>
      <c r="S429" s="7">
        <f ca="1">SUM(R$429,OFFSET(Assumptions!$B$77,0,$C$1)*S$349)</f>
        <v>2.4634776639986411</v>
      </c>
      <c r="T429" s="7">
        <f ca="1">SUM(S$429,OFFSET(Assumptions!$B$77,0,$C$1)*T$349)</f>
        <v>2.6640130078526827</v>
      </c>
    </row>
    <row r="430" spans="1:20" x14ac:dyDescent="0.2">
      <c r="A430" s="1" t="s">
        <v>394</v>
      </c>
      <c r="B430" s="4" t="str">
        <f t="shared" ref="B430:B442" si="197">$B$38</f>
        <v>From Fiscal</v>
      </c>
      <c r="D430" s="15">
        <f>'Fiscal Forecasts'!D$348</f>
        <v>4.3540000000000001</v>
      </c>
      <c r="E430" s="15">
        <f>'Fiscal Forecasts'!E$348</f>
        <v>4.5209999999999999</v>
      </c>
      <c r="F430" s="16">
        <f>'Fiscal Forecasts'!F$348</f>
        <v>4.4420000000000002</v>
      </c>
      <c r="G430" s="16">
        <f>'Fiscal Forecasts'!G$348</f>
        <v>4.444</v>
      </c>
      <c r="H430" s="16">
        <f>'Fiscal Forecasts'!H$348</f>
        <v>4.4649999999999999</v>
      </c>
      <c r="I430" s="16">
        <f>'Fiscal Forecasts'!I$348</f>
        <v>4.4850000000000003</v>
      </c>
      <c r="J430" s="16">
        <f>'Fiscal Forecasts'!J$348</f>
        <v>4.5069999999999997</v>
      </c>
      <c r="K430" s="7">
        <f ca="1">J$430*K$323/J$323</f>
        <v>4.721751429510654</v>
      </c>
      <c r="L430" s="7">
        <f t="shared" ref="L430:T430" ca="1" si="198">K$430*L$323/K$323</f>
        <v>4.9472603124642793</v>
      </c>
      <c r="M430" s="7">
        <f t="shared" ca="1" si="198"/>
        <v>5.1835759725852517</v>
      </c>
      <c r="N430" s="7">
        <f t="shared" ca="1" si="198"/>
        <v>5.4307945460439191</v>
      </c>
      <c r="O430" s="7">
        <f t="shared" ca="1" si="198"/>
        <v>5.6891524082134168</v>
      </c>
      <c r="P430" s="7">
        <f t="shared" ca="1" si="198"/>
        <v>5.9590746771393794</v>
      </c>
      <c r="Q430" s="7">
        <f t="shared" ca="1" si="198"/>
        <v>6.240971301999072</v>
      </c>
      <c r="R430" s="7">
        <f t="shared" ca="1" si="198"/>
        <v>6.5347710665651739</v>
      </c>
      <c r="S430" s="7">
        <f t="shared" ca="1" si="198"/>
        <v>6.8408423789449948</v>
      </c>
      <c r="T430" s="7">
        <f t="shared" ca="1" si="198"/>
        <v>7.1595781268019332</v>
      </c>
    </row>
    <row r="431" spans="1:20" x14ac:dyDescent="0.2">
      <c r="A431" s="1" t="s">
        <v>645</v>
      </c>
      <c r="B431" s="4" t="str">
        <f t="shared" si="197"/>
        <v>From Fiscal</v>
      </c>
      <c r="D431" s="15">
        <f>'Fiscal Forecasts'!D$180-SUM(D$429:D$430)</f>
        <v>3.125</v>
      </c>
      <c r="E431" s="15">
        <f>'Fiscal Forecasts'!E$180-SUM(E$429:E$430)</f>
        <v>2.8109999999999999</v>
      </c>
      <c r="F431" s="16">
        <f>'Fiscal Forecasts'!F$180-SUM(F$429:F$430)</f>
        <v>2.87</v>
      </c>
      <c r="G431" s="16">
        <f>'Fiscal Forecasts'!G$180-SUM(G$429:G$430)</f>
        <v>2.4610000000000003</v>
      </c>
      <c r="H431" s="16">
        <f>'Fiscal Forecasts'!H$180-SUM(H$429:H$430)</f>
        <v>2.6419999999999995</v>
      </c>
      <c r="I431" s="16">
        <f>'Fiscal Forecasts'!I$180-SUM(I$429:I$430)</f>
        <v>2.6889999999999992</v>
      </c>
      <c r="J431" s="16">
        <f>'Fiscal Forecasts'!J$180-SUM(J$429:J$430)</f>
        <v>2.758</v>
      </c>
      <c r="K431" s="7">
        <f ca="1">J$431*(K$196+K$196/SUM(K$183,K$196)*SUM(K$219,K$222))/(J$196+J$196/SUM(J$183,J$196)*SUM(J$219,J$222))</f>
        <v>2.8163777718772738</v>
      </c>
      <c r="L431" s="7">
        <f t="shared" ref="L431:T431" ca="1" si="199">K$431*(L$196+L$196/SUM(L$183,L$196)*SUM(L$219,L$222))/(K$196+K$196/SUM(K$183,K$196)*SUM(K$219,K$222))</f>
        <v>2.9369794494506212</v>
      </c>
      <c r="M431" s="7">
        <f t="shared" ca="1" si="199"/>
        <v>3.0525714840727751</v>
      </c>
      <c r="N431" s="7">
        <f t="shared" ca="1" si="199"/>
        <v>3.1688697689204002</v>
      </c>
      <c r="O431" s="7">
        <f t="shared" ca="1" si="199"/>
        <v>3.2875828926627517</v>
      </c>
      <c r="P431" s="7">
        <f t="shared" ca="1" si="199"/>
        <v>3.4092086574239615</v>
      </c>
      <c r="Q431" s="7">
        <f t="shared" ca="1" si="199"/>
        <v>3.5329805315923353</v>
      </c>
      <c r="R431" s="7">
        <f t="shared" ca="1" si="199"/>
        <v>3.658517244465243</v>
      </c>
      <c r="S431" s="7">
        <f t="shared" ca="1" si="199"/>
        <v>3.7855371731748253</v>
      </c>
      <c r="T431" s="7">
        <f t="shared" ca="1" si="199"/>
        <v>3.9134340250272244</v>
      </c>
    </row>
    <row r="432" spans="1:20" ht="15" x14ac:dyDescent="0.25">
      <c r="A432" s="2" t="s">
        <v>646</v>
      </c>
      <c r="B432" s="4"/>
      <c r="D432" s="35">
        <f t="shared" ref="D432:T432" si="200">SUM(D$429:D$431)</f>
        <v>8.1310000000000002</v>
      </c>
      <c r="E432" s="35">
        <f t="shared" si="200"/>
        <v>8.1579999999999995</v>
      </c>
      <c r="F432" s="34">
        <f t="shared" si="200"/>
        <v>10.526</v>
      </c>
      <c r="G432" s="34">
        <f t="shared" si="200"/>
        <v>7.94</v>
      </c>
      <c r="H432" s="34">
        <f t="shared" si="200"/>
        <v>8.1839999999999993</v>
      </c>
      <c r="I432" s="34">
        <f t="shared" si="200"/>
        <v>8.2989999999999995</v>
      </c>
      <c r="J432" s="34">
        <f t="shared" si="200"/>
        <v>8.4469999999999992</v>
      </c>
      <c r="K432" s="38">
        <f t="shared" ca="1" si="200"/>
        <v>8.812306307061986</v>
      </c>
      <c r="L432" s="38">
        <f t="shared" ca="1" si="200"/>
        <v>9.2623888661138594</v>
      </c>
      <c r="M432" s="38">
        <f t="shared" ca="1" si="200"/>
        <v>9.7308286562018189</v>
      </c>
      <c r="N432" s="38">
        <f t="shared" ca="1" si="200"/>
        <v>10.22418086464037</v>
      </c>
      <c r="O432" s="38">
        <f t="shared" ca="1" si="200"/>
        <v>10.745116266426729</v>
      </c>
      <c r="P432" s="38">
        <f t="shared" ca="1" si="200"/>
        <v>11.294218824278895</v>
      </c>
      <c r="Q432" s="38">
        <f t="shared" ca="1" si="200"/>
        <v>11.868329412061721</v>
      </c>
      <c r="R432" s="38">
        <f t="shared" ca="1" si="200"/>
        <v>12.466874069414988</v>
      </c>
      <c r="S432" s="38">
        <f t="shared" ca="1" si="200"/>
        <v>13.089857216118462</v>
      </c>
      <c r="T432" s="38">
        <f t="shared" ca="1" si="200"/>
        <v>13.737025159681842</v>
      </c>
    </row>
    <row r="433" spans="1:20" ht="15" x14ac:dyDescent="0.25">
      <c r="A433" s="2" t="s">
        <v>647</v>
      </c>
      <c r="B433" s="4" t="str">
        <f t="shared" si="197"/>
        <v>From Fiscal</v>
      </c>
      <c r="D433" s="40">
        <f>'Fiscal Forecasts'!D$129</f>
        <v>11.952999999999999</v>
      </c>
      <c r="E433" s="40">
        <f>'Fiscal Forecasts'!E$129</f>
        <v>12.029</v>
      </c>
      <c r="F433" s="39">
        <f>'Fiscal Forecasts'!F$129</f>
        <v>14.313000000000001</v>
      </c>
      <c r="G433" s="39">
        <f>'Fiscal Forecasts'!G$129</f>
        <v>11.704000000000001</v>
      </c>
      <c r="H433" s="39">
        <f>'Fiscal Forecasts'!H$129</f>
        <v>11.968999999999999</v>
      </c>
      <c r="I433" s="39">
        <f>'Fiscal Forecasts'!I$129</f>
        <v>11.877000000000001</v>
      </c>
      <c r="J433" s="39">
        <f>'Fiscal Forecasts'!J$129</f>
        <v>11.951000000000001</v>
      </c>
      <c r="K433" s="8">
        <f ca="1">SUM(K$432,(J$433-J$432)*SUM(K$197:K$198)/SUM(J$197:J$198))</f>
        <v>12.418829853710156</v>
      </c>
      <c r="L433" s="8">
        <f t="shared" ref="L433:T433" ca="1" si="201">SUM(L$432,(K$433-K$432)*SUM(L$197:L$198)/SUM(K$197:K$198))</f>
        <v>12.968732182310596</v>
      </c>
      <c r="M433" s="8">
        <f t="shared" ca="1" si="201"/>
        <v>13.534651371498885</v>
      </c>
      <c r="N433" s="8">
        <f t="shared" ca="1" si="201"/>
        <v>14.126366298914055</v>
      </c>
      <c r="O433" s="8">
        <f t="shared" ca="1" si="201"/>
        <v>14.748937522832161</v>
      </c>
      <c r="P433" s="8">
        <f t="shared" ca="1" si="201"/>
        <v>15.403040436099413</v>
      </c>
      <c r="Q433" s="8">
        <f t="shared" ca="1" si="201"/>
        <v>16.085581437856785</v>
      </c>
      <c r="R433" s="8">
        <f t="shared" ca="1" si="201"/>
        <v>16.795855250277555</v>
      </c>
      <c r="S433" s="8">
        <f t="shared" ca="1" si="201"/>
        <v>17.534387285871382</v>
      </c>
      <c r="T433" s="8">
        <f t="shared" ca="1" si="201"/>
        <v>18.300736442731129</v>
      </c>
    </row>
    <row r="434" spans="1:20" ht="15" x14ac:dyDescent="0.25">
      <c r="A434" s="2"/>
      <c r="B434" s="4"/>
      <c r="D434" s="66"/>
      <c r="E434" s="66"/>
      <c r="F434" s="66"/>
      <c r="G434" s="66"/>
      <c r="H434" s="66"/>
      <c r="I434" s="66"/>
      <c r="J434" s="66"/>
      <c r="K434" s="66"/>
      <c r="L434" s="66"/>
      <c r="M434" s="66"/>
      <c r="N434" s="66"/>
      <c r="O434" s="66"/>
      <c r="P434" s="66"/>
      <c r="Q434" s="66"/>
      <c r="R434" s="66"/>
      <c r="S434" s="66"/>
      <c r="T434" s="66"/>
    </row>
    <row r="435" spans="1:20" ht="15" x14ac:dyDescent="0.25">
      <c r="A435" s="19" t="s">
        <v>234</v>
      </c>
      <c r="B435" s="4"/>
      <c r="D435" s="40"/>
      <c r="E435" s="40"/>
      <c r="F435" s="39"/>
      <c r="G435" s="39"/>
      <c r="H435" s="8"/>
      <c r="I435" s="8"/>
      <c r="J435" s="8"/>
      <c r="K435" s="8"/>
      <c r="L435" s="8"/>
      <c r="M435" s="8"/>
      <c r="N435" s="8"/>
      <c r="O435" s="8"/>
      <c r="P435" s="8"/>
      <c r="Q435" s="8"/>
      <c r="R435" s="8"/>
      <c r="S435" s="8"/>
      <c r="T435" s="8"/>
    </row>
    <row r="436" spans="1:20" ht="15" x14ac:dyDescent="0.25">
      <c r="A436" s="2" t="s">
        <v>648</v>
      </c>
      <c r="B436" s="4" t="str">
        <f t="shared" si="197"/>
        <v>From Fiscal</v>
      </c>
      <c r="D436" s="40">
        <f>'Fiscal Forecasts'!D$181</f>
        <v>0.57299999999999995</v>
      </c>
      <c r="E436" s="40">
        <f>'Fiscal Forecasts'!E$181</f>
        <v>0.54600000000000004</v>
      </c>
      <c r="F436" s="39">
        <f>'Fiscal Forecasts'!F$181</f>
        <v>0.499</v>
      </c>
      <c r="G436" s="39">
        <f>'Fiscal Forecasts'!G$181</f>
        <v>0.47199999999999998</v>
      </c>
      <c r="H436" s="39">
        <f>'Fiscal Forecasts'!H$181</f>
        <v>0.44500000000000001</v>
      </c>
      <c r="I436" s="39">
        <f>'Fiscal Forecasts'!I$181</f>
        <v>0.41799999999999998</v>
      </c>
      <c r="J436" s="39">
        <f>'Fiscal Forecasts'!J$181</f>
        <v>0.39200000000000002</v>
      </c>
      <c r="K436" s="8">
        <f ca="1">(J$436/J$13+ IF(K$2&gt;0,K$2*IF(K$6=OFFSET(Assumptions!$B$8,0,$C$1),SUMPRODUCT(OFFSET(J$436,0,0,1,-OFFSET(Assumptions!$B$82,0,$C$1)),OFFSET(J$15,0,0,1,-OFFSET(Assumptions!$B$82,0,$C$1)))/OFFSET(Assumptions!$B$82,0,$C$1)-J$436/J$13,(J$436/J$13-I$436/I$13)/J$2),0))*K$13</f>
        <v>0.4245646141584915</v>
      </c>
      <c r="L436" s="8">
        <f ca="1">(K$436/K$13+ IF(L$2&gt;0,L$2*IF(L$6=OFFSET(Assumptions!$B$8,0,$C$1),SUMPRODUCT(OFFSET(K$436,0,0,1,-OFFSET(Assumptions!$B$82,0,$C$1)),OFFSET(K$15,0,0,1,-OFFSET(Assumptions!$B$82,0,$C$1)))/OFFSET(Assumptions!$B$82,0,$C$1)-K$436/K$13,(K$436/K$13-J$436/J$13)/K$2),0))*L$13</f>
        <v>0.45636546693132801</v>
      </c>
      <c r="M436" s="8">
        <f ca="1">(L$436/L$13+ IF(M$2&gt;0,M$2*IF(M$6=OFFSET(Assumptions!$B$8,0,$C$1),SUMPRODUCT(OFFSET(L$436,0,0,1,-OFFSET(Assumptions!$B$82,0,$C$1)),OFFSET(L$15,0,0,1,-OFFSET(Assumptions!$B$82,0,$C$1)))/OFFSET(Assumptions!$B$82,0,$C$1)-L$436/L$13,(L$436/L$13-K$436/K$13)/L$2),0))*M$13</f>
        <v>0.48662062267602113</v>
      </c>
      <c r="N436" s="8">
        <f ca="1">(M$436/M$13+ IF(N$2&gt;0,N$2*IF(N$6=OFFSET(Assumptions!$B$8,0,$C$1),SUMPRODUCT(OFFSET(M$436,0,0,1,-OFFSET(Assumptions!$B$82,0,$C$1)),OFFSET(M$15,0,0,1,-OFFSET(Assumptions!$B$82,0,$C$1)))/OFFSET(Assumptions!$B$82,0,$C$1)-M$436/M$13,(M$436/M$13-L$436/L$13)/M$2),0))*N$13</f>
        <v>0.51503765567694493</v>
      </c>
      <c r="O436" s="8">
        <f ca="1">(N$436/N$13+ IF(O$2&gt;0,O$2*IF(O$6=OFFSET(Assumptions!$B$8,0,$C$1),SUMPRODUCT(OFFSET(N$436,0,0,1,-OFFSET(Assumptions!$B$82,0,$C$1)),OFFSET(N$15,0,0,1,-OFFSET(Assumptions!$B$82,0,$C$1)))/OFFSET(Assumptions!$B$82,0,$C$1)-N$436/N$13,(N$436/N$13-M$436/M$13)/N$2),0))*O$13</f>
        <v>0.54103877330020056</v>
      </c>
      <c r="P436" s="8">
        <f ca="1">(O$436/O$13+ IF(P$2&gt;0,P$2*IF(P$6=OFFSET(Assumptions!$B$8,0,$C$1),SUMPRODUCT(OFFSET(O$436,0,0,1,-OFFSET(Assumptions!$B$82,0,$C$1)),OFFSET(O$15,0,0,1,-OFFSET(Assumptions!$B$82,0,$C$1)))/OFFSET(Assumptions!$B$82,0,$C$1)-O$436/O$13,(O$436/O$13-N$436/N$13)/O$2),0))*P$13</f>
        <v>0.56426234957580146</v>
      </c>
      <c r="Q436" s="8">
        <f ca="1">(P$436/P$13+ IF(Q$2&gt;0,Q$2*IF(Q$6=OFFSET(Assumptions!$B$8,0,$C$1),SUMPRODUCT(OFFSET(P$436,0,0,1,-OFFSET(Assumptions!$B$82,0,$C$1)),OFFSET(P$15,0,0,1,-OFFSET(Assumptions!$B$82,0,$C$1)))/OFFSET(Assumptions!$B$82,0,$C$1)-P$436/P$13,(P$436/P$13-O$436/O$13)/P$2),0))*Q$13</f>
        <v>0.5882598739914402</v>
      </c>
      <c r="R436" s="8">
        <f ca="1">(Q$436/Q$13+ IF(R$2&gt;0,R$2*IF(R$6=OFFSET(Assumptions!$B$8,0,$C$1),SUMPRODUCT(OFFSET(Q$436,0,0,1,-OFFSET(Assumptions!$B$82,0,$C$1)),OFFSET(Q$15,0,0,1,-OFFSET(Assumptions!$B$82,0,$C$1)))/OFFSET(Assumptions!$B$82,0,$C$1)-Q$436/Q$13,(Q$436/Q$13-P$436/P$13)/Q$2),0))*R$13</f>
        <v>0.61300458723641083</v>
      </c>
      <c r="S436" s="8">
        <f ca="1">(R$436/R$13+ IF(S$2&gt;0,S$2*IF(S$6=OFFSET(Assumptions!$B$8,0,$C$1),SUMPRODUCT(OFFSET(R$436,0,0,1,-OFFSET(Assumptions!$B$82,0,$C$1)),OFFSET(R$15,0,0,1,-OFFSET(Assumptions!$B$82,0,$C$1)))/OFFSET(Assumptions!$B$82,0,$C$1)-R$436/R$13,(R$436/R$13-Q$436/Q$13)/R$2),0))*S$13</f>
        <v>0.63860881164214134</v>
      </c>
      <c r="T436" s="8">
        <f ca="1">(S$436/S$13+ IF(T$2&gt;0,T$2*IF(T$6=OFFSET(Assumptions!$B$8,0,$C$1),SUMPRODUCT(OFFSET(S$436,0,0,1,-OFFSET(Assumptions!$B$82,0,$C$1)),OFFSET(S$15,0,0,1,-OFFSET(Assumptions!$B$82,0,$C$1)))/OFFSET(Assumptions!$B$82,0,$C$1)-S$436/S$13,(S$436/S$13-R$436/R$13)/S$2),0))*T$13</f>
        <v>0.66503278462830095</v>
      </c>
    </row>
    <row r="437" spans="1:20" ht="15" x14ac:dyDescent="0.25">
      <c r="A437" s="2" t="s">
        <v>649</v>
      </c>
      <c r="B437" s="4" t="str">
        <f t="shared" si="197"/>
        <v>From Fiscal</v>
      </c>
      <c r="D437" s="40">
        <f>'Fiscal Forecasts'!D$130</f>
        <v>2.1120000000000001</v>
      </c>
      <c r="E437" s="40">
        <f>'Fiscal Forecasts'!E$130</f>
        <v>2.1779999999999999</v>
      </c>
      <c r="F437" s="39">
        <f>'Fiscal Forecasts'!F$130</f>
        <v>2.0579999999999998</v>
      </c>
      <c r="G437" s="39">
        <f>'Fiscal Forecasts'!G$130</f>
        <v>2.1070000000000002</v>
      </c>
      <c r="H437" s="39">
        <f>'Fiscal Forecasts'!H$130</f>
        <v>2.1800000000000002</v>
      </c>
      <c r="I437" s="39">
        <f>'Fiscal Forecasts'!I$130</f>
        <v>2.1850000000000001</v>
      </c>
      <c r="J437" s="39">
        <f>'Fiscal Forecasts'!J$130</f>
        <v>2.2290000000000001</v>
      </c>
      <c r="K437" s="8">
        <f ca="1">SUM(K$436,((J$437-J$436)/J$13+ IF(K$2&gt;0,K$2*IF(K$6=OFFSET(Assumptions!$B$8,0,$C$1),(SUMPRODUCT(OFFSET(J$437,0,0,1,-OFFSET(Assumptions!$B$82,0,$C$1)),OFFSET(J$15,0,0,1,-OFFSET(Assumptions!$B$82,0,$C$1)))-SUMPRODUCT(OFFSET(J$436,0,0,1,-OFFSET(Assumptions!$B$82,0,$C$1)),OFFSET(J$15,0,0,1,-OFFSET(Assumptions!$B$82,0,$C$1))))/OFFSET(Assumptions!$B$82,0,$C$1)-(J$437-J$436)/J$13,((J$437-J$436)/J$13-(I$437-I$436)/I$13)/J$2),0))*K$13 )</f>
        <v>2.3467806211366202</v>
      </c>
      <c r="L437" s="8">
        <f ca="1">SUM(L$436,((K$437-K$436)/K$13+ IF(L$2&gt;0,L$2*IF(L$6=OFFSET(Assumptions!$B$8,0,$C$1),(SUMPRODUCT(OFFSET(K$437,0,0,1,-OFFSET(Assumptions!$B$82,0,$C$1)),OFFSET(K$15,0,0,1,-OFFSET(Assumptions!$B$82,0,$C$1)))-SUMPRODUCT(OFFSET(K$436,0,0,1,-OFFSET(Assumptions!$B$82,0,$C$1)),OFFSET(K$15,0,0,1,-OFFSET(Assumptions!$B$82,0,$C$1))))/OFFSET(Assumptions!$B$82,0,$C$1)-(K$437-K$436)/K$13,((K$437-K$436)/K$13-(J$437-J$436)/J$13)/K$2),0))*L$13 )</f>
        <v>2.4683742780178632</v>
      </c>
      <c r="M437" s="8">
        <f ca="1">SUM(M$436,((L$437-L$436)/L$13+ IF(M$2&gt;0,M$2*IF(M$6=OFFSET(Assumptions!$B$8,0,$C$1),(SUMPRODUCT(OFFSET(L$437,0,0,1,-OFFSET(Assumptions!$B$82,0,$C$1)),OFFSET(L$15,0,0,1,-OFFSET(Assumptions!$B$82,0,$C$1)))-SUMPRODUCT(OFFSET(L$436,0,0,1,-OFFSET(Assumptions!$B$82,0,$C$1)),OFFSET(L$15,0,0,1,-OFFSET(Assumptions!$B$82,0,$C$1))))/OFFSET(Assumptions!$B$82,0,$C$1)-(L$437-L$436)/L$13,((L$437-L$436)/L$13-(K$437-K$436)/K$13)/L$2),0))*M$13 )</f>
        <v>2.5908266599330396</v>
      </c>
      <c r="N437" s="8">
        <f ca="1">SUM(N$436,((M$437-M$436)/M$13+ IF(N$2&gt;0,N$2*IF(N$6=OFFSET(Assumptions!$B$8,0,$C$1),(SUMPRODUCT(OFFSET(M$437,0,0,1,-OFFSET(Assumptions!$B$82,0,$C$1)),OFFSET(M$15,0,0,1,-OFFSET(Assumptions!$B$82,0,$C$1)))-SUMPRODUCT(OFFSET(M$436,0,0,1,-OFFSET(Assumptions!$B$82,0,$C$1)),OFFSET(M$15,0,0,1,-OFFSET(Assumptions!$B$82,0,$C$1))))/OFFSET(Assumptions!$B$82,0,$C$1)-(M$437-M$436)/M$13,((M$437-M$436)/M$13-(L$437-L$436)/L$13)/M$2),0))*N$13 )</f>
        <v>2.7140705001379279</v>
      </c>
      <c r="O437" s="8">
        <f ca="1">SUM(O$436,((N$437-N$436)/N$13+ IF(O$2&gt;0,O$2*IF(O$6=OFFSET(Assumptions!$B$8,0,$C$1),(SUMPRODUCT(OFFSET(N$437,0,0,1,-OFFSET(Assumptions!$B$82,0,$C$1)),OFFSET(N$15,0,0,1,-OFFSET(Assumptions!$B$82,0,$C$1)))-SUMPRODUCT(OFFSET(N$436,0,0,1,-OFFSET(Assumptions!$B$82,0,$C$1)),OFFSET(N$15,0,0,1,-OFFSET(Assumptions!$B$82,0,$C$1))))/OFFSET(Assumptions!$B$82,0,$C$1)-(N$437-N$436)/N$13,((N$437-N$436)/N$13-(M$437-M$436)/M$13)/N$2),0))*O$13 )</f>
        <v>2.8366591462365474</v>
      </c>
      <c r="P437" s="8">
        <f ca="1">SUM(P$436,((O$437-O$436)/O$13+ IF(P$2&gt;0,P$2*IF(P$6=OFFSET(Assumptions!$B$8,0,$C$1),(SUMPRODUCT(OFFSET(O$437,0,0,1,-OFFSET(Assumptions!$B$82,0,$C$1)),OFFSET(O$15,0,0,1,-OFFSET(Assumptions!$B$82,0,$C$1)))-SUMPRODUCT(OFFSET(O$436,0,0,1,-OFFSET(Assumptions!$B$82,0,$C$1)),OFFSET(O$15,0,0,1,-OFFSET(Assumptions!$B$82,0,$C$1))))/OFFSET(Assumptions!$B$82,0,$C$1)-(O$437-O$436)/O$13,((O$437-O$436)/O$13-(N$437-N$436)/N$13)/O$2),0))*P$13 )</f>
        <v>2.9584200500783733</v>
      </c>
      <c r="Q437" s="8">
        <f ca="1">SUM(Q$436,((P$437-P$436)/P$13+ IF(Q$2&gt;0,Q$2*IF(Q$6=OFFSET(Assumptions!$B$8,0,$C$1),(SUMPRODUCT(OFFSET(P$437,0,0,1,-OFFSET(Assumptions!$B$82,0,$C$1)),OFFSET(P$15,0,0,1,-OFFSET(Assumptions!$B$82,0,$C$1)))-SUMPRODUCT(OFFSET(P$436,0,0,1,-OFFSET(Assumptions!$B$82,0,$C$1)),OFFSET(P$15,0,0,1,-OFFSET(Assumptions!$B$82,0,$C$1))))/OFFSET(Assumptions!$B$82,0,$C$1)-(P$437-P$436)/P$13,((P$437-P$436)/P$13-(O$437-O$436)/O$13)/P$2),0))*Q$13 )</f>
        <v>3.084238753801638</v>
      </c>
      <c r="R437" s="8">
        <f ca="1">SUM(R$436,((Q$437-Q$436)/Q$13+ IF(R$2&gt;0,R$2*IF(R$6=OFFSET(Assumptions!$B$8,0,$C$1),(SUMPRODUCT(OFFSET(Q$437,0,0,1,-OFFSET(Assumptions!$B$82,0,$C$1)),OFFSET(Q$15,0,0,1,-OFFSET(Assumptions!$B$82,0,$C$1)))-SUMPRODUCT(OFFSET(Q$436,0,0,1,-OFFSET(Assumptions!$B$82,0,$C$1)),OFFSET(Q$15,0,0,1,-OFFSET(Assumptions!$B$82,0,$C$1))))/OFFSET(Assumptions!$B$82,0,$C$1)-(Q$437-Q$436)/Q$13,((Q$437-Q$436)/Q$13-(P$437-P$436)/P$13)/Q$2),0))*R$13 )</f>
        <v>3.2139749586935555</v>
      </c>
      <c r="S437" s="8">
        <f ca="1">SUM(S$436,((R$437-R$436)/R$13+ IF(S$2&gt;0,S$2*IF(S$6=OFFSET(Assumptions!$B$8,0,$C$1),(SUMPRODUCT(OFFSET(R$437,0,0,1,-OFFSET(Assumptions!$B$82,0,$C$1)),OFFSET(R$15,0,0,1,-OFFSET(Assumptions!$B$82,0,$C$1)))-SUMPRODUCT(OFFSET(R$436,0,0,1,-OFFSET(Assumptions!$B$82,0,$C$1)),OFFSET(R$15,0,0,1,-OFFSET(Assumptions!$B$82,0,$C$1))))/OFFSET(Assumptions!$B$82,0,$C$1)-(R$437-R$436)/R$13,((R$437-R$436)/R$13-(Q$437-Q$436)/Q$13)/R$2),0))*S$13 )</f>
        <v>3.348217569255052</v>
      </c>
      <c r="T437" s="8">
        <f ca="1">SUM(T$436,((S$437-S$436)/S$13+ IF(T$2&gt;0,T$2*IF(T$6=OFFSET(Assumptions!$B$8,0,$C$1),(SUMPRODUCT(OFFSET(S$437,0,0,1,-OFFSET(Assumptions!$B$82,0,$C$1)),OFFSET(S$15,0,0,1,-OFFSET(Assumptions!$B$82,0,$C$1)))-SUMPRODUCT(OFFSET(S$436,0,0,1,-OFFSET(Assumptions!$B$82,0,$C$1)),OFFSET(S$15,0,0,1,-OFFSET(Assumptions!$B$82,0,$C$1))))/OFFSET(Assumptions!$B$82,0,$C$1)-(S$437-S$436)/S$13,((S$437-S$436)/S$13-(R$437-R$436)/R$13)/S$2),0))*T$13 )</f>
        <v>3.4867581108023531</v>
      </c>
    </row>
    <row r="438" spans="1:20" ht="15" x14ac:dyDescent="0.25">
      <c r="A438" s="2"/>
      <c r="B438" s="4"/>
      <c r="D438" s="15"/>
      <c r="E438" s="15"/>
      <c r="F438" s="56"/>
      <c r="G438" s="56"/>
      <c r="H438" s="56"/>
      <c r="I438" s="56"/>
      <c r="J438" s="56"/>
      <c r="K438" s="56"/>
      <c r="L438" s="56"/>
      <c r="M438" s="56"/>
      <c r="N438" s="56"/>
      <c r="O438" s="56"/>
      <c r="P438" s="56"/>
      <c r="Q438" s="56"/>
      <c r="R438" s="56"/>
      <c r="S438" s="56"/>
      <c r="T438" s="56"/>
    </row>
    <row r="439" spans="1:20" ht="15" x14ac:dyDescent="0.25">
      <c r="A439" s="19" t="s">
        <v>236</v>
      </c>
      <c r="B439" s="4"/>
      <c r="D439" s="40"/>
      <c r="E439" s="40"/>
      <c r="F439" s="39"/>
      <c r="G439" s="39"/>
      <c r="H439" s="39"/>
      <c r="I439" s="39"/>
      <c r="J439" s="39"/>
      <c r="K439" s="8"/>
      <c r="L439" s="8"/>
      <c r="M439" s="8"/>
      <c r="N439" s="8"/>
      <c r="O439" s="8"/>
      <c r="P439" s="8"/>
      <c r="Q439" s="8"/>
      <c r="R439" s="8"/>
      <c r="S439" s="8"/>
      <c r="T439" s="8"/>
    </row>
    <row r="440" spans="1:20" ht="15" x14ac:dyDescent="0.25">
      <c r="A440" s="2" t="s">
        <v>653</v>
      </c>
      <c r="B440" s="4" t="str">
        <f t="shared" si="197"/>
        <v>From Fiscal</v>
      </c>
      <c r="D440" s="15">
        <f>'Fiscal Forecasts'!D$182</f>
        <v>2.3E-2</v>
      </c>
      <c r="E440" s="15">
        <f>'Fiscal Forecasts'!E$182</f>
        <v>0.02</v>
      </c>
      <c r="F440" s="16">
        <f>'Fiscal Forecasts'!F$182</f>
        <v>2.1000000000000001E-2</v>
      </c>
      <c r="G440" s="16">
        <f>'Fiscal Forecasts'!G$182</f>
        <v>2.3E-2</v>
      </c>
      <c r="H440" s="16">
        <f>'Fiscal Forecasts'!H$182</f>
        <v>2.1999999999999999E-2</v>
      </c>
      <c r="I440" s="16">
        <f>'Fiscal Forecasts'!I$182</f>
        <v>2.1999999999999999E-2</v>
      </c>
      <c r="J440" s="16">
        <f>'Fiscal Forecasts'!J$182</f>
        <v>2.3E-2</v>
      </c>
      <c r="K440" s="7">
        <f ca="1">IF(K$6=OFFSET(Assumptions!$B$8,0,$C$1),AVERAGE(H$440/H$13,I$440/I$13,J$440/J$13),J$440/J$13) *K$13</f>
        <v>2.4290893296439384E-2</v>
      </c>
      <c r="L440" s="7">
        <f ca="1">IF(L$6=OFFSET(Assumptions!$B$8,0,$C$1),AVERAGE(I$440/I$13,J$440/J$13,K$440/K$13),K$440/K$13) *L$13</f>
        <v>2.5356618115342761E-2</v>
      </c>
      <c r="M440" s="7">
        <f ca="1">IF(M$6=OFFSET(Assumptions!$B$8,0,$C$1),AVERAGE(J$440/J$13,K$440/K$13,L$440/L$13),L$440/L$13) *M$13</f>
        <v>2.6464697175821467E-2</v>
      </c>
      <c r="N440" s="7">
        <f ca="1">IF(N$6=OFFSET(Assumptions!$B$8,0,$C$1),AVERAGE(K$440/K$13,L$440/L$13,M$440/M$13),M$440/M$13) *N$13</f>
        <v>2.7619947865850081E-2</v>
      </c>
      <c r="O440" s="7">
        <f ca="1">IF(O$6=OFFSET(Assumptions!$B$8,0,$C$1),AVERAGE(L$440/L$13,M$440/M$13,N$440/N$13),N$440/N$13) *O$13</f>
        <v>2.8813614578515074E-2</v>
      </c>
      <c r="P440" s="7">
        <f ca="1">IF(P$6=OFFSET(Assumptions!$B$8,0,$C$1),AVERAGE(M$440/M$13,N$440/N$13,O$440/O$13),O$440/O$13) *P$13</f>
        <v>3.005041166028101E-2</v>
      </c>
      <c r="Q440" s="7">
        <f ca="1">IF(Q$6=OFFSET(Assumptions!$B$8,0,$C$1),AVERAGE(N$440/N$13,O$440/O$13,P$440/P$13),P$440/P$13) *Q$13</f>
        <v>3.1328426200963586E-2</v>
      </c>
      <c r="R440" s="7">
        <f ca="1">IF(R$6=OFFSET(Assumptions!$B$8,0,$C$1),AVERAGE(O$440/O$13,P$440/P$13,Q$440/Q$13),Q$440/Q$13) *R$13</f>
        <v>3.2646233104057489E-2</v>
      </c>
      <c r="S440" s="7">
        <f ca="1">IF(S$6=OFFSET(Assumptions!$B$8,0,$C$1),AVERAGE(P$440/P$13,Q$440/Q$13,R$440/R$13),R$440/R$13) *S$13</f>
        <v>3.4009814218786912E-2</v>
      </c>
      <c r="T440" s="7">
        <f ca="1">IF(T$6=OFFSET(Assumptions!$B$8,0,$C$1),AVERAGE(Q$440/Q$13,R$440/R$13,S$440/S$13),S$440/S$13) *T$13</f>
        <v>3.5417051945229566E-2</v>
      </c>
    </row>
    <row r="441" spans="1:20" x14ac:dyDescent="0.2">
      <c r="A441" s="1" t="s">
        <v>650</v>
      </c>
      <c r="B441" s="4" t="str">
        <f t="shared" si="197"/>
        <v>From Fiscal</v>
      </c>
      <c r="D441" s="15">
        <f>'Fiscal Forecasts'!D$351</f>
        <v>32.518000000000001</v>
      </c>
      <c r="E441" s="15">
        <f>'Fiscal Forecasts'!E$351</f>
        <v>39.106000000000002</v>
      </c>
      <c r="F441" s="16">
        <f>'Fiscal Forecasts'!F$351</f>
        <v>40.298000000000002</v>
      </c>
      <c r="G441" s="16">
        <f>'Fiscal Forecasts'!G$351</f>
        <v>41.822000000000003</v>
      </c>
      <c r="H441" s="16">
        <f>'Fiscal Forecasts'!H$351</f>
        <v>43.491</v>
      </c>
      <c r="I441" s="16">
        <f>'Fiscal Forecasts'!I$351</f>
        <v>45.292000000000002</v>
      </c>
      <c r="J441" s="16">
        <f>'Fiscal Forecasts'!J$351</f>
        <v>47.276000000000003</v>
      </c>
      <c r="K441" s="7">
        <f>J$441*Exogenous!R$29/Exogenous!Q$29</f>
        <v>49.282886785197931</v>
      </c>
      <c r="L441" s="7">
        <f>K$441*Exogenous!S$29/Exogenous!R$29</f>
        <v>51.382250738251507</v>
      </c>
      <c r="M441" s="7">
        <f>L$441*Exogenous!T$29/Exogenous!S$29</f>
        <v>53.559103999270413</v>
      </c>
      <c r="N441" s="7">
        <f>M$441*Exogenous!U$29/Exogenous!T$29</f>
        <v>55.851311848090212</v>
      </c>
      <c r="O441" s="7">
        <f>N$441*Exogenous!V$29/Exogenous!U$29</f>
        <v>58.154438996469075</v>
      </c>
      <c r="P441" s="7">
        <f>O$441*Exogenous!W$29/Exogenous!V$29</f>
        <v>60.536415632193915</v>
      </c>
      <c r="Q441" s="7">
        <f>P$441*Exogenous!X$29/Exogenous!W$29</f>
        <v>62.976709680351235</v>
      </c>
      <c r="R441" s="7">
        <f>Q$441*Exogenous!Y$29/Exogenous!X$29</f>
        <v>65.480946036562756</v>
      </c>
      <c r="S441" s="7">
        <f>R$441*Exogenous!Z$29/Exogenous!Y$29</f>
        <v>68.076702402473401</v>
      </c>
      <c r="T441" s="7">
        <f>S$441*Exogenous!AA$29/Exogenous!Z$29</f>
        <v>70.768334379007328</v>
      </c>
    </row>
    <row r="442" spans="1:20" x14ac:dyDescent="0.2">
      <c r="A442" s="1" t="s">
        <v>651</v>
      </c>
      <c r="B442" s="4" t="str">
        <f t="shared" si="197"/>
        <v>From Fiscal</v>
      </c>
      <c r="D442" s="15">
        <f>SUM('Fiscal Forecasts'!D$352:D$353)-D$440</f>
        <v>3.8899999999999997</v>
      </c>
      <c r="E442" s="15">
        <f>SUM('Fiscal Forecasts'!E$352:E$353)-E$440</f>
        <v>3</v>
      </c>
      <c r="F442" s="16">
        <f>SUM('Fiscal Forecasts'!F$352:F$353)-F$440</f>
        <v>2.5620000000000003</v>
      </c>
      <c r="G442" s="16">
        <f>SUM('Fiscal Forecasts'!G$352:G$353)-G$440</f>
        <v>0.91099999999999992</v>
      </c>
      <c r="H442" s="16">
        <f>SUM('Fiscal Forecasts'!H$352:H$353)-H$440</f>
        <v>0.29799999999999999</v>
      </c>
      <c r="I442" s="16">
        <f>SUM('Fiscal Forecasts'!I$352:I$353)-I$440</f>
        <v>0.27699999999999997</v>
      </c>
      <c r="J442" s="16">
        <f>SUM('Fiscal Forecasts'!J$352:J$353)-J$440</f>
        <v>0.27499999999999997</v>
      </c>
      <c r="K442" s="7">
        <f ca="1">(J$442/J$13+ IF(K$2&gt;0,K$2*IF(K$6=OFFSET(Assumptions!$B$8,0,$C$1),SUMPRODUCT(OFFSET(J$442,0,0,1,-OFFSET(Assumptions!$B$82,0,$C$1)),OFFSET(J$15,0,0,1,-OFFSET(Assumptions!$B$82,0,$C$1)))/OFFSET(Assumptions!$B$82,0,$C$1)-J$442/J$13,(J$442/J$13-I$442/I$13)/J$2),0))*K$13</f>
        <v>0.29409536418079074</v>
      </c>
      <c r="L442" s="7">
        <f ca="1">(K$442/K$13+ IF(L$2&gt;0,L$2*IF(L$6=OFFSET(Assumptions!$B$8,0,$C$1),SUMPRODUCT(OFFSET(K$442,0,0,1,-OFFSET(Assumptions!$B$82,0,$C$1)),OFFSET(K$15,0,0,1,-OFFSET(Assumptions!$B$82,0,$C$1)))/OFFSET(Assumptions!$B$82,0,$C$1)-K$442/K$13,(K$442/K$13-J$442/J$13)/K$2),0))*L$13</f>
        <v>0.31310874555792206</v>
      </c>
      <c r="M442" s="7">
        <f ca="1">(L$442/L$13+ IF(M$2&gt;0,M$2*IF(M$6=OFFSET(Assumptions!$B$8,0,$C$1),SUMPRODUCT(OFFSET(L$442,0,0,1,-OFFSET(Assumptions!$B$82,0,$C$1)),OFFSET(L$15,0,0,1,-OFFSET(Assumptions!$B$82,0,$C$1)))/OFFSET(Assumptions!$B$82,0,$C$1)-L$442/L$13,(L$442/L$13-K$442/K$13)/L$2),0))*M$13</f>
        <v>0.3315746084920031</v>
      </c>
      <c r="N442" s="7">
        <f ca="1">(M$442/M$13+ IF(N$2&gt;0,N$2*IF(N$6=OFFSET(Assumptions!$B$8,0,$C$1),SUMPRODUCT(OFFSET(M$442,0,0,1,-OFFSET(Assumptions!$B$82,0,$C$1)),OFFSET(M$15,0,0,1,-OFFSET(Assumptions!$B$82,0,$C$1)))/OFFSET(Assumptions!$B$82,0,$C$1)-M$442/M$13,(M$442/M$13-L$442/L$13)/M$2),0))*N$13</f>
        <v>0.34937658704664254</v>
      </c>
      <c r="O442" s="7">
        <f ca="1">(N$442/N$13+ IF(O$2&gt;0,O$2*IF(O$6=OFFSET(Assumptions!$B$8,0,$C$1),SUMPRODUCT(OFFSET(N$442,0,0,1,-OFFSET(Assumptions!$B$82,0,$C$1)),OFFSET(N$15,0,0,1,-OFFSET(Assumptions!$B$82,0,$C$1)))/OFFSET(Assumptions!$B$82,0,$C$1)-N$442/N$13,(N$442/N$13-M$442/M$13)/N$2),0))*O$13</f>
        <v>0.36621165811403034</v>
      </c>
      <c r="P442" s="7">
        <f ca="1">(O$442/O$13+ IF(P$2&gt;0,P$2*IF(P$6=OFFSET(Assumptions!$B$8,0,$C$1),SUMPRODUCT(OFFSET(O$442,0,0,1,-OFFSET(Assumptions!$B$82,0,$C$1)),OFFSET(O$15,0,0,1,-OFFSET(Assumptions!$B$82,0,$C$1)))/OFFSET(Assumptions!$B$82,0,$C$1)-O$442/O$13,(O$442/O$13-N$442/N$13)/O$2),0))*P$13</f>
        <v>0.38193094625921936</v>
      </c>
      <c r="Q442" s="7">
        <f ca="1">(P$442/P$13+ IF(Q$2&gt;0,Q$2*IF(Q$6=OFFSET(Assumptions!$B$8,0,$C$1),SUMPRODUCT(OFFSET(P$442,0,0,1,-OFFSET(Assumptions!$B$82,0,$C$1)),OFFSET(P$15,0,0,1,-OFFSET(Assumptions!$B$82,0,$C$1)))/OFFSET(Assumptions!$B$82,0,$C$1)-P$442/P$13,(P$442/P$13-O$442/O$13)/P$2),0))*Q$13</f>
        <v>0.39817409488473721</v>
      </c>
      <c r="R442" s="7">
        <f ca="1">(Q$442/Q$13+ IF(R$2&gt;0,R$2*IF(R$6=OFFSET(Assumptions!$B$8,0,$C$1),SUMPRODUCT(OFFSET(Q$442,0,0,1,-OFFSET(Assumptions!$B$82,0,$C$1)),OFFSET(Q$15,0,0,1,-OFFSET(Assumptions!$B$82,0,$C$1)))/OFFSET(Assumptions!$B$82,0,$C$1)-Q$442/Q$13,(Q$442/Q$13-P$442/P$13)/Q$2),0))*R$13</f>
        <v>0.4149229914780852</v>
      </c>
      <c r="S442" s="7">
        <f ca="1">(R$442/R$13+ IF(S$2&gt;0,S$2*IF(S$6=OFFSET(Assumptions!$B$8,0,$C$1),SUMPRODUCT(OFFSET(R$442,0,0,1,-OFFSET(Assumptions!$B$82,0,$C$1)),OFFSET(R$15,0,0,1,-OFFSET(Assumptions!$B$82,0,$C$1)))/OFFSET(Assumptions!$B$82,0,$C$1)-R$442/R$13,(R$442/R$13-Q$442/Q$13)/R$2),0))*S$13</f>
        <v>0.43225366339490845</v>
      </c>
      <c r="T442" s="7">
        <f ca="1">(S$442/S$13+ IF(T$2&gt;0,T$2*IF(T$6=OFFSET(Assumptions!$B$8,0,$C$1),SUMPRODUCT(OFFSET(S$442,0,0,1,-OFFSET(Assumptions!$B$82,0,$C$1)),OFFSET(S$15,0,0,1,-OFFSET(Assumptions!$B$82,0,$C$1)))/OFFSET(Assumptions!$B$82,0,$C$1)-S$442/S$13,(S$442/S$13-R$442/R$13)/S$2),0))*T$13</f>
        <v>0.45013919662979296</v>
      </c>
    </row>
    <row r="443" spans="1:20" ht="15" x14ac:dyDescent="0.25">
      <c r="A443" s="2" t="s">
        <v>652</v>
      </c>
      <c r="B443" s="4"/>
      <c r="D443" s="35">
        <f t="shared" ref="D443:T443" si="202">SUM(D$440:D$442)</f>
        <v>36.431000000000004</v>
      </c>
      <c r="E443" s="35">
        <f t="shared" si="202"/>
        <v>42.126000000000005</v>
      </c>
      <c r="F443" s="34">
        <f t="shared" si="202"/>
        <v>42.881</v>
      </c>
      <c r="G443" s="34">
        <f t="shared" si="202"/>
        <v>42.756000000000007</v>
      </c>
      <c r="H443" s="34">
        <f t="shared" si="202"/>
        <v>43.811</v>
      </c>
      <c r="I443" s="34">
        <f t="shared" si="202"/>
        <v>45.591000000000001</v>
      </c>
      <c r="J443" s="34">
        <f t="shared" si="202"/>
        <v>47.574000000000005</v>
      </c>
      <c r="K443" s="38">
        <f t="shared" ca="1" si="202"/>
        <v>49.60127304267516</v>
      </c>
      <c r="L443" s="38">
        <f t="shared" ca="1" si="202"/>
        <v>51.720716101924772</v>
      </c>
      <c r="M443" s="38">
        <f t="shared" ca="1" si="202"/>
        <v>53.917143304938236</v>
      </c>
      <c r="N443" s="38">
        <f t="shared" ca="1" si="202"/>
        <v>56.228308383002705</v>
      </c>
      <c r="O443" s="38">
        <f t="shared" ca="1" si="202"/>
        <v>58.549464269161625</v>
      </c>
      <c r="P443" s="38">
        <f t="shared" ca="1" si="202"/>
        <v>60.948396990113416</v>
      </c>
      <c r="Q443" s="38">
        <f t="shared" ca="1" si="202"/>
        <v>63.406212201436936</v>
      </c>
      <c r="R443" s="38">
        <f t="shared" ca="1" si="202"/>
        <v>65.928515261144895</v>
      </c>
      <c r="S443" s="38">
        <f t="shared" ca="1" si="202"/>
        <v>68.542965880087095</v>
      </c>
      <c r="T443" s="38">
        <f t="shared" ca="1" si="202"/>
        <v>71.253890627582351</v>
      </c>
    </row>
    <row r="444" spans="1:20" ht="15" x14ac:dyDescent="0.25">
      <c r="A444" s="2"/>
      <c r="B444" s="4"/>
      <c r="D444" s="47"/>
      <c r="E444" s="47"/>
      <c r="F444" s="48"/>
      <c r="G444" s="48"/>
      <c r="H444" s="48"/>
      <c r="I444" s="48"/>
      <c r="J444" s="48"/>
      <c r="K444" s="49"/>
      <c r="L444" s="49"/>
      <c r="M444" s="49"/>
      <c r="N444" s="49"/>
      <c r="O444" s="49"/>
      <c r="P444" s="49"/>
      <c r="Q444" s="49"/>
      <c r="R444" s="49"/>
      <c r="S444" s="49"/>
      <c r="T444" s="49"/>
    </row>
    <row r="445" spans="1:20" ht="15" x14ac:dyDescent="0.25">
      <c r="A445" s="19" t="s">
        <v>654</v>
      </c>
      <c r="B445" s="4"/>
      <c r="D445" s="47"/>
      <c r="E445" s="47"/>
      <c r="F445" s="48"/>
      <c r="G445" s="48"/>
      <c r="H445" s="48"/>
      <c r="I445" s="48"/>
      <c r="J445" s="48"/>
      <c r="K445" s="49"/>
      <c r="L445" s="49"/>
      <c r="M445" s="49"/>
      <c r="N445" s="49"/>
      <c r="O445" s="49"/>
      <c r="P445" s="49"/>
      <c r="Q445" s="49"/>
      <c r="R445" s="49"/>
      <c r="S445" s="49"/>
      <c r="T445" s="49"/>
    </row>
    <row r="446" spans="1:20" ht="15" x14ac:dyDescent="0.25">
      <c r="A446" s="2" t="s">
        <v>655</v>
      </c>
      <c r="B446" s="4" t="str">
        <f>$B$38</f>
        <v>From Fiscal</v>
      </c>
      <c r="D446" s="15">
        <f>'Fiscal Forecasts'!D$183</f>
        <v>10.843999999999999</v>
      </c>
      <c r="E446" s="15">
        <f>'Fiscal Forecasts'!E$183</f>
        <v>12.443</v>
      </c>
      <c r="F446" s="16">
        <f>'Fiscal Forecasts'!F$183</f>
        <v>11.006</v>
      </c>
      <c r="G446" s="16">
        <f>'Fiscal Forecasts'!G$183</f>
        <v>10.416</v>
      </c>
      <c r="H446" s="16">
        <f>'Fiscal Forecasts'!H$183</f>
        <v>9.8689999999999998</v>
      </c>
      <c r="I446" s="16">
        <f>'Fiscal Forecasts'!I$183</f>
        <v>9.3390000000000004</v>
      </c>
      <c r="J446" s="16">
        <f>'Fiscal Forecasts'!J$183</f>
        <v>8.8179999999999996</v>
      </c>
      <c r="K446" s="7">
        <f>J$446*(Exogenous!R$34-Exogenous!R$33)/(Exogenous!Q$34-Exogenous!Q$33)</f>
        <v>8.5330842036553527</v>
      </c>
      <c r="L446" s="7">
        <f>K$446*(Exogenous!S$34-Exogenous!S$33)/(Exogenous!R$34-Exogenous!R$33)</f>
        <v>8.2414532201914721</v>
      </c>
      <c r="M446" s="7">
        <f>L$446*(Exogenous!T$34-Exogenous!T$33)/(Exogenous!S$34-Exogenous!S$33)</f>
        <v>7.9536594865100074</v>
      </c>
      <c r="N446" s="7">
        <f>M$446*(Exogenous!U$34-Exogenous!U$33)/(Exogenous!T$34-Exogenous!T$33)</f>
        <v>7.670662315056572</v>
      </c>
      <c r="O446" s="7">
        <f>N$446*(Exogenous!V$34-Exogenous!V$33)/(Exogenous!U$34-Exogenous!U$33)</f>
        <v>7.3962989556135783</v>
      </c>
      <c r="P446" s="7">
        <f>O$446*(Exogenous!W$34-Exogenous!W$33)/(Exogenous!V$34-Exogenous!V$33)</f>
        <v>7.1276914708442121</v>
      </c>
      <c r="Q446" s="7">
        <f>P$446*(Exogenous!X$34-Exogenous!X$33)/(Exogenous!W$34-Exogenous!W$33)</f>
        <v>6.8619619234116636</v>
      </c>
      <c r="R446" s="7">
        <f>Q$446*(Exogenous!Y$34-Exogenous!Y$33)/(Exogenous!X$34-Exogenous!X$33)</f>
        <v>6.5895171888598787</v>
      </c>
      <c r="S446" s="7">
        <f>R$446*(Exogenous!Z$34-Exogenous!Z$33)/(Exogenous!Y$34-Exogenous!Y$33)</f>
        <v>6.3122758920800717</v>
      </c>
      <c r="T446" s="7">
        <f>S$446*(Exogenous!AA$34-Exogenous!AA$33)/(Exogenous!Z$34-Exogenous!Z$33)</f>
        <v>6.0292787206266327</v>
      </c>
    </row>
    <row r="447" spans="1:20" x14ac:dyDescent="0.2">
      <c r="A447" s="1" t="s">
        <v>656</v>
      </c>
      <c r="B447" s="4" t="str">
        <f>$B$38</f>
        <v>From Fiscal</v>
      </c>
      <c r="D447" s="15">
        <f>'Fiscal Forecasts'!D$133-D$446</f>
        <v>-9.9999999999997868E-3</v>
      </c>
      <c r="E447" s="15">
        <f>'Fiscal Forecasts'!E$133-E$446</f>
        <v>-9.9999999999944578E-4</v>
      </c>
      <c r="F447" s="16">
        <f>'Fiscal Forecasts'!F$133-F$446</f>
        <v>-9.9999999999944578E-4</v>
      </c>
      <c r="G447" s="16">
        <f>'Fiscal Forecasts'!G$133-G$446</f>
        <v>-1.0000000000012221E-3</v>
      </c>
      <c r="H447" s="16">
        <f>'Fiscal Forecasts'!H$133-H$446</f>
        <v>-9.9999999999944578E-4</v>
      </c>
      <c r="I447" s="16">
        <f>'Fiscal Forecasts'!I$133-I$446</f>
        <v>-1.0000000000012221E-3</v>
      </c>
      <c r="J447" s="16">
        <f>'Fiscal Forecasts'!J$133-J$446</f>
        <v>-9.9999999999944578E-4</v>
      </c>
      <c r="K447" s="7">
        <f ca="1">IF(K$6=OFFSET(Assumptions!$B$8,0,$C$1),AVERAGE(H$447/H$446,I$447/I$446,J$447/J$446),J$447/J$446)*K$446</f>
        <v>-9.153429028485111E-4</v>
      </c>
      <c r="L447" s="7">
        <f ca="1">IF(L$6=OFFSET(Assumptions!$B$8,0,$C$1),AVERAGE(I$447/I$446,J$447/J$446,K$447/K$446),K$447/K$446)*L$446</f>
        <v>-8.840596827848859E-4</v>
      </c>
      <c r="M447" s="7">
        <f ca="1">IF(M$6=OFFSET(Assumptions!$B$8,0,$C$1),AVERAGE(J$447/J$446,K$447/K$446,L$447/L$446),L$447/L$446)*M$446</f>
        <v>-8.5318808403788684E-4</v>
      </c>
      <c r="N447" s="7">
        <f ca="1">IF(N$6=OFFSET(Assumptions!$B$8,0,$C$1),AVERAGE(K$447/K$446,L$447/L$446,M$447/M$446),M$447/M$446)*N$446</f>
        <v>-8.2283101193667181E-4</v>
      </c>
      <c r="O447" s="7">
        <f ca="1">IF(O$6=OFFSET(Assumptions!$B$8,0,$C$1),AVERAGE(L$447/L$446,M$447/M$446,N$447/N$446),N$447/N$446)*O$446</f>
        <v>-7.934000877978664E-4</v>
      </c>
      <c r="P447" s="7">
        <f ca="1">IF(P$6=OFFSET(Assumptions!$B$8,0,$C$1),AVERAGE(M$447/M$446,N$447/N$446,O$447/O$446),O$447/O$446)*P$446</f>
        <v>-7.6458659563400071E-4</v>
      </c>
      <c r="Q447" s="7">
        <f ca="1">IF(Q$6=OFFSET(Assumptions!$B$8,0,$C$1),AVERAGE(N$447/N$446,O$447/O$446,P$447/P$446),P$447/P$446)*Q$446</f>
        <v>-7.3608181945760537E-4</v>
      </c>
      <c r="R447" s="7">
        <f ca="1">IF(R$6=OFFSET(Assumptions!$B$8,0,$C$1),AVERAGE(O$447/O$446,P$447/P$446,Q$447/Q$446),Q$447/Q$446)*R$446</f>
        <v>-7.068567059771132E-4</v>
      </c>
      <c r="S447" s="7">
        <f ca="1">IF(S$6=OFFSET(Assumptions!$B$8,0,$C$1),AVERAGE(P$447/P$446,Q$447/Q$446,R$447/R$446),R$447/R$446)*S$446</f>
        <v>-6.77117065850838E-4</v>
      </c>
      <c r="T447" s="7">
        <f ca="1">IF(T$6=OFFSET(Assumptions!$B$8,0,$C$1),AVERAGE(Q$447/Q$446,R$447/R$446,S$447/S$446),S$447/S$446)*T$446</f>
        <v>-6.4675999374962253E-4</v>
      </c>
    </row>
    <row r="448" spans="1:20" ht="15" x14ac:dyDescent="0.25">
      <c r="A448" s="2" t="s">
        <v>657</v>
      </c>
      <c r="B448" s="4"/>
      <c r="D448" s="35">
        <f t="shared" ref="D448:T448" si="203">SUM(D$446:D$447)</f>
        <v>10.834</v>
      </c>
      <c r="E448" s="35">
        <f t="shared" si="203"/>
        <v>12.442</v>
      </c>
      <c r="F448" s="34">
        <f t="shared" si="203"/>
        <v>11.005000000000001</v>
      </c>
      <c r="G448" s="34">
        <f t="shared" si="203"/>
        <v>10.414999999999999</v>
      </c>
      <c r="H448" s="34">
        <f t="shared" si="203"/>
        <v>9.8680000000000003</v>
      </c>
      <c r="I448" s="34">
        <f t="shared" si="203"/>
        <v>9.3379999999999992</v>
      </c>
      <c r="J448" s="34">
        <f t="shared" si="203"/>
        <v>8.8170000000000002</v>
      </c>
      <c r="K448" s="38">
        <f t="shared" ca="1" si="203"/>
        <v>8.5321688607525044</v>
      </c>
      <c r="L448" s="38">
        <f t="shared" ca="1" si="203"/>
        <v>8.2405691605086879</v>
      </c>
      <c r="M448" s="38">
        <f t="shared" ca="1" si="203"/>
        <v>7.95280629842597</v>
      </c>
      <c r="N448" s="38">
        <f t="shared" ca="1" si="203"/>
        <v>7.6698394840446351</v>
      </c>
      <c r="O448" s="38">
        <f t="shared" ca="1" si="203"/>
        <v>7.39550555552578</v>
      </c>
      <c r="P448" s="38">
        <f t="shared" ca="1" si="203"/>
        <v>7.1269268842485785</v>
      </c>
      <c r="Q448" s="38">
        <f t="shared" ca="1" si="203"/>
        <v>6.8612258415922058</v>
      </c>
      <c r="R448" s="38">
        <f t="shared" ca="1" si="203"/>
        <v>6.5888103321539013</v>
      </c>
      <c r="S448" s="38">
        <f t="shared" ca="1" si="203"/>
        <v>6.3115987750142208</v>
      </c>
      <c r="T448" s="38">
        <f t="shared" ca="1" si="203"/>
        <v>6.0286319606328833</v>
      </c>
    </row>
    <row r="449" spans="1:21" ht="15" x14ac:dyDescent="0.25">
      <c r="A449" s="2"/>
      <c r="B449" s="4"/>
      <c r="D449" s="47"/>
      <c r="E449" s="47"/>
      <c r="F449" s="48"/>
      <c r="G449" s="48"/>
      <c r="H449" s="48"/>
      <c r="I449" s="48"/>
      <c r="J449" s="48"/>
      <c r="K449" s="49"/>
      <c r="L449" s="49"/>
      <c r="M449" s="49"/>
      <c r="N449" s="49"/>
      <c r="O449" s="49"/>
      <c r="P449" s="49"/>
      <c r="Q449" s="49"/>
      <c r="R449" s="49"/>
      <c r="S449" s="49"/>
      <c r="T449" s="49"/>
    </row>
    <row r="450" spans="1:21" x14ac:dyDescent="0.2">
      <c r="A450" s="19" t="s">
        <v>238</v>
      </c>
      <c r="B450" s="4"/>
      <c r="U450" s="7"/>
    </row>
    <row r="451" spans="1:21" ht="15" x14ac:dyDescent="0.25">
      <c r="A451" s="2" t="s">
        <v>658</v>
      </c>
      <c r="B451" s="4" t="str">
        <f>$B$38</f>
        <v>From Fiscal</v>
      </c>
      <c r="D451" s="47">
        <f>'Fiscal Forecasts'!D$184</f>
        <v>4.8550000000000004</v>
      </c>
      <c r="E451" s="47">
        <f>'Fiscal Forecasts'!E$184</f>
        <v>6.633</v>
      </c>
      <c r="F451" s="39">
        <f>'Fiscal Forecasts'!F$184</f>
        <v>6.0259999999999998</v>
      </c>
      <c r="G451" s="39">
        <f>'Fiscal Forecasts'!G$184</f>
        <v>5.7530000000000001</v>
      </c>
      <c r="H451" s="39">
        <f>'Fiscal Forecasts'!H$184</f>
        <v>5.1580000000000004</v>
      </c>
      <c r="I451" s="39">
        <f>'Fiscal Forecasts'!I$184</f>
        <v>4.657</v>
      </c>
      <c r="J451" s="39">
        <f>'Fiscal Forecasts'!J$184</f>
        <v>4.54</v>
      </c>
      <c r="K451" s="8">
        <f ca="1">(J$451/J$13+ IF(K$2&gt;0,K$2*IF(K$6=OFFSET(Assumptions!$B$8,0,$C$1),SUMPRODUCT(OFFSET(J$451,0,0,1,-OFFSET(Assumptions!$B$82,0,$C$1)),OFFSET(J$15,0,0,1,-OFFSET(Assumptions!$B$82,0,$C$1)))/OFFSET(Assumptions!$B$82,0,$C$1)-J$451/J$13,(J$451/J$13-I$451/I$13)/J$2),0))*K$13</f>
        <v>4.8954719451220541</v>
      </c>
      <c r="L451" s="8">
        <f ca="1">(K$451/K$13+ IF(L$2&gt;0,L$2*IF(L$6=OFFSET(Assumptions!$B$8,0,$C$1),SUMPRODUCT(OFFSET(K$451,0,0,1,-OFFSET(Assumptions!$B$82,0,$C$1)),OFFSET(K$15,0,0,1,-OFFSET(Assumptions!$B$82,0,$C$1)))/OFFSET(Assumptions!$B$82,0,$C$1)-K$451/K$13,(K$451/K$13-J$451/J$13)/K$2),0))*L$13</f>
        <v>5.2447221035532774</v>
      </c>
      <c r="M451" s="8">
        <f ca="1">(L$451/L$13+ IF(M$2&gt;0,M$2*IF(M$6=OFFSET(Assumptions!$B$8,0,$C$1),SUMPRODUCT(OFFSET(L$451,0,0,1,-OFFSET(Assumptions!$B$82,0,$C$1)),OFFSET(L$15,0,0,1,-OFFSET(Assumptions!$B$82,0,$C$1)))/OFFSET(Assumptions!$B$82,0,$C$1)-L$451/L$13,(L$451/L$13-K$451/K$13)/L$2),0))*M$13</f>
        <v>5.5791743530438209</v>
      </c>
      <c r="N451" s="8">
        <f ca="1">(M$451/M$13+ IF(N$2&gt;0,N$2*IF(N$6=OFFSET(Assumptions!$B$8,0,$C$1),SUMPRODUCT(OFFSET(M$451,0,0,1,-OFFSET(Assumptions!$B$82,0,$C$1)),OFFSET(M$15,0,0,1,-OFFSET(Assumptions!$B$82,0,$C$1)))/OFFSET(Assumptions!$B$82,0,$C$1)-M$451/M$13,(M$451/M$13-L$451/L$13)/M$2),0))*N$13</f>
        <v>5.8959552179776358</v>
      </c>
      <c r="O451" s="8">
        <f ca="1">(N$451/N$13+ IF(O$2&gt;0,O$2*IF(O$6=OFFSET(Assumptions!$B$8,0,$C$1),SUMPRODUCT(OFFSET(N$451,0,0,1,-OFFSET(Assumptions!$B$82,0,$C$1)),OFFSET(N$15,0,0,1,-OFFSET(Assumptions!$B$82,0,$C$1)))/OFFSET(Assumptions!$B$82,0,$C$1)-N$451/N$13,(N$451/N$13-M$451/M$13)/N$2),0))*O$13</f>
        <v>6.1889644707823583</v>
      </c>
      <c r="P451" s="8">
        <f ca="1">(O$451/O$13+ IF(P$2&gt;0,P$2*IF(P$6=OFFSET(Assumptions!$B$8,0,$C$1),SUMPRODUCT(OFFSET(O$451,0,0,1,-OFFSET(Assumptions!$B$82,0,$C$1)),OFFSET(O$15,0,0,1,-OFFSET(Assumptions!$B$82,0,$C$1)))/OFFSET(Assumptions!$B$82,0,$C$1)-O$451/O$13,(O$451/O$13-N$451/N$13)/O$2),0))*P$13</f>
        <v>6.4546199016814816</v>
      </c>
      <c r="Q451" s="8">
        <f ca="1">(P$451/P$13+ IF(Q$2&gt;0,Q$2*IF(Q$6=OFFSET(Assumptions!$B$8,0,$C$1),SUMPRODUCT(OFFSET(P$451,0,0,1,-OFFSET(Assumptions!$B$82,0,$C$1)),OFFSET(P$15,0,0,1,-OFFSET(Assumptions!$B$82,0,$C$1)))/OFFSET(Assumptions!$B$82,0,$C$1)-P$451/P$13,(P$451/P$13-O$451/O$13)/P$2),0))*Q$13</f>
        <v>6.7291285567436443</v>
      </c>
      <c r="R451" s="8">
        <f ca="1">(Q$451/Q$13+ IF(R$2&gt;0,R$2*IF(R$6=OFFSET(Assumptions!$B$8,0,$C$1),SUMPRODUCT(OFFSET(Q$451,0,0,1,-OFFSET(Assumptions!$B$82,0,$C$1)),OFFSET(Q$15,0,0,1,-OFFSET(Assumptions!$B$82,0,$C$1)))/OFFSET(Assumptions!$B$82,0,$C$1)-Q$451/Q$13,(Q$451/Q$13-P$451/P$13)/Q$2),0))*R$13</f>
        <v>7.0121843351283992</v>
      </c>
      <c r="S451" s="8">
        <f ca="1">(R$451/R$13+ IF(S$2&gt;0,S$2*IF(S$6=OFFSET(Assumptions!$B$8,0,$C$1),SUMPRODUCT(OFFSET(R$451,0,0,1,-OFFSET(Assumptions!$B$82,0,$C$1)),OFFSET(R$15,0,0,1,-OFFSET(Assumptions!$B$82,0,$C$1)))/OFFSET(Assumptions!$B$82,0,$C$1)-R$451/R$13,(R$451/R$13-Q$451/Q$13)/R$2),0))*S$13</f>
        <v>7.3050720965404254</v>
      </c>
      <c r="T451" s="8">
        <f ca="1">(S$451/S$13+ IF(T$2&gt;0,T$2*IF(T$6=OFFSET(Assumptions!$B$8,0,$C$1),SUMPRODUCT(OFFSET(S$451,0,0,1,-OFFSET(Assumptions!$B$82,0,$C$1)),OFFSET(S$15,0,0,1,-OFFSET(Assumptions!$B$82,0,$C$1)))/OFFSET(Assumptions!$B$82,0,$C$1)-S$451/S$13,(S$451/S$13-R$451/R$13)/S$2),0))*T$13</f>
        <v>7.6073369952106624</v>
      </c>
    </row>
    <row r="452" spans="1:21" ht="15" x14ac:dyDescent="0.25">
      <c r="A452" s="2" t="s">
        <v>659</v>
      </c>
      <c r="B452" s="4" t="str">
        <f>$B$38</f>
        <v>From Fiscal</v>
      </c>
      <c r="D452" s="47">
        <f>'Fiscal Forecasts'!D$134</f>
        <v>7.2210000000000001</v>
      </c>
      <c r="E452" s="47">
        <f>'Fiscal Forecasts'!E$134</f>
        <v>8.7119999999999997</v>
      </c>
      <c r="F452" s="39">
        <f>'Fiscal Forecasts'!F$134</f>
        <v>8.2629999999999999</v>
      </c>
      <c r="G452" s="39">
        <f>'Fiscal Forecasts'!G$134</f>
        <v>8.1289999999999996</v>
      </c>
      <c r="H452" s="39">
        <f>'Fiscal Forecasts'!H$134</f>
        <v>7.7460000000000004</v>
      </c>
      <c r="I452" s="39">
        <f>'Fiscal Forecasts'!I$134</f>
        <v>7.3049999999999997</v>
      </c>
      <c r="J452" s="39">
        <f>'Fiscal Forecasts'!J$134</f>
        <v>6.9859999999999998</v>
      </c>
      <c r="K452" s="8">
        <f ca="1">SUM(K$451,((J$452-J$451)/J$13+ IF(K$2&gt;0,K$2*IF(K$6=OFFSET(Assumptions!$B$8,0,$C$1),(SUMPRODUCT(OFFSET(J$452,0,0,1,-OFFSET(Assumptions!$B$82,0,$C$1)),OFFSET(J$15,0,0,1,-OFFSET(Assumptions!$B$82,0,$C$1)))-SUMPRODUCT(OFFSET(J$451,0,0,1,-OFFSET(Assumptions!$B$82,0,$C$1)),OFFSET(J$15,0,0,1,-OFFSET(Assumptions!$B$82,0,$C$1))))/OFFSET(Assumptions!$B$82,0,$C$1)-(J$452-J$451)/J$13,((J$452-J$451)/J$13-(I$452-I$451)/I$13)/J$2),0))*K$13)</f>
        <v>7.5256306313243329</v>
      </c>
      <c r="L452" s="8">
        <f ca="1">((K$452-K$451)/K$13+ IF(L$2&gt;0,L$2*IF(L$6=OFFSET(Assumptions!$B$8,0,$C$1),(SUMPRODUCT(OFFSET(K$452,0,0,1,-OFFSET(Assumptions!$B$82,0,$C$1)),OFFSET(K$15,0,0,1,-OFFSET(Assumptions!$B$82,0,$C$1)))-SUMPRODUCT(OFFSET(K$451,0,0,1,-OFFSET(Assumptions!$B$82,0,$C$1)),OFFSET(K$15,0,0,1,-OFFSET(Assumptions!$B$82,0,$C$1))))/OFFSET(Assumptions!$B$82,0,$C$1)-(K$452-K$451)/K$13,((K$452-K$451)/K$13-(J$452-J$451)/J$13)/K$2),0))*L$13 +L$451</f>
        <v>8.0565778716084306</v>
      </c>
      <c r="M452" s="8">
        <f ca="1">((L$452-L$451)/L$13+ IF(M$2&gt;0,M$2*IF(M$6=OFFSET(Assumptions!$B$8,0,$C$1),(SUMPRODUCT(OFFSET(L$452,0,0,1,-OFFSET(Assumptions!$B$82,0,$C$1)),OFFSET(L$15,0,0,1,-OFFSET(Assumptions!$B$82,0,$C$1)))-SUMPRODUCT(OFFSET(L$451,0,0,1,-OFFSET(Assumptions!$B$82,0,$C$1)),OFFSET(L$15,0,0,1,-OFFSET(Assumptions!$B$82,0,$C$1))))/OFFSET(Assumptions!$B$82,0,$C$1)-(L$452-L$451)/L$13,((L$452-L$451)/L$13-(K$452-K$451)/K$13)/L$2),0))*M$13 +M$451</f>
        <v>8.5658079657210564</v>
      </c>
      <c r="N452" s="8">
        <f ca="1">((M$452-M$451)/M$13+ IF(N$2&gt;0,N$2*IF(N$6=OFFSET(Assumptions!$B$8,0,$C$1),(SUMPRODUCT(OFFSET(M$452,0,0,1,-OFFSET(Assumptions!$B$82,0,$C$1)),OFFSET(M$15,0,0,1,-OFFSET(Assumptions!$B$82,0,$C$1)))-SUMPRODUCT(OFFSET(M$451,0,0,1,-OFFSET(Assumptions!$B$82,0,$C$1)),OFFSET(M$15,0,0,1,-OFFSET(Assumptions!$B$82,0,$C$1))))/OFFSET(Assumptions!$B$82,0,$C$1)-(M$452-M$451)/M$13,((M$452-M$451)/M$13-(L$452-L$451)/L$13)/M$2),0))*N$13 +N$451</f>
        <v>9.0490735094190118</v>
      </c>
      <c r="O452" s="8">
        <f ca="1">((N$452-N$451)/N$13+ IF(O$2&gt;0,O$2*IF(O$6=OFFSET(Assumptions!$B$8,0,$C$1),(SUMPRODUCT(OFFSET(N$452,0,0,1,-OFFSET(Assumptions!$B$82,0,$C$1)),OFFSET(N$15,0,0,1,-OFFSET(Assumptions!$B$82,0,$C$1)))-SUMPRODUCT(OFFSET(N$451,0,0,1,-OFFSET(Assumptions!$B$82,0,$C$1)),OFFSET(N$15,0,0,1,-OFFSET(Assumptions!$B$82,0,$C$1))))/OFFSET(Assumptions!$B$82,0,$C$1)-(N$452-N$451)/N$13,((N$452-N$451)/N$13-(M$452-M$451)/M$13)/N$2),0))*O$13 +O$451</f>
        <v>9.4971884418774746</v>
      </c>
      <c r="P452" s="8">
        <f ca="1">((O$452-O$451)/O$13+ IF(P$2&gt;0,P$2*IF(P$6=OFFSET(Assumptions!$B$8,0,$C$1),(SUMPRODUCT(OFFSET(O$452,0,0,1,-OFFSET(Assumptions!$B$82,0,$C$1)),OFFSET(O$15,0,0,1,-OFFSET(Assumptions!$B$82,0,$C$1)))-SUMPRODUCT(OFFSET(O$451,0,0,1,-OFFSET(Assumptions!$B$82,0,$C$1)),OFFSET(O$15,0,0,1,-OFFSET(Assumptions!$B$82,0,$C$1))))/OFFSET(Assumptions!$B$82,0,$C$1)-(O$452-O$451)/O$13,((O$452-O$451)/O$13-(N$452-N$451)/N$13)/O$2),0))*P$13 +P$451</f>
        <v>9.9048462495394727</v>
      </c>
      <c r="Q452" s="8">
        <f ca="1">((P$452-P$451)/P$13+ IF(Q$2&gt;0,Q$2*IF(Q$6=OFFSET(Assumptions!$B$8,0,$C$1),(SUMPRODUCT(OFFSET(P$452,0,0,1,-OFFSET(Assumptions!$B$82,0,$C$1)),OFFSET(P$15,0,0,1,-OFFSET(Assumptions!$B$82,0,$C$1)))-SUMPRODUCT(OFFSET(P$451,0,0,1,-OFFSET(Assumptions!$B$82,0,$C$1)),OFFSET(P$15,0,0,1,-OFFSET(Assumptions!$B$82,0,$C$1))))/OFFSET(Assumptions!$B$82,0,$C$1)-(P$452-P$451)/P$13,((P$452-P$451)/P$13-(O$452-O$451)/O$13)/P$2),0))*Q$13 +Q$451</f>
        <v>10.326089647907558</v>
      </c>
      <c r="R452" s="8">
        <f ca="1">((Q$452-Q$451)/Q$13+ IF(R$2&gt;0,R$2*IF(R$6=OFFSET(Assumptions!$B$8,0,$C$1),(SUMPRODUCT(OFFSET(Q$452,0,0,1,-OFFSET(Assumptions!$B$82,0,$C$1)),OFFSET(Q$15,0,0,1,-OFFSET(Assumptions!$B$82,0,$C$1)))-SUMPRODUCT(OFFSET(Q$451,0,0,1,-OFFSET(Assumptions!$B$82,0,$C$1)),OFFSET(Q$15,0,0,1,-OFFSET(Assumptions!$B$82,0,$C$1))))/OFFSET(Assumptions!$B$82,0,$C$1)-(Q$452-Q$451)/Q$13,((Q$452-Q$451)/Q$13-(P$452-P$451)/P$13)/Q$2),0))*R$13 +R$451</f>
        <v>10.760448914239314</v>
      </c>
      <c r="S452" s="8">
        <f ca="1">((R$452-R$451)/R$13+ IF(S$2&gt;0,S$2*IF(S$6=OFFSET(Assumptions!$B$8,0,$C$1),(SUMPRODUCT(OFFSET(R$452,0,0,1,-OFFSET(Assumptions!$B$82,0,$C$1)),OFFSET(R$15,0,0,1,-OFFSET(Assumptions!$B$82,0,$C$1)))-SUMPRODUCT(OFFSET(R$451,0,0,1,-OFFSET(Assumptions!$B$82,0,$C$1)),OFFSET(R$15,0,0,1,-OFFSET(Assumptions!$B$82,0,$C$1))))/OFFSET(Assumptions!$B$82,0,$C$1)-(R$452-R$451)/R$13,((R$452-R$451)/R$13-(Q$452-Q$451)/Q$13)/R$2),0))*S$13 +S$451</f>
        <v>11.209895711935671</v>
      </c>
      <c r="T452" s="8">
        <f ca="1">((S$452-S$451)/S$13+ IF(T$2&gt;0,T$2*IF(T$6=OFFSET(Assumptions!$B$8,0,$C$1),(SUMPRODUCT(OFFSET(S$452,0,0,1,-OFFSET(Assumptions!$B$82,0,$C$1)),OFFSET(S$15,0,0,1,-OFFSET(Assumptions!$B$82,0,$C$1)))-SUMPRODUCT(OFFSET(S$451,0,0,1,-OFFSET(Assumptions!$B$82,0,$C$1)),OFFSET(S$15,0,0,1,-OFFSET(Assumptions!$B$82,0,$C$1))))/OFFSET(Assumptions!$B$82,0,$C$1)-(S$452-S$451)/S$13,((S$452-S$451)/S$13-(R$452-R$451)/R$13)/S$2),0))*T$13 +T$451</f>
        <v>11.67373206381464</v>
      </c>
    </row>
    <row r="454" spans="1:21" x14ac:dyDescent="0.2">
      <c r="A454" s="19" t="s">
        <v>586</v>
      </c>
      <c r="K454" s="7"/>
    </row>
    <row r="455" spans="1:21" x14ac:dyDescent="0.2">
      <c r="A455" s="1" t="s">
        <v>397</v>
      </c>
      <c r="B455" s="4" t="str">
        <f t="shared" ref="B455:B460" si="204">$B$38</f>
        <v>From Fiscal</v>
      </c>
      <c r="D455" s="15">
        <f>'Fiscal Forecasts'!D$357</f>
        <v>66.347999999999999</v>
      </c>
      <c r="E455" s="15">
        <f>'Fiscal Forecasts'!E$357</f>
        <v>69.75</v>
      </c>
      <c r="F455" s="16">
        <f>'Fiscal Forecasts'!F$357</f>
        <v>74.751000000000005</v>
      </c>
      <c r="G455" s="16">
        <f>'Fiscal Forecasts'!G$357</f>
        <v>77.935000000000002</v>
      </c>
      <c r="H455" s="16">
        <f>'Fiscal Forecasts'!H$357</f>
        <v>81.016999999999996</v>
      </c>
      <c r="I455" s="16">
        <f>'Fiscal Forecasts'!I$357</f>
        <v>85.546999999999997</v>
      </c>
      <c r="J455" s="16">
        <f>'Fiscal Forecasts'!J$357</f>
        <v>89.578999999999994</v>
      </c>
      <c r="K455" s="7">
        <f ca="1">SUM(K$348,IF(K$6=OFFSET(Assumptions!$B$8,0,$C$1),AVERAGE((H$455-H$348)/H$131,(I$455-I$348)/I$131,(J$455-J$348)/J$131),(J$455-J$348)/J$131)*K$131)</f>
        <v>93.92650662721168</v>
      </c>
      <c r="L455" s="7">
        <f ca="1">SUM(L$348,IF(L$6=OFFSET(Assumptions!$B$8,0,$C$1),AVERAGE((I$455-I$348)/I$131,(J$455-J$348)/J$131,(K$455-K$348)/K$131),(K$455-K$348)/K$131)*L$131)</f>
        <v>98.692068214141571</v>
      </c>
      <c r="M455" s="7">
        <f ca="1">SUM(M$348,IF(M$6=OFFSET(Assumptions!$B$8,0,$C$1),AVERAGE((J$455-J$348)/J$131,(K$455-K$348)/K$131,(L$455-L$348)/L$131),(L$455-L$348)/L$131)*M$131)</f>
        <v>103.48547840132071</v>
      </c>
      <c r="N455" s="7">
        <f ca="1">SUM(N$348,IF(N$6=OFFSET(Assumptions!$B$8,0,$C$1),AVERAGE((K$455-K$348)/K$131,(L$455-L$348)/L$131,(M$455-M$348)/M$131),(M$455-M$348)/M$131)*N$131)</f>
        <v>108.32685626200136</v>
      </c>
      <c r="O455" s="7">
        <f ca="1">SUM(O$348,IF(O$6=OFFSET(Assumptions!$B$8,0,$C$1),AVERAGE((L$455-L$348)/L$131,(M$455-M$348)/M$131,(N$455-N$348)/N$131),(N$455-N$348)/N$131)*O$131)</f>
        <v>113.27688461388844</v>
      </c>
      <c r="P455" s="7">
        <f ca="1">SUM(P$348,IF(P$6=OFFSET(Assumptions!$B$8,0,$C$1),AVERAGE((M$455-M$348)/M$131,(N$455-N$348)/N$131,(O$455-O$348)/O$131),(O$455-O$348)/O$131)*P$131)</f>
        <v>118.40845005360497</v>
      </c>
      <c r="Q455" s="7">
        <f ca="1">SUM(Q$348,IF(Q$6=OFFSET(Assumptions!$B$8,0,$C$1),AVERAGE((N$455-N$348)/N$131,(O$455-O$348)/O$131,(P$455-P$348)/P$131),(P$455-P$348)/P$131)*Q$131)</f>
        <v>123.69419332019987</v>
      </c>
      <c r="R455" s="7">
        <f ca="1">SUM(R$348,IF(R$6=OFFSET(Assumptions!$B$8,0,$C$1),AVERAGE((O$455-O$348)/O$131,(P$455-P$348)/P$131,(Q$455-Q$348)/Q$131),(Q$455-Q$348)/Q$131)*R$131)</f>
        <v>128.94802175716578</v>
      </c>
      <c r="S455" s="7">
        <f ca="1">SUM(S$348,IF(S$6=OFFSET(Assumptions!$B$8,0,$C$1),AVERAGE((P$455-P$348)/P$131,(Q$455-Q$348)/Q$131,(R$455-R$348)/R$131),(R$455-R$348)/R$131)*S$131)</f>
        <v>134.36095348024367</v>
      </c>
      <c r="T455" s="7">
        <f ca="1">SUM(T$348,IF(T$6=OFFSET(Assumptions!$B$8,0,$C$1),AVERAGE((Q$455-Q$348)/Q$131,(R$455-R$348)/R$131,(S$455-S$348)/S$131),(S$455-S$348)/S$131)*T$131)</f>
        <v>139.9439614806345</v>
      </c>
    </row>
    <row r="456" spans="1:21" x14ac:dyDescent="0.2">
      <c r="A456" s="1" t="s">
        <v>182</v>
      </c>
      <c r="B456" s="4" t="str">
        <f t="shared" si="204"/>
        <v>From Fiscal</v>
      </c>
      <c r="D456" s="15">
        <f>'Fiscal Forecasts'!D$358</f>
        <v>0.88900000000000001</v>
      </c>
      <c r="E456" s="15">
        <f>'Fiscal Forecasts'!E$358</f>
        <v>0.83499999999999996</v>
      </c>
      <c r="F456" s="16">
        <f>'Fiscal Forecasts'!F$358</f>
        <v>0.93700000000000006</v>
      </c>
      <c r="G456" s="16">
        <f>'Fiscal Forecasts'!G$358</f>
        <v>0.89300000000000002</v>
      </c>
      <c r="H456" s="16">
        <f>'Fiscal Forecasts'!H$358</f>
        <v>0.89900000000000002</v>
      </c>
      <c r="I456" s="16">
        <f>'Fiscal Forecasts'!I$358</f>
        <v>0.86599999999999999</v>
      </c>
      <c r="J456" s="16">
        <f>'Fiscal Forecasts'!J$358</f>
        <v>0.86499999999999999</v>
      </c>
      <c r="K456" s="7">
        <f ca="1">IF(K$6=OFFSET(Assumptions!$B$8,0,$C$1),AVERAGE(H$456/H$134,I$456/I$134,J$456/J$134),J$456/J$134)*K$134</f>
        <v>0.95401256125022527</v>
      </c>
      <c r="L456" s="7">
        <f ca="1">IF(L$6=OFFSET(Assumptions!$B$8,0,$C$1),AVERAGE(I$456/I$134,J$456/J$134,K$456/K$134),K$456/K$134)*L$134</f>
        <v>0.99586836505547172</v>
      </c>
      <c r="M456" s="7">
        <f ca="1">IF(M$6=OFFSET(Assumptions!$B$8,0,$C$1),AVERAGE(J$456/J$134,K$456/K$134,L$456/L$134),L$456/L$134)*M$134</f>
        <v>1.03938761029912</v>
      </c>
      <c r="N456" s="7">
        <f ca="1">IF(N$6=OFFSET(Assumptions!$B$8,0,$C$1),AVERAGE(K$456/K$134,L$456/L$134,M$456/M$134),M$456/M$134)*N$134</f>
        <v>1.0847594974598873</v>
      </c>
      <c r="O456" s="7">
        <f ca="1">IF(O$6=OFFSET(Assumptions!$B$8,0,$C$1),AVERAGE(L$456/L$134,M$456/M$134,N$456/N$134),N$456/N$134)*O$134</f>
        <v>1.131640154500013</v>
      </c>
      <c r="P456" s="7">
        <f ca="1">IF(P$6=OFFSET(Assumptions!$B$8,0,$C$1),AVERAGE(M$456/M$134,N$456/N$134,O$456/O$134),O$456/O$134)*P$134</f>
        <v>1.1802147349949708</v>
      </c>
      <c r="Q456" s="7">
        <f ca="1">IF(Q$6=OFFSET(Assumptions!$B$8,0,$C$1),AVERAGE(N$456/N$134,O$456/O$134,P$456/P$134),P$456/P$134)*Q$134</f>
        <v>1.2304081103637694</v>
      </c>
      <c r="R456" s="7">
        <f ca="1">IF(R$6=OFFSET(Assumptions!$B$8,0,$C$1),AVERAGE(O$456/O$134,P$456/P$134,Q$456/Q$134),Q$456/Q$134)*R$134</f>
        <v>1.2821643106611922</v>
      </c>
      <c r="S456" s="7">
        <f ca="1">IF(S$6=OFFSET(Assumptions!$B$8,0,$C$1),AVERAGE(P$456/P$134,Q$456/Q$134,R$456/R$134),R$456/R$134)*S$134</f>
        <v>1.3357182699931918</v>
      </c>
      <c r="T456" s="7">
        <f ca="1">IF(T$6=OFFSET(Assumptions!$B$8,0,$C$1),AVERAGE(Q$456/Q$134,R$456/R$134,S$456/S$134),S$456/S$134)*T$134</f>
        <v>1.3909868206927367</v>
      </c>
    </row>
    <row r="457" spans="1:21" x14ac:dyDescent="0.2">
      <c r="A457" s="1" t="s">
        <v>399</v>
      </c>
      <c r="B457" s="4" t="str">
        <f t="shared" si="204"/>
        <v>From Fiscal</v>
      </c>
      <c r="D457" s="15">
        <f>'Fiscal Forecasts'!D$360</f>
        <v>2.4329999999999998</v>
      </c>
      <c r="E457" s="15">
        <f>'Fiscal Forecasts'!E$360</f>
        <v>2.0259999999999998</v>
      </c>
      <c r="F457" s="16">
        <f>'Fiscal Forecasts'!F$360</f>
        <v>2.1520000000000001</v>
      </c>
      <c r="G457" s="16">
        <f>'Fiscal Forecasts'!G$360</f>
        <v>2.48</v>
      </c>
      <c r="H457" s="16">
        <f>'Fiscal Forecasts'!H$360</f>
        <v>2.165</v>
      </c>
      <c r="I457" s="16">
        <f>'Fiscal Forecasts'!I$360</f>
        <v>2.1720000000000002</v>
      </c>
      <c r="J457" s="16">
        <f>'Fiscal Forecasts'!J$360</f>
        <v>2.1240000000000001</v>
      </c>
      <c r="K457" s="7">
        <f ca="1">IF(K$6=OFFSET(Assumptions!$B$8,0,$C$1),AVERAGE(H$457/SUM(H$140,H$154),I$457/SUM(I$140,I$154),J$457/SUM(J$140,J$154)),J$457/SUM(J$140,J$154))*SUM(K$140,K$154)</f>
        <v>2.3438397199947749</v>
      </c>
      <c r="L457" s="7">
        <f ca="1">IF(L$6=OFFSET(Assumptions!$B$8,0,$C$1),AVERAGE(I$457/SUM(I$140,I$154),J$457/SUM(J$140,J$154),K$457/SUM(K$140,K$154)),K$457/SUM(K$140,K$154))*SUM(L$140,L$154)</f>
        <v>2.4466720090607397</v>
      </c>
      <c r="M457" s="7">
        <f ca="1">IF(M$6=OFFSET(Assumptions!$B$8,0,$C$1),AVERAGE(J$457/SUM(J$140,J$154),K$457/SUM(K$140,K$154),L$457/SUM(L$140,L$154)),L$457/SUM(L$140,L$154))*SUM(M$140,M$154)</f>
        <v>2.553591078818672</v>
      </c>
      <c r="N457" s="7">
        <f ca="1">IF(N$6=OFFSET(Assumptions!$B$8,0,$C$1),AVERAGE(K$457/SUM(K$140,K$154),L$457/SUM(L$140,L$154),M$457/SUM(M$140,M$154)),M$457/SUM(M$140,M$154))*SUM(N$140,N$154)</f>
        <v>2.665061761300215</v>
      </c>
      <c r="O457" s="7">
        <f ca="1">IF(O$6=OFFSET(Assumptions!$B$8,0,$C$1),AVERAGE(L$457/SUM(L$140,L$154),M$457/SUM(M$140,M$154),N$457/SUM(N$140,N$154)),N$457/SUM(N$140,N$154))*SUM(O$140,O$154)</f>
        <v>2.7802392238758671</v>
      </c>
      <c r="P457" s="7">
        <f ca="1">IF(P$6=OFFSET(Assumptions!$B$8,0,$C$1),AVERAGE(M$457/SUM(M$140,M$154),N$457/SUM(N$140,N$154),O$457/SUM(O$140,O$154)),O$457/SUM(O$140,O$154))*SUM(P$140,P$154)</f>
        <v>2.8995783560535027</v>
      </c>
      <c r="Q457" s="7">
        <f ca="1">IF(Q$6=OFFSET(Assumptions!$B$8,0,$C$1),AVERAGE(N$457/SUM(N$140,N$154),O$457/SUM(O$140,O$154),P$457/SUM(P$140,P$154)),P$457/SUM(P$140,P$154))*SUM(Q$140,Q$154)</f>
        <v>3.022894580229655</v>
      </c>
      <c r="R457" s="7">
        <f ca="1">IF(R$6=OFFSET(Assumptions!$B$8,0,$C$1),AVERAGE(O$457/SUM(O$140,O$154),P$457/SUM(P$140,P$154),Q$457/SUM(Q$140,Q$154)),Q$457/SUM(Q$140,Q$154))*SUM(R$140,R$154)</f>
        <v>3.1500503881721951</v>
      </c>
      <c r="S457" s="7">
        <f ca="1">IF(S$6=OFFSET(Assumptions!$B$8,0,$C$1),AVERAGE(P$457/SUM(P$140,P$154),Q$457/SUM(Q$140,Q$154),R$457/SUM(R$140,R$154)),R$457/SUM(R$140,R$154))*SUM(S$140,S$154)</f>
        <v>3.281622971326478</v>
      </c>
      <c r="T457" s="7">
        <f ca="1">IF(T$6=OFFSET(Assumptions!$B$8,0,$C$1),AVERAGE(Q$457/SUM(Q$140,Q$154),R$457/SUM(R$140,R$154),S$457/SUM(S$140,S$154)),S$457/SUM(S$140,S$154))*SUM(T$140,T$154)</f>
        <v>3.4174080014799348</v>
      </c>
    </row>
    <row r="458" spans="1:21" x14ac:dyDescent="0.2">
      <c r="A458" s="1" t="s">
        <v>587</v>
      </c>
      <c r="B458" s="4" t="str">
        <f t="shared" si="204"/>
        <v>From Fiscal</v>
      </c>
      <c r="D458" s="15">
        <f>'Fiscal Forecasts'!D$359</f>
        <v>1.806</v>
      </c>
      <c r="E458" s="15">
        <f>'Fiscal Forecasts'!E$359</f>
        <v>1.6990000000000001</v>
      </c>
      <c r="F458" s="16">
        <f>'Fiscal Forecasts'!F$359</f>
        <v>1.7270000000000001</v>
      </c>
      <c r="G458" s="16">
        <f>'Fiscal Forecasts'!G$359</f>
        <v>1.4350000000000001</v>
      </c>
      <c r="H458" s="16">
        <f>'Fiscal Forecasts'!H$359</f>
        <v>1.4219999999999999</v>
      </c>
      <c r="I458" s="16">
        <f>'Fiscal Forecasts'!I$359</f>
        <v>1.546</v>
      </c>
      <c r="J458" s="16">
        <f>'Fiscal Forecasts'!J$359</f>
        <v>1.6739999999999999</v>
      </c>
      <c r="K458" s="7">
        <f ca="1">IF(K$6=OFFSET(Assumptions!$B$8,0,$C$1),AVERAGE(H$458/H$146,I$458/I$146,J$458/J$146),J$458/J$146)*K$146</f>
        <v>1.4855874343467697</v>
      </c>
      <c r="L458" s="7">
        <f ca="1">IF(L$6=OFFSET(Assumptions!$B$8,0,$C$1),AVERAGE(I$458/I$146,J$458/J$146,K$458/K$146),K$458/K$146)*L$146</f>
        <v>1.6884287368881421</v>
      </c>
      <c r="M458" s="7">
        <f ca="1">IF(M$6=OFFSET(Assumptions!$B$8,0,$C$1),AVERAGE(J$458/J$146,K$458/K$146,L$458/L$146),L$458/L$146)*M$146</f>
        <v>1.8983083052010097</v>
      </c>
      <c r="N458" s="7">
        <f ca="1">IF(N$6=OFFSET(Assumptions!$B$8,0,$C$1),AVERAGE(K$458/K$146,L$458/L$146,M$458/M$146),M$458/M$146)*N$146</f>
        <v>2.1121267211591808</v>
      </c>
      <c r="O458" s="7">
        <f ca="1">IF(O$6=OFFSET(Assumptions!$B$8,0,$C$1),AVERAGE(L$458/L$146,M$458/M$146,N$458/N$146),N$458/N$146)*O$146</f>
        <v>2.3267989355492964</v>
      </c>
      <c r="P458" s="7">
        <f ca="1">IF(P$6=OFFSET(Assumptions!$B$8,0,$C$1),AVERAGE(M$458/M$146,N$458/N$146,O$458/O$146),O$458/O$146)*P$146</f>
        <v>2.538725290438038</v>
      </c>
      <c r="Q458" s="7">
        <f ca="1">IF(Q$6=OFFSET(Assumptions!$B$8,0,$C$1),AVERAGE(N$458/N$146,O$458/O$146,P$458/P$146),P$458/P$146)*Q$146</f>
        <v>2.7544732239354048</v>
      </c>
      <c r="R458" s="7">
        <f ca="1">IF(R$6=OFFSET(Assumptions!$B$8,0,$C$1),AVERAGE(O$458/O$146,P$458/P$146,Q$458/Q$146),Q$458/Q$146)*R$146</f>
        <v>2.8709648505309349</v>
      </c>
      <c r="S458" s="7">
        <f ca="1">IF(S$6=OFFSET(Assumptions!$B$8,0,$C$1),AVERAGE(P$458/P$146,Q$458/Q$146,R$458/R$146),R$458/R$146)*S$146</f>
        <v>2.9912964135815785</v>
      </c>
      <c r="T458" s="7">
        <f ca="1">IF(T$6=OFFSET(Assumptions!$B$8,0,$C$1),AVERAGE(Q$458/Q$146,R$458/R$146,S$458/S$146),S$458/S$146)*T$146</f>
        <v>3.1156413274367041</v>
      </c>
    </row>
    <row r="459" spans="1:21" x14ac:dyDescent="0.2">
      <c r="A459" s="1" t="s">
        <v>592</v>
      </c>
      <c r="B459" s="4" t="str">
        <f t="shared" si="204"/>
        <v>From Fiscal</v>
      </c>
      <c r="D459" s="15">
        <f>-'Fiscal Forecasts'!D$361</f>
        <v>23.895</v>
      </c>
      <c r="E459" s="15">
        <f>-'Fiscal Forecasts'!E$361</f>
        <v>24.338000000000001</v>
      </c>
      <c r="F459" s="16">
        <f>-'Fiscal Forecasts'!F$361</f>
        <v>25.309000000000001</v>
      </c>
      <c r="G459" s="16">
        <f>-'Fiscal Forecasts'!G$361</f>
        <v>26.442</v>
      </c>
      <c r="H459" s="16">
        <f>-'Fiscal Forecasts'!H$361</f>
        <v>27.596</v>
      </c>
      <c r="I459" s="16">
        <f>-'Fiscal Forecasts'!I$361</f>
        <v>28.518000000000001</v>
      </c>
      <c r="J459" s="16">
        <f>-'Fiscal Forecasts'!J$361</f>
        <v>29.484000000000002</v>
      </c>
      <c r="K459" s="7">
        <f t="shared" ref="K459:T459" ca="1" si="205">K$170</f>
        <v>30.816114100763969</v>
      </c>
      <c r="L459" s="7">
        <f t="shared" ca="1" si="205"/>
        <v>32.406834186018116</v>
      </c>
      <c r="M459" s="7">
        <f t="shared" ca="1" si="205"/>
        <v>34.127520653997721</v>
      </c>
      <c r="N459" s="7">
        <f t="shared" ca="1" si="205"/>
        <v>35.939083599751754</v>
      </c>
      <c r="O459" s="7">
        <f t="shared" ca="1" si="205"/>
        <v>37.871092159947054</v>
      </c>
      <c r="P459" s="7">
        <f t="shared" ca="1" si="205"/>
        <v>39.901614631739051</v>
      </c>
      <c r="Q459" s="7">
        <f t="shared" ca="1" si="205"/>
        <v>42.014076392276316</v>
      </c>
      <c r="R459" s="7">
        <f t="shared" ca="1" si="205"/>
        <v>44.180343719805514</v>
      </c>
      <c r="S459" s="7">
        <f t="shared" ca="1" si="205"/>
        <v>46.368714833000674</v>
      </c>
      <c r="T459" s="7">
        <f t="shared" ca="1" si="205"/>
        <v>48.621555198314354</v>
      </c>
    </row>
    <row r="460" spans="1:21" x14ac:dyDescent="0.2">
      <c r="A460" s="1" t="s">
        <v>593</v>
      </c>
      <c r="B460" s="4" t="str">
        <f t="shared" si="204"/>
        <v>From Fiscal</v>
      </c>
      <c r="D460" s="15">
        <f>-'Fiscal Forecasts'!D$362</f>
        <v>42.064</v>
      </c>
      <c r="E460" s="15">
        <f>-'Fiscal Forecasts'!E$362</f>
        <v>43.103000000000002</v>
      </c>
      <c r="F460" s="16">
        <f>-'Fiscal Forecasts'!F$362</f>
        <v>44.923999999999999</v>
      </c>
      <c r="G460" s="16">
        <f>-'Fiscal Forecasts'!G$362</f>
        <v>48.698999999999998</v>
      </c>
      <c r="H460" s="16">
        <f>-'Fiscal Forecasts'!H$362</f>
        <v>47.890999999999998</v>
      </c>
      <c r="I460" s="16">
        <f>-'Fiscal Forecasts'!I$362</f>
        <v>47.585999999999999</v>
      </c>
      <c r="J460" s="16">
        <f>-'Fiscal Forecasts'!J$362</f>
        <v>47.774000000000001</v>
      </c>
      <c r="K460" s="7">
        <f t="shared" ref="K460:T460" ca="1" si="206">SUM(K$183,K$196-(K$134-K$456),K$211)-SUM(K$237,K$245,K$247)+SUM(K$379-J$379,K$383-J$383)-SUM(K$431-J$431,K$440-J$440,K$446-J$446,K$451-J$451)</f>
        <v>46.326460964316915</v>
      </c>
      <c r="L460" s="7">
        <f t="shared" ca="1" si="206"/>
        <v>46.430721673485444</v>
      </c>
      <c r="M460" s="7">
        <f t="shared" ca="1" si="206"/>
        <v>46.448155492591766</v>
      </c>
      <c r="N460" s="7">
        <f t="shared" ca="1" si="206"/>
        <v>46.396120961344167</v>
      </c>
      <c r="O460" s="7">
        <f t="shared" ca="1" si="206"/>
        <v>46.30829941109323</v>
      </c>
      <c r="P460" s="7">
        <f t="shared" ca="1" si="206"/>
        <v>46.191338738151153</v>
      </c>
      <c r="Q460" s="7">
        <f t="shared" ca="1" si="206"/>
        <v>46.000760258502588</v>
      </c>
      <c r="R460" s="7">
        <f t="shared" ca="1" si="206"/>
        <v>45.763113656842563</v>
      </c>
      <c r="S460" s="7">
        <f t="shared" ca="1" si="206"/>
        <v>45.462128385219302</v>
      </c>
      <c r="T460" s="7">
        <f t="shared" ca="1" si="206"/>
        <v>45.08734670230956</v>
      </c>
    </row>
    <row r="461" spans="1:21" x14ac:dyDescent="0.2">
      <c r="A461" s="1" t="s">
        <v>594</v>
      </c>
      <c r="B461" s="4"/>
      <c r="D461" s="15">
        <f>D$507</f>
        <v>3.9220000000000002</v>
      </c>
      <c r="E461" s="15">
        <f t="shared" ref="E461:T461" si="207">E$507</f>
        <v>3.6040000000000001</v>
      </c>
      <c r="F461" s="16">
        <f t="shared" si="207"/>
        <v>3.5270000000000001</v>
      </c>
      <c r="G461" s="16">
        <f t="shared" si="207"/>
        <v>3.4609999999999999</v>
      </c>
      <c r="H461" s="16">
        <f t="shared" si="207"/>
        <v>3.3149999999999999</v>
      </c>
      <c r="I461" s="16">
        <f t="shared" si="207"/>
        <v>3.2589999999999999</v>
      </c>
      <c r="J461" s="16">
        <f t="shared" si="207"/>
        <v>3.306</v>
      </c>
      <c r="K461" s="7">
        <f t="shared" ca="1" si="207"/>
        <v>3.4531588711760777</v>
      </c>
      <c r="L461" s="7">
        <f t="shared" ca="1" si="207"/>
        <v>3.567947858792123</v>
      </c>
      <c r="M461" s="7">
        <f t="shared" ca="1" si="207"/>
        <v>3.6732939070400086</v>
      </c>
      <c r="N461" s="7">
        <f t="shared" ca="1" si="207"/>
        <v>3.7581684292462278</v>
      </c>
      <c r="O461" s="7">
        <f t="shared" ca="1" si="207"/>
        <v>3.8212596628725728</v>
      </c>
      <c r="P461" s="7">
        <f t="shared" ca="1" si="207"/>
        <v>3.8636015667847383</v>
      </c>
      <c r="Q461" s="7">
        <f t="shared" ca="1" si="207"/>
        <v>3.8998048919960762</v>
      </c>
      <c r="R461" s="7">
        <f t="shared" ca="1" si="207"/>
        <v>3.8063473280988616</v>
      </c>
      <c r="S461" s="7">
        <f t="shared" ca="1" si="207"/>
        <v>3.7611955511959105</v>
      </c>
      <c r="T461" s="7">
        <f t="shared" ca="1" si="207"/>
        <v>3.7872944973382001</v>
      </c>
    </row>
    <row r="462" spans="1:21" x14ac:dyDescent="0.2">
      <c r="A462" s="1" t="s">
        <v>704</v>
      </c>
      <c r="D462" s="15">
        <f t="shared" ref="D462:T462" si="208">SUM(D$219,D$222)</f>
        <v>0</v>
      </c>
      <c r="E462" s="15">
        <f t="shared" si="208"/>
        <v>0</v>
      </c>
      <c r="F462" s="16">
        <f t="shared" si="208"/>
        <v>0</v>
      </c>
      <c r="G462" s="16">
        <f t="shared" si="208"/>
        <v>-0.68300000000000005</v>
      </c>
      <c r="H462" s="16">
        <f t="shared" si="208"/>
        <v>1.464</v>
      </c>
      <c r="I462" s="16">
        <f t="shared" si="208"/>
        <v>3.2210000000000001</v>
      </c>
      <c r="J462" s="16">
        <f t="shared" si="208"/>
        <v>4.9950000000000001</v>
      </c>
      <c r="K462" s="7">
        <f t="shared" ca="1" si="208"/>
        <v>6.9749999999999996</v>
      </c>
      <c r="L462" s="7">
        <f t="shared" ca="1" si="208"/>
        <v>9.0341999999999985</v>
      </c>
      <c r="M462" s="7">
        <f t="shared" ca="1" si="208"/>
        <v>11.175768</v>
      </c>
      <c r="N462" s="7">
        <f t="shared" ca="1" si="208"/>
        <v>13.402998719999999</v>
      </c>
      <c r="O462" s="7">
        <f t="shared" ca="1" si="208"/>
        <v>15.7193186688</v>
      </c>
      <c r="P462" s="7">
        <f t="shared" ca="1" si="208"/>
        <v>18.128291415551999</v>
      </c>
      <c r="Q462" s="7">
        <f t="shared" ca="1" si="208"/>
        <v>20.633623072174082</v>
      </c>
      <c r="R462" s="7">
        <f t="shared" ca="1" si="208"/>
        <v>23.239167995061049</v>
      </c>
      <c r="S462" s="7">
        <f t="shared" ca="1" si="208"/>
        <v>25.948934714863491</v>
      </c>
      <c r="T462" s="7">
        <f t="shared" ca="1" si="208"/>
        <v>28.76709210345803</v>
      </c>
    </row>
    <row r="463" spans="1:21" ht="15" x14ac:dyDescent="0.25">
      <c r="A463" s="2" t="s">
        <v>588</v>
      </c>
      <c r="D463" s="35">
        <f t="shared" ref="D463:T463" si="209">SUM(D$455:D$458)-SUM(D$459:D$462)</f>
        <v>1.5949999999999847</v>
      </c>
      <c r="E463" s="35">
        <f t="shared" si="209"/>
        <v>3.2649999999999864</v>
      </c>
      <c r="F463" s="34">
        <f t="shared" si="209"/>
        <v>5.8070000000000022</v>
      </c>
      <c r="G463" s="34">
        <f t="shared" si="209"/>
        <v>4.8240000000000265</v>
      </c>
      <c r="H463" s="34">
        <f t="shared" si="209"/>
        <v>5.237000000000009</v>
      </c>
      <c r="I463" s="34">
        <f t="shared" si="209"/>
        <v>7.546999999999997</v>
      </c>
      <c r="J463" s="34">
        <f t="shared" si="209"/>
        <v>8.6829999999999785</v>
      </c>
      <c r="K463" s="38">
        <f t="shared" ca="1" si="209"/>
        <v>11.139212406546505</v>
      </c>
      <c r="L463" s="38">
        <f t="shared" ca="1" si="209"/>
        <v>12.383333606850229</v>
      </c>
      <c r="M463" s="38">
        <f t="shared" ca="1" si="209"/>
        <v>13.552027342010007</v>
      </c>
      <c r="N463" s="38">
        <f t="shared" ca="1" si="209"/>
        <v>14.69243253157849</v>
      </c>
      <c r="O463" s="38">
        <f t="shared" ca="1" si="209"/>
        <v>15.795593025100757</v>
      </c>
      <c r="P463" s="38">
        <f t="shared" ca="1" si="209"/>
        <v>16.942122082864529</v>
      </c>
      <c r="Q463" s="38">
        <f t="shared" ca="1" si="209"/>
        <v>18.153704619779631</v>
      </c>
      <c r="R463" s="38">
        <f t="shared" ca="1" si="209"/>
        <v>19.26222860672209</v>
      </c>
      <c r="S463" s="38">
        <f t="shared" ca="1" si="209"/>
        <v>20.428617650865533</v>
      </c>
      <c r="T463" s="38">
        <f t="shared" ca="1" si="209"/>
        <v>21.604709128823743</v>
      </c>
    </row>
    <row r="464" spans="1:21" x14ac:dyDescent="0.2">
      <c r="A464" s="1" t="s">
        <v>716</v>
      </c>
      <c r="B464" s="4" t="str">
        <f>$B$38</f>
        <v>From Fiscal</v>
      </c>
      <c r="D464" s="15">
        <f>-'Fiscal Forecasts'!D$365</f>
        <v>1.9550000000000001</v>
      </c>
      <c r="E464" s="15">
        <f>-'Fiscal Forecasts'!E$365</f>
        <v>1.9710000000000001</v>
      </c>
      <c r="F464" s="16">
        <f>-'Fiscal Forecasts'!F$365</f>
        <v>2.4289999999999998</v>
      </c>
      <c r="G464" s="16">
        <f>-'Fiscal Forecasts'!G$365</f>
        <v>3.6760000000000002</v>
      </c>
      <c r="H464" s="16">
        <f>-'Fiscal Forecasts'!H$365</f>
        <v>2.6480000000000001</v>
      </c>
      <c r="I464" s="16">
        <f>-'Fiscal Forecasts'!I$365</f>
        <v>2.3130000000000002</v>
      </c>
      <c r="J464" s="16">
        <f>-'Fiscal Forecasts'!J$365</f>
        <v>1.98</v>
      </c>
      <c r="K464" s="7">
        <f ca="1">SUM(K$388-J$388,K$407-J$407,K$190)</f>
        <v>2.1805429879359943</v>
      </c>
      <c r="L464" s="7">
        <f t="shared" ref="L464:T464" ca="1" si="210">SUM(L$388-K$388,L$407-K$407,L$190)</f>
        <v>2.2247047327951064</v>
      </c>
      <c r="M464" s="7">
        <f t="shared" ca="1" si="210"/>
        <v>2.3475208162964272</v>
      </c>
      <c r="N464" s="7">
        <f t="shared" ca="1" si="210"/>
        <v>2.50653251442882</v>
      </c>
      <c r="O464" s="7">
        <f t="shared" ca="1" si="210"/>
        <v>2.7020677755391653</v>
      </c>
      <c r="P464" s="7">
        <f t="shared" ca="1" si="210"/>
        <v>2.9346327902459888</v>
      </c>
      <c r="Q464" s="7">
        <f t="shared" ca="1" si="210"/>
        <v>3.2231261916750782</v>
      </c>
      <c r="R464" s="7">
        <f t="shared" ca="1" si="210"/>
        <v>3.5659535373887548</v>
      </c>
      <c r="S464" s="7">
        <f t="shared" ca="1" si="210"/>
        <v>3.9745524439513935</v>
      </c>
      <c r="T464" s="7">
        <f t="shared" ca="1" si="210"/>
        <v>4.46122170557173</v>
      </c>
    </row>
    <row r="465" spans="1:20" x14ac:dyDescent="0.2">
      <c r="A465" s="1" t="s">
        <v>728</v>
      </c>
      <c r="B465" s="4" t="str">
        <f>$B$38</f>
        <v>From Fiscal</v>
      </c>
      <c r="D465" s="15">
        <f>-'Fiscal Forecasts'!D$366</f>
        <v>0.56999999999999995</v>
      </c>
      <c r="E465" s="15">
        <f>-'Fiscal Forecasts'!E$366</f>
        <v>0.46800000000000003</v>
      </c>
      <c r="F465" s="16">
        <f>-'Fiscal Forecasts'!F$366</f>
        <v>-4.5999999999999999E-2</v>
      </c>
      <c r="G465" s="16">
        <f>-'Fiscal Forecasts'!G$366</f>
        <v>0.375</v>
      </c>
      <c r="H465" s="16">
        <f>-'Fiscal Forecasts'!H$366</f>
        <v>0.311</v>
      </c>
      <c r="I465" s="16">
        <f>-'Fiscal Forecasts'!I$366</f>
        <v>0.108</v>
      </c>
      <c r="J465" s="16">
        <f>-'Fiscal Forecasts'!J$366</f>
        <v>0.122</v>
      </c>
      <c r="K465" s="7">
        <f t="shared" ref="K465:T465" ca="1" si="211">SUM(K$362-J$362,-(K$144-K$237),K$363-J$363)</f>
        <v>0.22750616416740066</v>
      </c>
      <c r="L465" s="7">
        <f t="shared" ca="1" si="211"/>
        <v>0.27852193357201616</v>
      </c>
      <c r="M465" s="7">
        <f t="shared" ca="1" si="211"/>
        <v>0.29351178857914839</v>
      </c>
      <c r="N465" s="7">
        <f t="shared" ca="1" si="211"/>
        <v>0.30800161312565011</v>
      </c>
      <c r="O465" s="7">
        <f t="shared" ca="1" si="211"/>
        <v>0.31893992955200701</v>
      </c>
      <c r="P465" s="7">
        <f t="shared" ca="1" si="211"/>
        <v>0.34632379606211616</v>
      </c>
      <c r="Q465" s="7">
        <f t="shared" ca="1" si="211"/>
        <v>0.3624998908015693</v>
      </c>
      <c r="R465" s="7">
        <f t="shared" ca="1" si="211"/>
        <v>0.37946244663636708</v>
      </c>
      <c r="S465" s="7">
        <f t="shared" ca="1" si="211"/>
        <v>0.39332133301887229</v>
      </c>
      <c r="T465" s="7">
        <f t="shared" ca="1" si="211"/>
        <v>0.405862914596955</v>
      </c>
    </row>
    <row r="466" spans="1:20" x14ac:dyDescent="0.2">
      <c r="A466" s="1" t="s">
        <v>729</v>
      </c>
      <c r="B466" s="4" t="str">
        <f>$B$38</f>
        <v>From Fiscal</v>
      </c>
      <c r="D466" s="15">
        <f>-'Fiscal Forecasts'!D$367</f>
        <v>0.89699999999999991</v>
      </c>
      <c r="E466" s="15">
        <f>-'Fiscal Forecasts'!E$367</f>
        <v>2.1480000000000001</v>
      </c>
      <c r="F466" s="16">
        <f>-'Fiscal Forecasts'!F$367</f>
        <v>1.927</v>
      </c>
      <c r="G466" s="16">
        <f>-'Fiscal Forecasts'!G$367</f>
        <v>2.7730000000000001</v>
      </c>
      <c r="H466" s="16">
        <f>-'Fiscal Forecasts'!H$367</f>
        <v>2.44</v>
      </c>
      <c r="I466" s="16">
        <f>-'Fiscal Forecasts'!I$367</f>
        <v>2.073</v>
      </c>
      <c r="J466" s="16">
        <f>-'Fiscal Forecasts'!J$367</f>
        <v>1.5880000000000001</v>
      </c>
      <c r="K466" s="7">
        <f ca="1">SUM(K$402-J$402,-K$312)</f>
        <v>1.3096902132891806</v>
      </c>
      <c r="L466" s="7">
        <f t="shared" ref="L466:T466" ca="1" si="212">SUM(L$402-K$402,-L$312)</f>
        <v>1.4277084525524093</v>
      </c>
      <c r="M466" s="7">
        <f t="shared" ca="1" si="212"/>
        <v>1.5076500379280431</v>
      </c>
      <c r="N466" s="7">
        <f t="shared" ca="1" si="212"/>
        <v>1.5734627594969546</v>
      </c>
      <c r="O466" s="7">
        <f t="shared" ca="1" si="212"/>
        <v>1.6414639783534091</v>
      </c>
      <c r="P466" s="7">
        <f t="shared" ca="1" si="212"/>
        <v>1.7119222630201723</v>
      </c>
      <c r="Q466" s="7">
        <f t="shared" ca="1" si="212"/>
        <v>1.7847286381670999</v>
      </c>
      <c r="R466" s="7">
        <f t="shared" ca="1" si="212"/>
        <v>1.8598019184027232</v>
      </c>
      <c r="S466" s="7">
        <f t="shared" ca="1" si="212"/>
        <v>1.9374828797861821</v>
      </c>
      <c r="T466" s="7">
        <f t="shared" ca="1" si="212"/>
        <v>2.0176508861514004</v>
      </c>
    </row>
    <row r="467" spans="1:20" x14ac:dyDescent="0.2">
      <c r="A467" s="1" t="s">
        <v>595</v>
      </c>
      <c r="D467" s="15">
        <f t="shared" ref="D467:T467" si="213">D$352</f>
        <v>0</v>
      </c>
      <c r="E467" s="15">
        <f t="shared" si="213"/>
        <v>0</v>
      </c>
      <c r="F467" s="16">
        <f t="shared" si="213"/>
        <v>0</v>
      </c>
      <c r="G467" s="16">
        <f t="shared" si="213"/>
        <v>0</v>
      </c>
      <c r="H467" s="16">
        <f t="shared" si="213"/>
        <v>0</v>
      </c>
      <c r="I467" s="16">
        <f t="shared" si="213"/>
        <v>0</v>
      </c>
      <c r="J467" s="16">
        <f t="shared" si="213"/>
        <v>2.1840000000000002</v>
      </c>
      <c r="K467" s="7">
        <f t="shared" si="213"/>
        <v>2.17</v>
      </c>
      <c r="L467" s="7">
        <f t="shared" si="213"/>
        <v>2</v>
      </c>
      <c r="M467" s="7">
        <f t="shared" si="213"/>
        <v>1.768</v>
      </c>
      <c r="N467" s="7">
        <f t="shared" si="213"/>
        <v>1.518</v>
      </c>
      <c r="O467" s="7">
        <f t="shared" si="213"/>
        <v>1.212</v>
      </c>
      <c r="P467" s="7">
        <f t="shared" si="213"/>
        <v>0.873</v>
      </c>
      <c r="Q467" s="7">
        <f t="shared" si="213"/>
        <v>0.52100000000000002</v>
      </c>
      <c r="R467" s="7">
        <f t="shared" si="213"/>
        <v>0.17299999999999999</v>
      </c>
      <c r="S467" s="7">
        <f t="shared" si="213"/>
        <v>-0.13500000000000001</v>
      </c>
      <c r="T467" s="7">
        <f t="shared" si="213"/>
        <v>-0.442</v>
      </c>
    </row>
    <row r="468" spans="1:20" x14ac:dyDescent="0.2">
      <c r="A468" s="1" t="s">
        <v>703</v>
      </c>
      <c r="D468" s="15">
        <f>SUM(D$422-C$422,D$423-C$423)</f>
        <v>0</v>
      </c>
      <c r="E468" s="15">
        <f>SUM(E$422-D$422,E$423-D$423)</f>
        <v>0</v>
      </c>
      <c r="F468" s="16">
        <f ca="1">IF(OFFSET(Assumptions!$B$64,0,$C$1)="Yes",0,SUM(F$422-E$422,F$423-E$423))</f>
        <v>0</v>
      </c>
      <c r="G468" s="16">
        <f ca="1">IF(OFFSET(Assumptions!$B$64,0,$C$1)="Yes",0,SUM(G$422-F$422,G$423-F$423))</f>
        <v>-0.64400000000000002</v>
      </c>
      <c r="H468" s="16">
        <f ca="1">IF(OFFSET(Assumptions!$B$64,0,$C$1)="Yes",0,SUM(H$422-G$422,H$423-G$423))</f>
        <v>1.2030000000000003</v>
      </c>
      <c r="I468" s="16">
        <f ca="1">IF(OFFSET(Assumptions!$B$64,0,$C$1)="Yes",0,SUM(I$422-H$422,I$423-H$423))</f>
        <v>1.3449999999999998</v>
      </c>
      <c r="J468" s="16">
        <f ca="1">IF(OFFSET(Assumptions!$B$64,0,$C$1)="Yes",0,SUM(J$422-I$422,J$423-I$423))</f>
        <v>1.7350000000000003</v>
      </c>
      <c r="K468" s="7">
        <f ca="1">IF(OFFSET(Assumptions!$B$64,0,$C$1)="Yes",0,SUM(K$422-J$422,K$423-J$423))</f>
        <v>0.83566666666666634</v>
      </c>
      <c r="L468" s="7">
        <f ca="1">IF(OFFSET(Assumptions!$B$64,0,$C$1)="Yes",0,SUM(L$422-K$422,L$423-K$423))</f>
        <v>2.9504666666666663</v>
      </c>
      <c r="M468" s="7">
        <f ca="1">IF(OFFSET(Assumptions!$B$64,0,$C$1)="Yes",0,SUM(M$422-L$422,M$423-L$423))</f>
        <v>3.9002266666666667</v>
      </c>
      <c r="N468" s="7">
        <f ca="1">IF(OFFSET(Assumptions!$B$64,0,$C$1)="Yes",0,SUM(N$422-M$422,N$423-M$423))</f>
        <v>4.8910720000000003</v>
      </c>
      <c r="O468" s="7">
        <f ca="1">IF(OFFSET(Assumptions!$B$64,0,$C$1)="Yes",0,SUM(O$422-N$422,O$423-N$423))</f>
        <v>5.8692863999999982</v>
      </c>
      <c r="P468" s="7">
        <f ca="1">IF(OFFSET(Assumptions!$B$64,0,$C$1)="Yes",0,SUM(P$422-O$422,P$423-O$423))</f>
        <v>7.04314368</v>
      </c>
      <c r="Q468" s="7">
        <f ca="1">IF(OFFSET(Assumptions!$B$64,0,$C$1)="Yes",0,SUM(Q$422-P$422,Q$423-P$423))</f>
        <v>8.4517724159999972</v>
      </c>
      <c r="R468" s="7">
        <f ca="1">IF(OFFSET(Assumptions!$B$64,0,$C$1)="Yes",0,SUM(R$422-Q$422,R$423-Q$423))</f>
        <v>10.142126899199997</v>
      </c>
      <c r="S468" s="7">
        <f ca="1">IF(OFFSET(Assumptions!$B$64,0,$C$1)="Yes",0,SUM(S$422-R$422,S$423-R$423))</f>
        <v>12.170552279040006</v>
      </c>
      <c r="T468" s="7">
        <f ca="1">IF(OFFSET(Assumptions!$B$64,0,$C$1)="Yes",0,SUM(T$422-S$422,T$423-S$423))</f>
        <v>14.604662734847995</v>
      </c>
    </row>
    <row r="469" spans="1:20" ht="15" x14ac:dyDescent="0.25">
      <c r="A469" s="2" t="s">
        <v>589</v>
      </c>
      <c r="D469" s="35">
        <f t="shared" ref="D469:T469" si="214">-SUM(D$464:D$468)</f>
        <v>-3.4219999999999997</v>
      </c>
      <c r="E469" s="35">
        <f t="shared" si="214"/>
        <v>-4.5869999999999997</v>
      </c>
      <c r="F469" s="34">
        <f t="shared" ca="1" si="214"/>
        <v>-4.3100000000000005</v>
      </c>
      <c r="G469" s="34">
        <f t="shared" ca="1" si="214"/>
        <v>-6.18</v>
      </c>
      <c r="H469" s="34">
        <f t="shared" ca="1" si="214"/>
        <v>-6.6020000000000003</v>
      </c>
      <c r="I469" s="34">
        <f t="shared" ca="1" si="214"/>
        <v>-5.8389999999999995</v>
      </c>
      <c r="J469" s="34">
        <f t="shared" ca="1" si="214"/>
        <v>-7.6090000000000009</v>
      </c>
      <c r="K469" s="38">
        <f t="shared" ca="1" si="214"/>
        <v>-6.7234060320592421</v>
      </c>
      <c r="L469" s="38">
        <f t="shared" ca="1" si="214"/>
        <v>-8.8814017855861991</v>
      </c>
      <c r="M469" s="38">
        <f t="shared" ca="1" si="214"/>
        <v>-9.8169093094702848</v>
      </c>
      <c r="N469" s="38">
        <f t="shared" ca="1" si="214"/>
        <v>-10.797068887051424</v>
      </c>
      <c r="O469" s="38">
        <f t="shared" ca="1" si="214"/>
        <v>-11.743758083444579</v>
      </c>
      <c r="P469" s="38">
        <f t="shared" ca="1" si="214"/>
        <v>-12.909022529328277</v>
      </c>
      <c r="Q469" s="38">
        <f t="shared" ca="1" si="214"/>
        <v>-14.343127136643744</v>
      </c>
      <c r="R469" s="38">
        <f t="shared" ca="1" si="214"/>
        <v>-16.120344801627844</v>
      </c>
      <c r="S469" s="38">
        <f t="shared" ca="1" si="214"/>
        <v>-18.340908935796453</v>
      </c>
      <c r="T469" s="38">
        <f t="shared" ca="1" si="214"/>
        <v>-21.047398241168082</v>
      </c>
    </row>
    <row r="470" spans="1:20" ht="15" x14ac:dyDescent="0.25">
      <c r="A470" s="2" t="s">
        <v>590</v>
      </c>
      <c r="D470" s="36">
        <f t="shared" ref="D470:T470" si="215">SUM(D$463,D$469)</f>
        <v>-1.8270000000000151</v>
      </c>
      <c r="E470" s="36">
        <f t="shared" si="215"/>
        <v>-1.3220000000000134</v>
      </c>
      <c r="F470" s="37">
        <f t="shared" ca="1" si="215"/>
        <v>1.4970000000000017</v>
      </c>
      <c r="G470" s="37">
        <f t="shared" ca="1" si="215"/>
        <v>-1.3559999999999732</v>
      </c>
      <c r="H470" s="37">
        <f t="shared" ca="1" si="215"/>
        <v>-1.3649999999999913</v>
      </c>
      <c r="I470" s="37">
        <f t="shared" ca="1" si="215"/>
        <v>1.7079999999999975</v>
      </c>
      <c r="J470" s="37">
        <f t="shared" ca="1" si="215"/>
        <v>1.0739999999999776</v>
      </c>
      <c r="K470" s="28">
        <f t="shared" ca="1" si="215"/>
        <v>4.4158063744872633</v>
      </c>
      <c r="L470" s="28">
        <f t="shared" ca="1" si="215"/>
        <v>3.50193182126403</v>
      </c>
      <c r="M470" s="28">
        <f t="shared" ca="1" si="215"/>
        <v>3.735118032539722</v>
      </c>
      <c r="N470" s="28">
        <f t="shared" ca="1" si="215"/>
        <v>3.8953636445270661</v>
      </c>
      <c r="O470" s="28">
        <f t="shared" ca="1" si="215"/>
        <v>4.0518349416561783</v>
      </c>
      <c r="P470" s="28">
        <f t="shared" ca="1" si="215"/>
        <v>4.0330995535362515</v>
      </c>
      <c r="Q470" s="28">
        <f t="shared" ca="1" si="215"/>
        <v>3.8105774831358872</v>
      </c>
      <c r="R470" s="28">
        <f t="shared" ca="1" si="215"/>
        <v>3.1418838050942455</v>
      </c>
      <c r="S470" s="28">
        <f t="shared" ca="1" si="215"/>
        <v>2.0877087150690805</v>
      </c>
      <c r="T470" s="28">
        <f t="shared" ca="1" si="215"/>
        <v>0.55731088765566028</v>
      </c>
    </row>
    <row r="471" spans="1:20" ht="15" x14ac:dyDescent="0.25">
      <c r="A471" s="2" t="s">
        <v>695</v>
      </c>
      <c r="B471" s="4" t="str">
        <f>$B$59</f>
        <v>Projected Years only</v>
      </c>
      <c r="K471" s="6" t="str">
        <f ca="1">IF(ROUND(SUM(K$470,K$76-J$76,K$475,K$146-K$458,K$304),3)=0,"OK","ERROR")</f>
        <v>OK</v>
      </c>
      <c r="L471" s="6" t="str">
        <f t="shared" ref="L471:T471" ca="1" si="216">IF(ROUND(SUM(L$470,L$76-K$76,L$475,L$146-L$458,L$304),3)=0,"OK","ERROR")</f>
        <v>OK</v>
      </c>
      <c r="M471" s="6" t="str">
        <f t="shared" ca="1" si="216"/>
        <v>OK</v>
      </c>
      <c r="N471" s="6" t="str">
        <f t="shared" ca="1" si="216"/>
        <v>OK</v>
      </c>
      <c r="O471" s="6" t="str">
        <f t="shared" ca="1" si="216"/>
        <v>OK</v>
      </c>
      <c r="P471" s="6" t="str">
        <f t="shared" ca="1" si="216"/>
        <v>OK</v>
      </c>
      <c r="Q471" s="6" t="str">
        <f t="shared" ca="1" si="216"/>
        <v>OK</v>
      </c>
      <c r="R471" s="6" t="str">
        <f t="shared" ca="1" si="216"/>
        <v>OK</v>
      </c>
      <c r="S471" s="6" t="str">
        <f t="shared" ca="1" si="216"/>
        <v>OK</v>
      </c>
      <c r="T471" s="6" t="str">
        <f t="shared" ca="1" si="216"/>
        <v>OK</v>
      </c>
    </row>
    <row r="472" spans="1:20" ht="15" x14ac:dyDescent="0.25">
      <c r="A472" s="2" t="s">
        <v>1341</v>
      </c>
      <c r="B472" s="4"/>
    </row>
    <row r="473" spans="1:20" ht="15" x14ac:dyDescent="0.25">
      <c r="A473" s="2" t="s">
        <v>404</v>
      </c>
      <c r="B473" s="4" t="str">
        <f>$B$38</f>
        <v>From Fiscal</v>
      </c>
      <c r="D473" s="40">
        <f>'Fiscal Forecasts'!D$371</f>
        <v>3.0409999999999999</v>
      </c>
      <c r="E473" s="40">
        <f>'Fiscal Forecasts'!E$371</f>
        <v>2.1779999999999999</v>
      </c>
      <c r="F473" s="39">
        <f>'Fiscal Forecasts'!F$371</f>
        <v>0.189</v>
      </c>
      <c r="G473" s="39">
        <f>'Fiscal Forecasts'!G$371</f>
        <v>-3.3839999999999999</v>
      </c>
      <c r="H473" s="39">
        <f>'Fiscal Forecasts'!H$371</f>
        <v>0.58099999999999996</v>
      </c>
      <c r="I473" s="39">
        <f>'Fiscal Forecasts'!I$371</f>
        <v>-0.40600000000000003</v>
      </c>
      <c r="J473" s="39">
        <f>'Fiscal Forecasts'!J$371</f>
        <v>-5.1959999999999997</v>
      </c>
      <c r="K473" s="8">
        <f t="shared" ref="K473:T473" ca="1" si="217">-SUM(K$463,K$469,K$477)</f>
        <v>-2.4034830119595245</v>
      </c>
      <c r="L473" s="8">
        <f t="shared" ca="1" si="217"/>
        <v>-1.543043025760148</v>
      </c>
      <c r="M473" s="8">
        <f t="shared" ca="1" si="217"/>
        <v>-1.8729131399144829</v>
      </c>
      <c r="N473" s="8">
        <f t="shared" ca="1" si="217"/>
        <v>-2.1530491230533588</v>
      </c>
      <c r="O473" s="8">
        <f t="shared" ca="1" si="217"/>
        <v>-2.4673871252827162</v>
      </c>
      <c r="P473" s="8">
        <f t="shared" ca="1" si="217"/>
        <v>-2.6361463462284132</v>
      </c>
      <c r="Q473" s="8">
        <f t="shared" ca="1" si="217"/>
        <v>-2.3407097183527457</v>
      </c>
      <c r="R473" s="8">
        <f t="shared" ca="1" si="217"/>
        <v>-1.6223402927402337</v>
      </c>
      <c r="S473" s="8">
        <f t="shared" ca="1" si="217"/>
        <v>-0.51276146817093804</v>
      </c>
      <c r="T473" s="8">
        <f t="shared" ca="1" si="217"/>
        <v>1.0716959817367986</v>
      </c>
    </row>
    <row r="474" spans="1:20" x14ac:dyDescent="0.2">
      <c r="A474" s="1" t="s">
        <v>742</v>
      </c>
      <c r="B474" s="4" t="str">
        <f>$B$38</f>
        <v>From Fiscal</v>
      </c>
      <c r="D474" s="15">
        <f>-'Fiscal Forecasts'!D$372</f>
        <v>-0.79500000000000004</v>
      </c>
      <c r="E474" s="15">
        <f>-'Fiscal Forecasts'!E$372</f>
        <v>-0.68500000000000005</v>
      </c>
      <c r="F474" s="16">
        <f>-'Fiscal Forecasts'!F$372</f>
        <v>-1.554</v>
      </c>
      <c r="G474" s="16">
        <f>-'Fiscal Forecasts'!G$372</f>
        <v>-3.9569999999999999</v>
      </c>
      <c r="H474" s="16">
        <f>-'Fiscal Forecasts'!H$372</f>
        <v>-0.60199999999999998</v>
      </c>
      <c r="I474" s="16">
        <f>-'Fiscal Forecasts'!I$372</f>
        <v>1.492</v>
      </c>
      <c r="J474" s="16">
        <f>-'Fiscal Forecasts'!J$372</f>
        <v>-3.927</v>
      </c>
      <c r="K474" s="7">
        <f t="shared" ref="K474:T474" ca="1" si="218">SUM(K$330-J$330,K$339-J$339,-K$304,-(K$146-K$458))</f>
        <v>1.6197580655976405</v>
      </c>
      <c r="L474" s="7">
        <f t="shared" ca="1" si="218"/>
        <v>1.592103893546686</v>
      </c>
      <c r="M474" s="7">
        <f t="shared" ca="1" si="218"/>
        <v>1.5303085485732304</v>
      </c>
      <c r="N474" s="7">
        <f t="shared" ca="1" si="218"/>
        <v>1.4513281734370302</v>
      </c>
      <c r="O474" s="7">
        <f t="shared" ca="1" si="218"/>
        <v>1.3429577205918513</v>
      </c>
      <c r="P474" s="7">
        <f t="shared" ca="1" si="218"/>
        <v>1.2121804892040906</v>
      </c>
      <c r="Q474" s="7">
        <f t="shared" ca="1" si="218"/>
        <v>1.2789373171458791</v>
      </c>
      <c r="R474" s="7">
        <f t="shared" ca="1" si="218"/>
        <v>1.3226682391096136</v>
      </c>
      <c r="S474" s="7">
        <f t="shared" ca="1" si="218"/>
        <v>1.3712334828231592</v>
      </c>
      <c r="T474" s="7">
        <f t="shared" ca="1" si="218"/>
        <v>1.4187709757552547</v>
      </c>
    </row>
    <row r="475" spans="1:20" x14ac:dyDescent="0.2">
      <c r="A475" s="1" t="s">
        <v>195</v>
      </c>
      <c r="B475" s="4"/>
      <c r="D475" s="15">
        <f t="shared" ref="D475:J475" si="219">D$99</f>
        <v>0.372</v>
      </c>
      <c r="E475" s="15">
        <f t="shared" si="219"/>
        <v>0.378</v>
      </c>
      <c r="F475" s="16">
        <f t="shared" si="219"/>
        <v>0.30199999999999999</v>
      </c>
      <c r="G475" s="16">
        <f t="shared" si="219"/>
        <v>0.17799999999999999</v>
      </c>
      <c r="H475" s="16">
        <f t="shared" si="219"/>
        <v>0.184</v>
      </c>
      <c r="I475" s="16">
        <f t="shared" si="219"/>
        <v>0.189</v>
      </c>
      <c r="J475" s="16">
        <f t="shared" si="219"/>
        <v>0.19400000000000001</v>
      </c>
      <c r="K475" s="7">
        <f ca="1">K$426-J$426</f>
        <v>0.32040733445139491</v>
      </c>
      <c r="L475" s="7">
        <f t="shared" ref="L475:T475" ca="1" si="220">L$426-K$426</f>
        <v>0.33644036907538499</v>
      </c>
      <c r="M475" s="7">
        <f t="shared" ca="1" si="220"/>
        <v>0.34432795445466802</v>
      </c>
      <c r="N475" s="7">
        <f t="shared" ca="1" si="220"/>
        <v>0.35288507743213948</v>
      </c>
      <c r="O475" s="7">
        <f t="shared" ca="1" si="220"/>
        <v>0.35806036851659684</v>
      </c>
      <c r="P475" s="7">
        <f t="shared" ca="1" si="220"/>
        <v>0.36374361235771424</v>
      </c>
      <c r="Q475" s="7">
        <f t="shared" ca="1" si="220"/>
        <v>0.37586572003372787</v>
      </c>
      <c r="R475" s="7">
        <f t="shared" ca="1" si="220"/>
        <v>0.38756870499474871</v>
      </c>
      <c r="S475" s="7">
        <f t="shared" ca="1" si="220"/>
        <v>0.40103095950569667</v>
      </c>
      <c r="T475" s="7">
        <f t="shared" ca="1" si="220"/>
        <v>0.41387042515611228</v>
      </c>
    </row>
    <row r="476" spans="1:20" x14ac:dyDescent="0.2">
      <c r="A476" s="1" t="s">
        <v>714</v>
      </c>
      <c r="B476" s="4" t="str">
        <f>$B$38</f>
        <v>From Fiscal</v>
      </c>
      <c r="D476" s="15">
        <f>-'Fiscal Forecasts'!D$373</f>
        <v>2.3809999999999998</v>
      </c>
      <c r="E476" s="15">
        <f>-'Fiscal Forecasts'!E$373</f>
        <v>1.919</v>
      </c>
      <c r="F476" s="16">
        <f>-'Fiscal Forecasts'!F$373</f>
        <v>3.5419999999999998</v>
      </c>
      <c r="G476" s="16">
        <f>-'Fiscal Forecasts'!G$373</f>
        <v>-0.60499999999999998</v>
      </c>
      <c r="H476" s="16">
        <f>-'Fiscal Forecasts'!H$373</f>
        <v>2E-3</v>
      </c>
      <c r="I476" s="16">
        <f>-'Fiscal Forecasts'!I$373</f>
        <v>-1E-3</v>
      </c>
      <c r="J476" s="16">
        <f>-'Fiscal Forecasts'!J$373</f>
        <v>-1E-3</v>
      </c>
      <c r="K476" s="7">
        <f t="shared" ref="K476:T476" ca="1" si="221">K$317-J$317</f>
        <v>0.71297263138149347</v>
      </c>
      <c r="L476" s="7">
        <f t="shared" ca="1" si="221"/>
        <v>0.70322527103258103</v>
      </c>
      <c r="M476" s="7">
        <f t="shared" ca="1" si="221"/>
        <v>0.67622429850667665</v>
      </c>
      <c r="N476" s="7">
        <f t="shared" ca="1" si="221"/>
        <v>0.64387142546881648</v>
      </c>
      <c r="O476" s="7">
        <f t="shared" ca="1" si="221"/>
        <v>0.59955046429820769</v>
      </c>
      <c r="P476" s="7">
        <f t="shared" ca="1" si="221"/>
        <v>0.54851633046146198</v>
      </c>
      <c r="Q476" s="7">
        <f t="shared" ca="1" si="221"/>
        <v>0.56679616767099006</v>
      </c>
      <c r="R476" s="7">
        <f t="shared" ca="1" si="221"/>
        <v>0.58444397823914684</v>
      </c>
      <c r="S476" s="7">
        <f t="shared" ca="1" si="221"/>
        <v>0.60474472358067999</v>
      </c>
      <c r="T476" s="7">
        <f t="shared" ca="1" si="221"/>
        <v>0.62410631879331646</v>
      </c>
    </row>
    <row r="477" spans="1:20" ht="15" x14ac:dyDescent="0.25">
      <c r="A477" s="2" t="s">
        <v>591</v>
      </c>
      <c r="D477" s="35">
        <f t="shared" ref="D477:T477" si="222">SUM(-D$474,D$475,-D$476)</f>
        <v>-1.2139999999999997</v>
      </c>
      <c r="E477" s="35">
        <f t="shared" si="222"/>
        <v>-0.85599999999999987</v>
      </c>
      <c r="F477" s="34">
        <f t="shared" si="222"/>
        <v>-1.6859999999999997</v>
      </c>
      <c r="G477" s="34">
        <f t="shared" si="222"/>
        <v>4.74</v>
      </c>
      <c r="H477" s="34">
        <f t="shared" si="222"/>
        <v>0.78400000000000003</v>
      </c>
      <c r="I477" s="34">
        <f t="shared" si="222"/>
        <v>-1.302</v>
      </c>
      <c r="J477" s="34">
        <f t="shared" si="222"/>
        <v>4.1220000000000008</v>
      </c>
      <c r="K477" s="38">
        <f t="shared" ca="1" si="222"/>
        <v>-2.0123233625277388</v>
      </c>
      <c r="L477" s="38">
        <f t="shared" ca="1" si="222"/>
        <v>-1.9588887955038821</v>
      </c>
      <c r="M477" s="38">
        <f t="shared" ca="1" si="222"/>
        <v>-1.862204892625239</v>
      </c>
      <c r="N477" s="38">
        <f t="shared" ca="1" si="222"/>
        <v>-1.7423145214737072</v>
      </c>
      <c r="O477" s="38">
        <f t="shared" ca="1" si="222"/>
        <v>-1.5844478163734621</v>
      </c>
      <c r="P477" s="38">
        <f t="shared" ca="1" si="222"/>
        <v>-1.3969532073078383</v>
      </c>
      <c r="Q477" s="38">
        <f t="shared" ca="1" si="222"/>
        <v>-1.4698677647831413</v>
      </c>
      <c r="R477" s="38">
        <f t="shared" ca="1" si="222"/>
        <v>-1.5195435123540117</v>
      </c>
      <c r="S477" s="38">
        <f t="shared" ca="1" si="222"/>
        <v>-1.5749472468981425</v>
      </c>
      <c r="T477" s="38">
        <f t="shared" ca="1" si="222"/>
        <v>-1.6290068693924589</v>
      </c>
    </row>
    <row r="478" spans="1:20" ht="15" x14ac:dyDescent="0.25">
      <c r="A478" s="2" t="s">
        <v>694</v>
      </c>
      <c r="D478" s="6" t="str">
        <f t="shared" ref="D478:T478" si="223">IF(ROUND(SUM(D$470,D$473,D$477),3)=0,"OK","ERROR")</f>
        <v>OK</v>
      </c>
      <c r="E478" s="6" t="str">
        <f t="shared" si="223"/>
        <v>OK</v>
      </c>
      <c r="F478" s="6" t="str">
        <f t="shared" ca="1" si="223"/>
        <v>OK</v>
      </c>
      <c r="G478" s="6" t="str">
        <f t="shared" ca="1" si="223"/>
        <v>OK</v>
      </c>
      <c r="H478" s="6" t="str">
        <f t="shared" ca="1" si="223"/>
        <v>OK</v>
      </c>
      <c r="I478" s="6" t="str">
        <f t="shared" ca="1" si="223"/>
        <v>OK</v>
      </c>
      <c r="J478" s="6" t="str">
        <f t="shared" ca="1" si="223"/>
        <v>OK</v>
      </c>
      <c r="K478" s="6" t="str">
        <f t="shared" ca="1" si="223"/>
        <v>OK</v>
      </c>
      <c r="L478" s="6" t="str">
        <f t="shared" ca="1" si="223"/>
        <v>OK</v>
      </c>
      <c r="M478" s="6" t="str">
        <f t="shared" ca="1" si="223"/>
        <v>OK</v>
      </c>
      <c r="N478" s="6" t="str">
        <f t="shared" ca="1" si="223"/>
        <v>OK</v>
      </c>
      <c r="O478" s="6" t="str">
        <f t="shared" ca="1" si="223"/>
        <v>OK</v>
      </c>
      <c r="P478" s="6" t="str">
        <f t="shared" ca="1" si="223"/>
        <v>OK</v>
      </c>
      <c r="Q478" s="6" t="str">
        <f t="shared" ca="1" si="223"/>
        <v>OK</v>
      </c>
      <c r="R478" s="6" t="str">
        <f t="shared" ca="1" si="223"/>
        <v>OK</v>
      </c>
      <c r="S478" s="6" t="str">
        <f t="shared" ca="1" si="223"/>
        <v>OK</v>
      </c>
      <c r="T478" s="6" t="str">
        <f t="shared" ca="1" si="223"/>
        <v>OK</v>
      </c>
    </row>
    <row r="479" spans="1:20" ht="15" x14ac:dyDescent="0.25">
      <c r="F479" s="53"/>
      <c r="G479" s="53"/>
      <c r="H479" s="53"/>
      <c r="I479" s="53"/>
      <c r="J479" s="53"/>
      <c r="K479" s="53"/>
      <c r="L479" s="53"/>
      <c r="M479" s="53"/>
      <c r="N479" s="53"/>
      <c r="O479" s="53"/>
      <c r="P479" s="53"/>
      <c r="Q479" s="53"/>
      <c r="R479" s="53"/>
      <c r="S479" s="53"/>
      <c r="T479" s="53"/>
    </row>
    <row r="480" spans="1:20" x14ac:dyDescent="0.2">
      <c r="A480" s="19" t="s">
        <v>696</v>
      </c>
      <c r="B480" s="4" t="str">
        <f>$B$59</f>
        <v>Projected Years only</v>
      </c>
    </row>
    <row r="481" spans="1:20" x14ac:dyDescent="0.2">
      <c r="A481" s="1" t="s">
        <v>697</v>
      </c>
      <c r="K481" s="7">
        <f ca="1">SUM(K$455-K$348,K$456,K$457,K$458+K$145-(K$322-J$322))-SUM(K$459,K$460+K$245-(K$429-J$429),K$461,K$462)</f>
        <v>11.047728097760711</v>
      </c>
      <c r="L481" s="7">
        <f t="shared" ref="L481:T481" ca="1" si="224">SUM(L$455-L$348,L$456,L$457,L$458+L$145-(L$322-K$322))-SUM(L$459,L$460+L$245-(L$429-K$429),L$461,L$462)</f>
        <v>12.280143054830077</v>
      </c>
      <c r="M481" s="7">
        <f t="shared" ca="1" si="224"/>
        <v>13.436371094007626</v>
      </c>
      <c r="N481" s="7">
        <f t="shared" ca="1" si="224"/>
        <v>14.563573015151363</v>
      </c>
      <c r="O481" s="7">
        <f t="shared" ca="1" si="224"/>
        <v>15.652809884440117</v>
      </c>
      <c r="P481" s="7">
        <f t="shared" ca="1" si="224"/>
        <v>16.785751727840861</v>
      </c>
      <c r="Q481" s="7">
        <f t="shared" ca="1" si="224"/>
        <v>17.986528530364836</v>
      </c>
      <c r="R481" s="7">
        <f t="shared" ca="1" si="224"/>
        <v>19.084367343360384</v>
      </c>
      <c r="S481" s="7">
        <f t="shared" ca="1" si="224"/>
        <v>20.240152959963353</v>
      </c>
      <c r="T481" s="7">
        <f t="shared" ca="1" si="224"/>
        <v>21.405680995043141</v>
      </c>
    </row>
    <row r="482" spans="1:20" x14ac:dyDescent="0.2">
      <c r="A482" s="1" t="s">
        <v>698</v>
      </c>
      <c r="K482" s="7">
        <f t="shared" ref="K482:T482" ca="1" si="225">-SUM(K$464,K$387-J$387,K$465,K$361-J$361,K$466,K$401-J$401,K$468,K$474,K$329-J$329,K$338-J$338,-K$303)</f>
        <v>-8.9044818286147773</v>
      </c>
      <c r="L482" s="7">
        <f t="shared" ca="1" si="225"/>
        <v>-10.193368189535454</v>
      </c>
      <c r="M482" s="7">
        <f t="shared" ca="1" si="225"/>
        <v>-11.046968626310065</v>
      </c>
      <c r="N482" s="7">
        <f t="shared" ca="1" si="225"/>
        <v>-11.930873488071393</v>
      </c>
      <c r="O482" s="7">
        <f t="shared" ca="1" si="225"/>
        <v>-12.754241686288825</v>
      </c>
      <c r="P482" s="7">
        <f t="shared" ca="1" si="225"/>
        <v>-13.77595402495982</v>
      </c>
      <c r="Q482" s="7">
        <f t="shared" ca="1" si="225"/>
        <v>-15.271889969975771</v>
      </c>
      <c r="R482" s="7">
        <f t="shared" ca="1" si="225"/>
        <v>-17.084567103004481</v>
      </c>
      <c r="S482" s="7">
        <f t="shared" ca="1" si="225"/>
        <v>-19.342486807503896</v>
      </c>
      <c r="T482" s="7">
        <f t="shared" ca="1" si="225"/>
        <v>-22.086787832522276</v>
      </c>
    </row>
    <row r="483" spans="1:20" x14ac:dyDescent="0.2">
      <c r="A483" s="1" t="s">
        <v>195</v>
      </c>
      <c r="K483" s="7">
        <f ca="1">K$475</f>
        <v>0.32040733445139491</v>
      </c>
      <c r="L483" s="7">
        <f t="shared" ref="L483:T483" ca="1" si="226">L$475</f>
        <v>0.33644036907538499</v>
      </c>
      <c r="M483" s="7">
        <f t="shared" ca="1" si="226"/>
        <v>0.34432795445466802</v>
      </c>
      <c r="N483" s="7">
        <f t="shared" ca="1" si="226"/>
        <v>0.35288507743213948</v>
      </c>
      <c r="O483" s="7">
        <f t="shared" ca="1" si="226"/>
        <v>0.35806036851659684</v>
      </c>
      <c r="P483" s="7">
        <f t="shared" ca="1" si="226"/>
        <v>0.36374361235771424</v>
      </c>
      <c r="Q483" s="7">
        <f t="shared" ca="1" si="226"/>
        <v>0.37586572003372787</v>
      </c>
      <c r="R483" s="7">
        <f t="shared" ca="1" si="226"/>
        <v>0.38756870499474871</v>
      </c>
      <c r="S483" s="7">
        <f t="shared" ca="1" si="226"/>
        <v>0.40103095950569667</v>
      </c>
      <c r="T483" s="7">
        <f t="shared" ca="1" si="226"/>
        <v>0.41387042515611228</v>
      </c>
    </row>
    <row r="484" spans="1:20" x14ac:dyDescent="0.2">
      <c r="A484" s="1" t="s">
        <v>713</v>
      </c>
      <c r="K484" s="7">
        <f ca="1">SUM(K$476,K$316-J$316,-K$481,-K$482,-K$483)</f>
        <v>-1.8532460119595173</v>
      </c>
      <c r="L484" s="7">
        <f t="shared" ref="L484:T484" ca="1" si="227">SUM(L$476,L$316-K$316,-L$481,-L$482,-L$483)</f>
        <v>-1.3378282346223749</v>
      </c>
      <c r="M484" s="7">
        <f t="shared" ca="1" si="227"/>
        <v>-1.6675012107301566</v>
      </c>
      <c r="N484" s="7">
        <f t="shared" ca="1" si="227"/>
        <v>-1.9434214823613143</v>
      </c>
      <c r="O484" s="7">
        <f t="shared" ca="1" si="227"/>
        <v>-2.2533053383161477</v>
      </c>
      <c r="P484" s="7">
        <f t="shared" ca="1" si="227"/>
        <v>-2.4191184855496264</v>
      </c>
      <c r="Q484" s="7">
        <f t="shared" ca="1" si="227"/>
        <v>-2.122534975017869</v>
      </c>
      <c r="R484" s="7">
        <f t="shared" ca="1" si="227"/>
        <v>-1.4067097312082666</v>
      </c>
      <c r="S484" s="7">
        <f t="shared" ca="1" si="227"/>
        <v>-0.29979577887292663</v>
      </c>
      <c r="T484" s="7">
        <f t="shared" ca="1" si="227"/>
        <v>1.2835551593492447</v>
      </c>
    </row>
    <row r="485" spans="1:20" ht="15" x14ac:dyDescent="0.25">
      <c r="A485" s="2" t="s">
        <v>699</v>
      </c>
      <c r="K485" s="38">
        <f ca="1">SUM(K$481:K$484)</f>
        <v>0.61040759163781111</v>
      </c>
      <c r="L485" s="38">
        <f t="shared" ref="L485:T485" ca="1" si="228">SUM(L$481:L$484)</f>
        <v>1.0853869997476338</v>
      </c>
      <c r="M485" s="38">
        <f t="shared" ca="1" si="228"/>
        <v>1.0662292114220726</v>
      </c>
      <c r="N485" s="38">
        <f t="shared" ca="1" si="228"/>
        <v>1.0421631221507948</v>
      </c>
      <c r="O485" s="38">
        <f t="shared" ca="1" si="228"/>
        <v>1.003323228351741</v>
      </c>
      <c r="P485" s="38">
        <f t="shared" ca="1" si="228"/>
        <v>0.95442282968912906</v>
      </c>
      <c r="Q485" s="38">
        <f t="shared" ca="1" si="228"/>
        <v>0.96796930540492454</v>
      </c>
      <c r="R485" s="38">
        <f t="shared" ca="1" si="228"/>
        <v>0.98065921414238488</v>
      </c>
      <c r="S485" s="38">
        <f t="shared" ca="1" si="228"/>
        <v>0.99890133309222762</v>
      </c>
      <c r="T485" s="38">
        <f t="shared" ca="1" si="228"/>
        <v>1.0163187470262223</v>
      </c>
    </row>
    <row r="486" spans="1:20" x14ac:dyDescent="0.2">
      <c r="A486" s="19" t="s">
        <v>359</v>
      </c>
    </row>
    <row r="487" spans="1:20" ht="15" x14ac:dyDescent="0.25">
      <c r="A487" s="2" t="s">
        <v>356</v>
      </c>
      <c r="K487" s="28">
        <f t="shared" ref="K487:T487" ca="1" si="229">K$481</f>
        <v>11.047728097760711</v>
      </c>
      <c r="L487" s="28">
        <f t="shared" ca="1" si="229"/>
        <v>12.280143054830077</v>
      </c>
      <c r="M487" s="28">
        <f t="shared" ca="1" si="229"/>
        <v>13.436371094007626</v>
      </c>
      <c r="N487" s="28">
        <f t="shared" ca="1" si="229"/>
        <v>14.563573015151363</v>
      </c>
      <c r="O487" s="28">
        <f t="shared" ca="1" si="229"/>
        <v>15.652809884440117</v>
      </c>
      <c r="P487" s="28">
        <f t="shared" ca="1" si="229"/>
        <v>16.785751727840861</v>
      </c>
      <c r="Q487" s="28">
        <f t="shared" ca="1" si="229"/>
        <v>17.986528530364836</v>
      </c>
      <c r="R487" s="28">
        <f t="shared" ca="1" si="229"/>
        <v>19.084367343360384</v>
      </c>
      <c r="S487" s="28">
        <f t="shared" ca="1" si="229"/>
        <v>20.240152959963353</v>
      </c>
      <c r="T487" s="28">
        <f t="shared" ca="1" si="229"/>
        <v>21.405680995043141</v>
      </c>
    </row>
    <row r="488" spans="1:20" ht="15" x14ac:dyDescent="0.25">
      <c r="A488" s="2" t="s">
        <v>162</v>
      </c>
      <c r="K488" s="38">
        <f t="shared" ref="K488:T488" ca="1" si="230">K$305</f>
        <v>2.7392990874370735</v>
      </c>
      <c r="L488" s="38">
        <f t="shared" ca="1" si="230"/>
        <v>3.0731381445081496</v>
      </c>
      <c r="M488" s="38">
        <f t="shared" ca="1" si="230"/>
        <v>3.4284165730658018</v>
      </c>
      <c r="N488" s="38">
        <f t="shared" ca="1" si="230"/>
        <v>3.8045659943383079</v>
      </c>
      <c r="O488" s="38">
        <f t="shared" ca="1" si="230"/>
        <v>4.2010367253749115</v>
      </c>
      <c r="P488" s="38">
        <f t="shared" ca="1" si="230"/>
        <v>4.5885159993323468</v>
      </c>
      <c r="Q488" s="38">
        <f t="shared" ca="1" si="230"/>
        <v>4.8990773058312334</v>
      </c>
      <c r="R488" s="38">
        <f t="shared" ca="1" si="230"/>
        <v>5.2066150328911762</v>
      </c>
      <c r="S488" s="38">
        <f t="shared" ca="1" si="230"/>
        <v>5.5122560728636341</v>
      </c>
      <c r="T488" s="38">
        <f t="shared" ca="1" si="230"/>
        <v>5.8171430501416435</v>
      </c>
    </row>
    <row r="489" spans="1:20" x14ac:dyDescent="0.2">
      <c r="A489" s="1" t="s">
        <v>706</v>
      </c>
      <c r="K489" s="7">
        <f t="shared" ref="K489:T489" ca="1" si="231">K$190</f>
        <v>2.0624954662766832</v>
      </c>
      <c r="L489" s="7">
        <f t="shared" ca="1" si="231"/>
        <v>2.1074319222427529</v>
      </c>
      <c r="M489" s="7">
        <f t="shared" ca="1" si="231"/>
        <v>2.2338955167689032</v>
      </c>
      <c r="N489" s="7">
        <f t="shared" ca="1" si="231"/>
        <v>2.3973144499676478</v>
      </c>
      <c r="O489" s="7">
        <f t="shared" ca="1" si="231"/>
        <v>2.5991564365991775</v>
      </c>
      <c r="P489" s="7">
        <f t="shared" ca="1" si="231"/>
        <v>2.838994782251258</v>
      </c>
      <c r="Q489" s="7">
        <f t="shared" ca="1" si="231"/>
        <v>3.1243009545677469</v>
      </c>
      <c r="R489" s="7">
        <f t="shared" ca="1" si="231"/>
        <v>3.4640512698367862</v>
      </c>
      <c r="S489" s="7">
        <f t="shared" ca="1" si="231"/>
        <v>3.8691105865322664</v>
      </c>
      <c r="T489" s="7">
        <f t="shared" ca="1" si="231"/>
        <v>4.3524040062771512</v>
      </c>
    </row>
    <row r="490" spans="1:20" x14ac:dyDescent="0.2">
      <c r="A490" s="1" t="s">
        <v>710</v>
      </c>
      <c r="K490" s="7">
        <f>K$237</f>
        <v>0.66800000000000004</v>
      </c>
      <c r="L490" s="7">
        <f t="shared" ref="L490:T490" si="232">L$237</f>
        <v>0.68799999999999994</v>
      </c>
      <c r="M490" s="7">
        <f t="shared" si="232"/>
        <v>0.70699999999999996</v>
      </c>
      <c r="N490" s="7">
        <f t="shared" si="232"/>
        <v>0.72699999999999998</v>
      </c>
      <c r="O490" s="7">
        <f t="shared" si="232"/>
        <v>0.74399999999999999</v>
      </c>
      <c r="P490" s="7">
        <f t="shared" si="232"/>
        <v>0.76400000000000001</v>
      </c>
      <c r="Q490" s="7">
        <f t="shared" si="232"/>
        <v>0.78400000000000003</v>
      </c>
      <c r="R490" s="7">
        <f t="shared" si="232"/>
        <v>0.8</v>
      </c>
      <c r="S490" s="7">
        <f t="shared" si="232"/>
        <v>0.81599999999999995</v>
      </c>
      <c r="T490" s="7">
        <f t="shared" si="232"/>
        <v>0.83299999999999996</v>
      </c>
    </row>
    <row r="491" spans="1:20" x14ac:dyDescent="0.2">
      <c r="A491" s="1" t="s">
        <v>721</v>
      </c>
      <c r="K491" s="7">
        <f t="shared" ref="K491:T491" si="233">K$446-J$446</f>
        <v>-0.28491579634464692</v>
      </c>
      <c r="L491" s="7">
        <f t="shared" si="233"/>
        <v>-0.29163098346388061</v>
      </c>
      <c r="M491" s="7">
        <f t="shared" si="233"/>
        <v>-0.28779373368146466</v>
      </c>
      <c r="N491" s="7">
        <f t="shared" si="233"/>
        <v>-0.28299717145343539</v>
      </c>
      <c r="O491" s="7">
        <f t="shared" si="233"/>
        <v>-0.27436335944299373</v>
      </c>
      <c r="P491" s="7">
        <f t="shared" si="233"/>
        <v>-0.26860748476936624</v>
      </c>
      <c r="Q491" s="7">
        <f t="shared" si="233"/>
        <v>-0.26572954743254851</v>
      </c>
      <c r="R491" s="7">
        <f t="shared" si="233"/>
        <v>-0.27244473455178486</v>
      </c>
      <c r="S491" s="7">
        <f t="shared" si="233"/>
        <v>-0.27724129677980702</v>
      </c>
      <c r="T491" s="7">
        <f t="shared" si="233"/>
        <v>-0.28299717145343894</v>
      </c>
    </row>
    <row r="492" spans="1:20" x14ac:dyDescent="0.2">
      <c r="A492" s="1" t="s">
        <v>722</v>
      </c>
      <c r="K492" s="7">
        <f t="shared" ref="K492:T492" ca="1" si="234">K$440-J$440</f>
        <v>1.2908932964393847E-3</v>
      </c>
      <c r="L492" s="7">
        <f t="shared" ca="1" si="234"/>
        <v>1.0657248189033762E-3</v>
      </c>
      <c r="M492" s="7">
        <f t="shared" ca="1" si="234"/>
        <v>1.1080790604787068E-3</v>
      </c>
      <c r="N492" s="7">
        <f t="shared" ca="1" si="234"/>
        <v>1.1552506900286141E-3</v>
      </c>
      <c r="O492" s="7">
        <f t="shared" ca="1" si="234"/>
        <v>1.1936667126649925E-3</v>
      </c>
      <c r="P492" s="7">
        <f t="shared" ca="1" si="234"/>
        <v>1.2367970817659356E-3</v>
      </c>
      <c r="Q492" s="7">
        <f t="shared" ca="1" si="234"/>
        <v>1.278014540682576E-3</v>
      </c>
      <c r="R492" s="7">
        <f t="shared" ca="1" si="234"/>
        <v>1.317806903093903E-3</v>
      </c>
      <c r="S492" s="7">
        <f t="shared" ca="1" si="234"/>
        <v>1.363581114729423E-3</v>
      </c>
      <c r="T492" s="7">
        <f t="shared" ca="1" si="234"/>
        <v>1.4072377264426547E-3</v>
      </c>
    </row>
    <row r="493" spans="1:20" x14ac:dyDescent="0.2">
      <c r="A493" s="1" t="s">
        <v>723</v>
      </c>
      <c r="K493" s="7">
        <f t="shared" ref="K493:T493" ca="1" si="235">-K$312</f>
        <v>-0.12451121425175357</v>
      </c>
      <c r="L493" s="7">
        <f t="shared" ca="1" si="235"/>
        <v>-0.12997394835710407</v>
      </c>
      <c r="M493" s="7">
        <f t="shared" ca="1" si="235"/>
        <v>-0.13565378349628232</v>
      </c>
      <c r="N493" s="7">
        <f t="shared" ca="1" si="235"/>
        <v>-0.14157541282564598</v>
      </c>
      <c r="O493" s="7">
        <f t="shared" ca="1" si="235"/>
        <v>-0.14769395651162903</v>
      </c>
      <c r="P493" s="7">
        <f t="shared" ca="1" si="235"/>
        <v>-0.15403357953637284</v>
      </c>
      <c r="Q493" s="7">
        <f t="shared" ca="1" si="235"/>
        <v>-0.16058447662977493</v>
      </c>
      <c r="R493" s="7">
        <f t="shared" ca="1" si="235"/>
        <v>-0.16733934297623473</v>
      </c>
      <c r="S493" s="7">
        <f t="shared" ca="1" si="235"/>
        <v>-0.17432884057328718</v>
      </c>
      <c r="T493" s="7">
        <f t="shared" ca="1" si="235"/>
        <v>-0.18154211494413691</v>
      </c>
    </row>
    <row r="494" spans="1:20" ht="15" x14ac:dyDescent="0.25">
      <c r="A494" s="2" t="s">
        <v>711</v>
      </c>
      <c r="K494" s="38">
        <f t="shared" ref="K494:T494" ca="1" si="236">-SUM(K$489:K$493)</f>
        <v>-2.3223593489767222</v>
      </c>
      <c r="L494" s="38">
        <f t="shared" ca="1" si="236"/>
        <v>-2.3748927152406716</v>
      </c>
      <c r="M494" s="38">
        <f t="shared" ca="1" si="236"/>
        <v>-2.5185560786516348</v>
      </c>
      <c r="N494" s="38">
        <f t="shared" ca="1" si="236"/>
        <v>-2.7008971163785946</v>
      </c>
      <c r="O494" s="38">
        <f t="shared" ca="1" si="236"/>
        <v>-2.92229278735722</v>
      </c>
      <c r="P494" s="38">
        <f t="shared" ca="1" si="236"/>
        <v>-3.1815905150272852</v>
      </c>
      <c r="Q494" s="38">
        <f t="shared" ca="1" si="236"/>
        <v>-3.4832649450461064</v>
      </c>
      <c r="R494" s="38">
        <f t="shared" ca="1" si="236"/>
        <v>-3.8255849992118605</v>
      </c>
      <c r="S494" s="38">
        <f t="shared" ca="1" si="236"/>
        <v>-4.2349040302939009</v>
      </c>
      <c r="T494" s="38">
        <f t="shared" ca="1" si="236"/>
        <v>-4.7222719576060177</v>
      </c>
    </row>
    <row r="495" spans="1:20" x14ac:dyDescent="0.2">
      <c r="A495" s="1" t="s">
        <v>208</v>
      </c>
      <c r="K495" s="7">
        <f ca="1">K$325-J$325</f>
        <v>0.88398702948306251</v>
      </c>
      <c r="L495" s="7">
        <f t="shared" ref="L495:T495" ca="1" si="237">L$325-K$325</f>
        <v>0.93562999397173741</v>
      </c>
      <c r="M495" s="7">
        <f t="shared" ca="1" si="237"/>
        <v>0.98802298142642542</v>
      </c>
      <c r="N495" s="7">
        <f t="shared" ca="1" si="237"/>
        <v>1.0417753586181284</v>
      </c>
      <c r="O495" s="7">
        <f t="shared" ca="1" si="237"/>
        <v>1.0968896538100772</v>
      </c>
      <c r="P495" s="7">
        <f t="shared" ca="1" si="237"/>
        <v>1.1525202375161498</v>
      </c>
      <c r="Q495" s="7">
        <f t="shared" ca="1" si="237"/>
        <v>1.208858285982501</v>
      </c>
      <c r="R495" s="7">
        <f t="shared" ca="1" si="237"/>
        <v>1.2650483595472757</v>
      </c>
      <c r="S495" s="7">
        <f t="shared" ca="1" si="237"/>
        <v>1.3224785155075409</v>
      </c>
      <c r="T495" s="7">
        <f t="shared" ca="1" si="237"/>
        <v>1.3811104698415981</v>
      </c>
    </row>
    <row r="496" spans="1:20" x14ac:dyDescent="0.2">
      <c r="A496" s="1" t="s">
        <v>209</v>
      </c>
      <c r="K496" s="7">
        <f ca="1">SUM(K$147,-(K$458+K$145))</f>
        <v>0.25081327999777292</v>
      </c>
      <c r="L496" s="7">
        <f t="shared" ref="L496:T496" ca="1" si="238">SUM(L$147,-(L$458+L$145))</f>
        <v>0.21054900107919039</v>
      </c>
      <c r="M496" s="7">
        <f t="shared" ca="1" si="238"/>
        <v>0.17074882313358852</v>
      </c>
      <c r="N496" s="7">
        <f t="shared" ca="1" si="238"/>
        <v>0.13008910500260518</v>
      </c>
      <c r="O496" s="7">
        <f t="shared" ca="1" si="238"/>
        <v>8.9243069926017604E-2</v>
      </c>
      <c r="P496" s="7">
        <f t="shared" ca="1" si="238"/>
        <v>4.8996239692415067E-2</v>
      </c>
      <c r="Q496" s="7">
        <f t="shared" ca="1" si="238"/>
        <v>7.9154598670765353E-3</v>
      </c>
      <c r="R496" s="7">
        <f t="shared" ca="1" si="238"/>
        <v>-1.0505486393373786E-2</v>
      </c>
      <c r="S496" s="7">
        <f t="shared" ca="1" si="238"/>
        <v>-3.0764388317434666E-2</v>
      </c>
      <c r="T496" s="7">
        <f t="shared" ca="1" si="238"/>
        <v>-5.2899088598053368E-2</v>
      </c>
    </row>
    <row r="497" spans="1:20" x14ac:dyDescent="0.2">
      <c r="A497" s="1" t="s">
        <v>210</v>
      </c>
      <c r="K497" s="7">
        <f t="shared" ref="K497:T497" ca="1" si="239">K$379-J$379</f>
        <v>2.7039400508850564E-2</v>
      </c>
      <c r="L497" s="7">
        <f t="shared" ca="1" si="239"/>
        <v>2.7803555659146051E-2</v>
      </c>
      <c r="M497" s="7">
        <f t="shared" ca="1" si="239"/>
        <v>2.7891611402057315E-2</v>
      </c>
      <c r="N497" s="7">
        <f t="shared" ca="1" si="239"/>
        <v>2.7947472583887301E-2</v>
      </c>
      <c r="O497" s="7">
        <f t="shared" ca="1" si="239"/>
        <v>2.7660341499023633E-2</v>
      </c>
      <c r="P497" s="7">
        <f t="shared" ca="1" si="239"/>
        <v>2.7314393287512728E-2</v>
      </c>
      <c r="Q497" s="7">
        <f t="shared" ca="1" si="239"/>
        <v>2.8224671860901385E-2</v>
      </c>
      <c r="R497" s="7">
        <f t="shared" ca="1" si="239"/>
        <v>2.9103477489380247E-2</v>
      </c>
      <c r="S497" s="7">
        <f t="shared" ca="1" si="239"/>
        <v>3.0114390950829573E-2</v>
      </c>
      <c r="T497" s="7">
        <f t="shared" ca="1" si="239"/>
        <v>3.1078537680730323E-2</v>
      </c>
    </row>
    <row r="498" spans="1:20" x14ac:dyDescent="0.2">
      <c r="A498" s="1" t="s">
        <v>211</v>
      </c>
      <c r="K498" s="7">
        <f t="shared" ref="K498:T498" ca="1" si="240">K$383-J$383</f>
        <v>6.657824718016836E-2</v>
      </c>
      <c r="L498" s="7">
        <f t="shared" ca="1" si="240"/>
        <v>6.8514844912935358E-2</v>
      </c>
      <c r="M498" s="7">
        <f t="shared" ca="1" si="240"/>
        <v>6.8785648509751107E-2</v>
      </c>
      <c r="N498" s="7">
        <f t="shared" ca="1" si="240"/>
        <v>6.898547102207675E-2</v>
      </c>
      <c r="O498" s="7">
        <f t="shared" ca="1" si="240"/>
        <v>6.8346138303023718E-2</v>
      </c>
      <c r="P498" s="7">
        <f t="shared" ca="1" si="240"/>
        <v>6.7571486443370077E-2</v>
      </c>
      <c r="Q498" s="7">
        <f t="shared" ca="1" si="240"/>
        <v>6.9823371580776561E-2</v>
      </c>
      <c r="R498" s="7">
        <f t="shared" ca="1" si="240"/>
        <v>7.199739763312385E-2</v>
      </c>
      <c r="S498" s="7">
        <f t="shared" ca="1" si="240"/>
        <v>7.4498237557947489E-2</v>
      </c>
      <c r="T498" s="7">
        <f t="shared" ca="1" si="240"/>
        <v>7.6883383989836185E-2</v>
      </c>
    </row>
    <row r="499" spans="1:20" x14ac:dyDescent="0.2">
      <c r="A499" s="1" t="s">
        <v>724</v>
      </c>
      <c r="K499" s="7">
        <f ca="1">K$436-J$436</f>
        <v>3.2564614158491489E-2</v>
      </c>
      <c r="L499" s="7">
        <f t="shared" ref="L499:T499" ca="1" si="241">L$436-K$436</f>
        <v>3.1800852772836508E-2</v>
      </c>
      <c r="M499" s="7">
        <f t="shared" ca="1" si="241"/>
        <v>3.0255155744693119E-2</v>
      </c>
      <c r="N499" s="7">
        <f t="shared" ca="1" si="241"/>
        <v>2.8417033000923797E-2</v>
      </c>
      <c r="O499" s="7">
        <f t="shared" ca="1" si="241"/>
        <v>2.6001117623255632E-2</v>
      </c>
      <c r="P499" s="7">
        <f t="shared" ca="1" si="241"/>
        <v>2.3223576275600899E-2</v>
      </c>
      <c r="Q499" s="7">
        <f t="shared" ca="1" si="241"/>
        <v>2.3997524415638738E-2</v>
      </c>
      <c r="R499" s="7">
        <f t="shared" ca="1" si="241"/>
        <v>2.4744713244970629E-2</v>
      </c>
      <c r="S499" s="7">
        <f t="shared" ca="1" si="241"/>
        <v>2.5604224405730514E-2</v>
      </c>
      <c r="T499" s="7">
        <f t="shared" ca="1" si="241"/>
        <v>2.6423972986159616E-2</v>
      </c>
    </row>
    <row r="500" spans="1:20" x14ac:dyDescent="0.2">
      <c r="A500" s="1" t="s">
        <v>725</v>
      </c>
      <c r="K500" s="7">
        <f ca="1">SUM(K$432-J$432,K$451-J$451)</f>
        <v>0.7207782521840409</v>
      </c>
      <c r="L500" s="7">
        <f t="shared" ref="L500:T500" ca="1" si="242">SUM(L$432-K$432,L$451-K$451)</f>
        <v>0.79933271748309664</v>
      </c>
      <c r="M500" s="7">
        <f t="shared" ca="1" si="242"/>
        <v>0.80289203957850308</v>
      </c>
      <c r="N500" s="7">
        <f t="shared" ca="1" si="242"/>
        <v>0.8101330733723664</v>
      </c>
      <c r="O500" s="7">
        <f t="shared" ca="1" si="242"/>
        <v>0.81394465459108112</v>
      </c>
      <c r="P500" s="7">
        <f t="shared" ca="1" si="242"/>
        <v>0.81475798875128902</v>
      </c>
      <c r="Q500" s="7">
        <f t="shared" ca="1" si="242"/>
        <v>0.8486192428449888</v>
      </c>
      <c r="R500" s="7">
        <f t="shared" ca="1" si="242"/>
        <v>0.88160043573802227</v>
      </c>
      <c r="S500" s="7">
        <f t="shared" ca="1" si="242"/>
        <v>0.91587090811550009</v>
      </c>
      <c r="T500" s="7">
        <f t="shared" ca="1" si="242"/>
        <v>0.9494328422336169</v>
      </c>
    </row>
    <row r="501" spans="1:20" ht="15" x14ac:dyDescent="0.25">
      <c r="A501" s="2" t="s">
        <v>214</v>
      </c>
      <c r="K501" s="38">
        <f ca="1">SUM(K$495:K$498,-K$499,-K$500)</f>
        <v>0.47507509082732202</v>
      </c>
      <c r="L501" s="38">
        <f t="shared" ref="L501:T501" ca="1" si="243">SUM(L$495:L$498,-L$499,-L$500)</f>
        <v>0.41136382536707616</v>
      </c>
      <c r="M501" s="38">
        <f t="shared" ca="1" si="243"/>
        <v>0.42230186914862622</v>
      </c>
      <c r="N501" s="38">
        <f t="shared" ca="1" si="243"/>
        <v>0.43024730085340757</v>
      </c>
      <c r="O501" s="38">
        <f t="shared" ca="1" si="243"/>
        <v>0.44219343132380562</v>
      </c>
      <c r="P501" s="38">
        <f t="shared" ca="1" si="243"/>
        <v>0.45842079191255802</v>
      </c>
      <c r="Q501" s="38">
        <f t="shared" ca="1" si="243"/>
        <v>0.44220502203062795</v>
      </c>
      <c r="R501" s="38">
        <f t="shared" ca="1" si="243"/>
        <v>0.44929859929341287</v>
      </c>
      <c r="S501" s="38">
        <f t="shared" ca="1" si="243"/>
        <v>0.45485162317765271</v>
      </c>
      <c r="T501" s="38">
        <f t="shared" ca="1" si="243"/>
        <v>0.46031648769433486</v>
      </c>
    </row>
    <row r="502" spans="1:20" ht="15" x14ac:dyDescent="0.25">
      <c r="A502" s="2" t="s">
        <v>1342</v>
      </c>
      <c r="K502" s="28">
        <f ca="1">SUM(K$487,K$488,K$494,K$501)</f>
        <v>11.939742927048385</v>
      </c>
      <c r="L502" s="28">
        <f t="shared" ref="L502:T502" ca="1" si="244">SUM(L$487,L$488,L$494,L$501)</f>
        <v>13.389752309464631</v>
      </c>
      <c r="M502" s="28">
        <f t="shared" ca="1" si="244"/>
        <v>14.76853345757042</v>
      </c>
      <c r="N502" s="28">
        <f t="shared" ca="1" si="244"/>
        <v>16.097489193964485</v>
      </c>
      <c r="O502" s="28">
        <f t="shared" ca="1" si="244"/>
        <v>17.373747253781612</v>
      </c>
      <c r="P502" s="28">
        <f t="shared" ca="1" si="244"/>
        <v>18.651098004058483</v>
      </c>
      <c r="Q502" s="28">
        <f t="shared" ca="1" si="244"/>
        <v>19.844545913180593</v>
      </c>
      <c r="R502" s="28">
        <f t="shared" ca="1" si="244"/>
        <v>20.914695976333114</v>
      </c>
      <c r="S502" s="28">
        <f t="shared" ca="1" si="244"/>
        <v>21.972356625710741</v>
      </c>
      <c r="T502" s="28">
        <f t="shared" ca="1" si="244"/>
        <v>22.960868575273103</v>
      </c>
    </row>
    <row r="503" spans="1:20" ht="15" x14ac:dyDescent="0.25">
      <c r="A503" s="27" t="s">
        <v>700</v>
      </c>
      <c r="B503" s="4" t="str">
        <f>$B$59</f>
        <v>Projected Years only</v>
      </c>
      <c r="K503" s="6" t="str">
        <f t="shared" ref="K503:T503" ca="1" si="245">IF(ROUND(SUM(K$47,-K$502),3)=0,"OK","ERROR")</f>
        <v>OK</v>
      </c>
      <c r="L503" s="6" t="str">
        <f t="shared" ca="1" si="245"/>
        <v>OK</v>
      </c>
      <c r="M503" s="6" t="str">
        <f t="shared" ca="1" si="245"/>
        <v>OK</v>
      </c>
      <c r="N503" s="6" t="str">
        <f t="shared" ca="1" si="245"/>
        <v>OK</v>
      </c>
      <c r="O503" s="6" t="str">
        <f t="shared" ca="1" si="245"/>
        <v>OK</v>
      </c>
      <c r="P503" s="6" t="str">
        <f t="shared" ca="1" si="245"/>
        <v>OK</v>
      </c>
      <c r="Q503" s="6" t="str">
        <f t="shared" ca="1" si="245"/>
        <v>OK</v>
      </c>
      <c r="R503" s="6" t="str">
        <f t="shared" ca="1" si="245"/>
        <v>OK</v>
      </c>
      <c r="S503" s="6" t="str">
        <f t="shared" ca="1" si="245"/>
        <v>OK</v>
      </c>
      <c r="T503" s="6" t="str">
        <f t="shared" ca="1" si="245"/>
        <v>OK</v>
      </c>
    </row>
    <row r="504" spans="1:20" ht="15" x14ac:dyDescent="0.25">
      <c r="A504" s="27"/>
      <c r="B504" s="4"/>
      <c r="K504" s="6"/>
      <c r="L504" s="6"/>
      <c r="M504" s="6"/>
      <c r="N504" s="6"/>
      <c r="O504" s="6"/>
      <c r="P504" s="6"/>
      <c r="Q504" s="6"/>
      <c r="R504" s="6"/>
      <c r="S504" s="6"/>
      <c r="T504" s="6"/>
    </row>
    <row r="505" spans="1:20" ht="15" x14ac:dyDescent="0.25">
      <c r="A505" s="27" t="s">
        <v>1349</v>
      </c>
      <c r="B505" s="4"/>
      <c r="K505" s="6"/>
      <c r="L505" s="6"/>
      <c r="M505" s="6"/>
      <c r="N505" s="6"/>
      <c r="O505" s="6"/>
      <c r="P505" s="6"/>
      <c r="Q505" s="6"/>
      <c r="R505" s="6"/>
      <c r="S505" s="6"/>
      <c r="T505" s="6"/>
    </row>
    <row r="506" spans="1:20" x14ac:dyDescent="0.2">
      <c r="A506" s="1" t="s">
        <v>1350</v>
      </c>
      <c r="B506" s="4" t="str">
        <f>$B$38</f>
        <v>From Fiscal</v>
      </c>
      <c r="D506" s="15">
        <f>'Fiscal Forecasts'!D$140</f>
        <v>95.649000000000001</v>
      </c>
      <c r="E506" s="15">
        <f>'Fiscal Forecasts'!E$140</f>
        <v>95.037000000000006</v>
      </c>
      <c r="F506" s="16">
        <f>'Fiscal Forecasts'!F$140</f>
        <v>94.478999999999999</v>
      </c>
      <c r="G506" s="16">
        <f>'Fiscal Forecasts'!G$140</f>
        <v>91.134</v>
      </c>
      <c r="H506" s="16">
        <f>'Fiscal Forecasts'!H$140</f>
        <v>91.754000000000005</v>
      </c>
      <c r="I506" s="16">
        <f>'Fiscal Forecasts'!I$140</f>
        <v>91.415999999999997</v>
      </c>
      <c r="J506" s="16">
        <f>'Fiscal Forecasts'!J$140</f>
        <v>86.225999999999999</v>
      </c>
      <c r="K506" s="7">
        <f ca="1">SUM(J$506,K$484)</f>
        <v>84.372753988040486</v>
      </c>
      <c r="L506" s="7">
        <f t="shared" ref="L506:T506" ca="1" si="246">SUM(K$506,L$484)</f>
        <v>83.034925753418108</v>
      </c>
      <c r="M506" s="7">
        <f t="shared" ca="1" si="246"/>
        <v>81.367424542687957</v>
      </c>
      <c r="N506" s="7">
        <f t="shared" ca="1" si="246"/>
        <v>79.42400306032664</v>
      </c>
      <c r="O506" s="7">
        <f t="shared" ca="1" si="246"/>
        <v>77.170697722010487</v>
      </c>
      <c r="P506" s="7">
        <f t="shared" ca="1" si="246"/>
        <v>74.751579236460856</v>
      </c>
      <c r="Q506" s="7">
        <f t="shared" ca="1" si="246"/>
        <v>72.629044261442985</v>
      </c>
      <c r="R506" s="7">
        <f t="shared" ca="1" si="246"/>
        <v>71.222334530234718</v>
      </c>
      <c r="S506" s="7">
        <f t="shared" ca="1" si="246"/>
        <v>70.922538751361799</v>
      </c>
      <c r="T506" s="7">
        <f t="shared" ca="1" si="246"/>
        <v>72.206093910711047</v>
      </c>
    </row>
    <row r="507" spans="1:20" x14ac:dyDescent="0.2">
      <c r="A507" s="1" t="s">
        <v>1351</v>
      </c>
      <c r="B507" s="4" t="str">
        <f>$B$38</f>
        <v>From Fiscal</v>
      </c>
      <c r="D507" s="15">
        <f>-'Fiscal Forecasts'!D$363</f>
        <v>3.9220000000000002</v>
      </c>
      <c r="E507" s="15">
        <f>-'Fiscal Forecasts'!E$363</f>
        <v>3.6040000000000001</v>
      </c>
      <c r="F507" s="16">
        <f>-'Fiscal Forecasts'!F$363</f>
        <v>3.5270000000000001</v>
      </c>
      <c r="G507" s="16">
        <f>-'Fiscal Forecasts'!G$363</f>
        <v>3.4609999999999999</v>
      </c>
      <c r="H507" s="16">
        <f>-'Fiscal Forecasts'!H$363</f>
        <v>3.3149999999999999</v>
      </c>
      <c r="I507" s="16">
        <f>-'Fiscal Forecasts'!I$363</f>
        <v>3.2589999999999999</v>
      </c>
      <c r="J507" s="16">
        <f>-'Fiscal Forecasts'!J$363</f>
        <v>3.306</v>
      </c>
      <c r="K507" s="7">
        <f ca="1">(2*J$506-SUM(K$455,K$456,K$457,K$458,K$469,K$475)+SUM(K$459,K$460,K$462,K$474,K$317-J$317))/(2/K$208-1)</f>
        <v>3.4531588711760777</v>
      </c>
      <c r="L507" s="7">
        <f t="shared" ref="L507:T507" ca="1" si="247">(2*K$506-SUM(L$455,L$456,L$457,L$458,L$469,L$475)+SUM(L$459,L$460,L$462,L$474,L$317-K$317))/(2/L$208-1)</f>
        <v>3.567947858792123</v>
      </c>
      <c r="M507" s="7">
        <f t="shared" ca="1" si="247"/>
        <v>3.6732939070400086</v>
      </c>
      <c r="N507" s="7">
        <f t="shared" ca="1" si="247"/>
        <v>3.7581684292462278</v>
      </c>
      <c r="O507" s="7">
        <f t="shared" ca="1" si="247"/>
        <v>3.8212596628725728</v>
      </c>
      <c r="P507" s="7">
        <f t="shared" ca="1" si="247"/>
        <v>3.8636015667847383</v>
      </c>
      <c r="Q507" s="7">
        <f t="shared" ca="1" si="247"/>
        <v>3.8998048919960762</v>
      </c>
      <c r="R507" s="7">
        <f t="shared" ca="1" si="247"/>
        <v>3.8063473280988616</v>
      </c>
      <c r="S507" s="7">
        <f t="shared" ca="1" si="247"/>
        <v>3.7611955511959105</v>
      </c>
      <c r="T507" s="7">
        <f t="shared" ca="1" si="247"/>
        <v>3.7872944973382001</v>
      </c>
    </row>
    <row r="508" spans="1:20" x14ac:dyDescent="0.2">
      <c r="A508" s="1" t="str">
        <f ca="1">CONCATENATE("Core Crown borrowings with ",100*OFFSET(Assumptions!$B$27,0,$C$1),"% of GDP floor for Gross sovereign-issued debt (GSID)")</f>
        <v>Core Crown borrowings with 20% of GDP floor for Gross sovereign-issued debt (GSID)</v>
      </c>
      <c r="B508" s="4"/>
      <c r="D508" s="15">
        <f>D$506</f>
        <v>95.649000000000001</v>
      </c>
      <c r="E508" s="15">
        <f t="shared" ref="E508:J508" si="248">E$506</f>
        <v>95.037000000000006</v>
      </c>
      <c r="F508" s="16">
        <f t="shared" si="248"/>
        <v>94.478999999999999</v>
      </c>
      <c r="G508" s="16">
        <f t="shared" si="248"/>
        <v>91.134</v>
      </c>
      <c r="H508" s="16">
        <f t="shared" si="248"/>
        <v>91.754000000000005</v>
      </c>
      <c r="I508" s="16">
        <f t="shared" si="248"/>
        <v>91.415999999999997</v>
      </c>
      <c r="J508" s="16">
        <f t="shared" si="248"/>
        <v>86.225999999999999</v>
      </c>
      <c r="K508" s="7">
        <f ca="1">MAX(K$506,SUM(K$70,OFFSET(Assumptions!$B$27,0,$C$1)*K$13))</f>
        <v>84.372753988040486</v>
      </c>
      <c r="L508" s="7">
        <f ca="1">MAX(L$506,SUM(L$70,OFFSET(Assumptions!$B$27,0,$C$1)*L$13))</f>
        <v>83.034925753418108</v>
      </c>
      <c r="M508" s="7">
        <f ca="1">MAX(M$506,SUM(M$70,OFFSET(Assumptions!$B$27,0,$C$1)*M$13))</f>
        <v>81.367424542687957</v>
      </c>
      <c r="N508" s="7">
        <f ca="1">MAX(N$506,SUM(N$70,OFFSET(Assumptions!$B$27,0,$C$1)*N$13))</f>
        <v>79.42400306032664</v>
      </c>
      <c r="O508" s="7">
        <f ca="1">MAX(O$506,SUM(O$70,OFFSET(Assumptions!$B$27,0,$C$1)*O$13))</f>
        <v>82.822829068108533</v>
      </c>
      <c r="P508" s="7">
        <f ca="1">MAX(P$506,SUM(P$70,OFFSET(Assumptions!$B$27,0,$C$1)*P$13))</f>
        <v>86.472461404129902</v>
      </c>
      <c r="Q508" s="7">
        <f ca="1">MAX(Q$506,SUM(Q$70,OFFSET(Assumptions!$B$27,0,$C$1)*Q$13))</f>
        <v>90.237635486787397</v>
      </c>
      <c r="R508" s="7">
        <f ca="1">MAX(R$506,SUM(R$70,OFFSET(Assumptions!$B$27,0,$C$1)*R$13))</f>
        <v>94.110705041253198</v>
      </c>
      <c r="S508" s="7">
        <f ca="1">MAX(S$506,SUM(S$70,OFFSET(Assumptions!$B$27,0,$C$1)*S$13))</f>
        <v>98.108151391056708</v>
      </c>
      <c r="T508" s="7">
        <f ca="1">MAX(T$506,SUM(T$70,OFFSET(Assumptions!$B$27,0,$C$1)*T$13))</f>
        <v>102.22565571359536</v>
      </c>
    </row>
    <row r="509" spans="1:20" x14ac:dyDescent="0.2">
      <c r="A509" s="1" t="str">
        <f ca="1">CONCATENATE("Financial asset generated by GSID having ",100*OFFSET(Assumptions!$B$27,0,$C$1),"% of GDP floor")</f>
        <v>Financial asset generated by GSID having 20% of GDP floor</v>
      </c>
      <c r="B509" s="4"/>
      <c r="D509" s="15">
        <f>SUM(D$508,-D$506)</f>
        <v>0</v>
      </c>
      <c r="E509" s="15">
        <f t="shared" ref="E509:T509" si="249">SUM(E$508,-E$506)</f>
        <v>0</v>
      </c>
      <c r="F509" s="16">
        <f t="shared" si="249"/>
        <v>0</v>
      </c>
      <c r="G509" s="16">
        <f t="shared" si="249"/>
        <v>0</v>
      </c>
      <c r="H509" s="16">
        <f t="shared" si="249"/>
        <v>0</v>
      </c>
      <c r="I509" s="16">
        <f t="shared" si="249"/>
        <v>0</v>
      </c>
      <c r="J509" s="16">
        <f t="shared" si="249"/>
        <v>0</v>
      </c>
      <c r="K509" s="7">
        <f t="shared" ca="1" si="249"/>
        <v>0</v>
      </c>
      <c r="L509" s="7">
        <f t="shared" ca="1" si="249"/>
        <v>0</v>
      </c>
      <c r="M509" s="7">
        <f t="shared" ca="1" si="249"/>
        <v>0</v>
      </c>
      <c r="N509" s="7">
        <f t="shared" ca="1" si="249"/>
        <v>0</v>
      </c>
      <c r="O509" s="7">
        <f t="shared" ca="1" si="249"/>
        <v>5.6521313460980451</v>
      </c>
      <c r="P509" s="7">
        <f t="shared" ca="1" si="249"/>
        <v>11.720882167669046</v>
      </c>
      <c r="Q509" s="7">
        <f t="shared" ca="1" si="249"/>
        <v>17.608591225344412</v>
      </c>
      <c r="R509" s="7">
        <f t="shared" ca="1" si="249"/>
        <v>22.888370511018479</v>
      </c>
      <c r="S509" s="7">
        <f t="shared" ca="1" si="249"/>
        <v>27.185612639694909</v>
      </c>
      <c r="T509" s="7">
        <f t="shared" ca="1" si="249"/>
        <v>30.019561802884311</v>
      </c>
    </row>
    <row r="510" spans="1:20" x14ac:dyDescent="0.2">
      <c r="A510" s="1" t="str">
        <f ca="1">CONCATENATE("Core Crown interest payments with ",100*OFFSET(Assumptions!$B$27,0,$C$1),"% of GDP floor for GSID")</f>
        <v>Core Crown interest payments with 20% of GDP floor for GSID</v>
      </c>
      <c r="D510" s="15">
        <f>D$507*D$508/SUM(D$508,-D$509)</f>
        <v>3.9220000000000002</v>
      </c>
      <c r="E510" s="15">
        <f t="shared" ref="E510:T510" si="250">E$507*E$508/SUM(E$508,-E$509)</f>
        <v>3.6039999999999996</v>
      </c>
      <c r="F510" s="16">
        <f t="shared" si="250"/>
        <v>3.5270000000000001</v>
      </c>
      <c r="G510" s="16">
        <f t="shared" si="250"/>
        <v>3.4609999999999994</v>
      </c>
      <c r="H510" s="16">
        <f t="shared" si="250"/>
        <v>3.3149999999999999</v>
      </c>
      <c r="I510" s="16">
        <f t="shared" si="250"/>
        <v>3.2589999999999999</v>
      </c>
      <c r="J510" s="16">
        <f t="shared" si="250"/>
        <v>3.306</v>
      </c>
      <c r="K510" s="7">
        <f t="shared" ca="1" si="250"/>
        <v>3.4531588711760781</v>
      </c>
      <c r="L510" s="7">
        <f t="shared" ca="1" si="250"/>
        <v>3.5679478587921234</v>
      </c>
      <c r="M510" s="7">
        <f t="shared" ca="1" si="250"/>
        <v>3.6732939070400086</v>
      </c>
      <c r="N510" s="7">
        <f t="shared" ca="1" si="250"/>
        <v>3.7581684292462278</v>
      </c>
      <c r="O510" s="7">
        <f t="shared" ca="1" si="250"/>
        <v>4.1011361206429147</v>
      </c>
      <c r="P510" s="7">
        <f t="shared" ca="1" si="250"/>
        <v>4.4694057406852847</v>
      </c>
      <c r="Q510" s="7">
        <f t="shared" ca="1" si="250"/>
        <v>4.8452953758659376</v>
      </c>
      <c r="R510" s="7">
        <f t="shared" ca="1" si="250"/>
        <v>5.0295744030576026</v>
      </c>
      <c r="S510" s="7">
        <f t="shared" ca="1" si="250"/>
        <v>5.2029150259516346</v>
      </c>
      <c r="T510" s="7">
        <f t="shared" ca="1" si="250"/>
        <v>5.3618557991745615</v>
      </c>
    </row>
    <row r="511" spans="1:20" x14ac:dyDescent="0.2">
      <c r="A511" s="1" t="str">
        <f ca="1">CONCATENATE("Core Crown interest receipts with ",100*OFFSET(Assumptions!$B$27,0,$C$1),"% of GDP floor for GSID")</f>
        <v>Core Crown interest receipts with 20% of GDP floor for GSID</v>
      </c>
      <c r="D511" s="15">
        <f>D$507*D$509/SUM(D$508,-D$509)</f>
        <v>0</v>
      </c>
      <c r="E511" s="15">
        <f t="shared" ref="E511:T511" si="251">E$507*E$509/SUM(E$508,-E$509)</f>
        <v>0</v>
      </c>
      <c r="F511" s="16">
        <f t="shared" si="251"/>
        <v>0</v>
      </c>
      <c r="G511" s="16">
        <f t="shared" si="251"/>
        <v>0</v>
      </c>
      <c r="H511" s="16">
        <f t="shared" si="251"/>
        <v>0</v>
      </c>
      <c r="I511" s="16">
        <f t="shared" si="251"/>
        <v>0</v>
      </c>
      <c r="J511" s="16">
        <f t="shared" si="251"/>
        <v>0</v>
      </c>
      <c r="K511" s="7">
        <f t="shared" ca="1" si="251"/>
        <v>0</v>
      </c>
      <c r="L511" s="7">
        <f t="shared" ca="1" si="251"/>
        <v>0</v>
      </c>
      <c r="M511" s="7">
        <f t="shared" ca="1" si="251"/>
        <v>0</v>
      </c>
      <c r="N511" s="7">
        <f t="shared" ca="1" si="251"/>
        <v>0</v>
      </c>
      <c r="O511" s="7">
        <f t="shared" ca="1" si="251"/>
        <v>0.27987645777034226</v>
      </c>
      <c r="P511" s="7">
        <f t="shared" ca="1" si="251"/>
        <v>0.60580417390054675</v>
      </c>
      <c r="Q511" s="7">
        <f t="shared" ca="1" si="251"/>
        <v>0.94549048386986168</v>
      </c>
      <c r="R511" s="7">
        <f t="shared" ca="1" si="251"/>
        <v>1.2232270749587411</v>
      </c>
      <c r="S511" s="7">
        <f t="shared" ca="1" si="251"/>
        <v>1.4417194747557238</v>
      </c>
      <c r="T511" s="7">
        <f t="shared" ca="1" si="251"/>
        <v>1.5745613018363616</v>
      </c>
    </row>
    <row r="513" spans="1:20" x14ac:dyDescent="0.2">
      <c r="A513" s="1" t="s">
        <v>1352</v>
      </c>
      <c r="B513" s="4" t="str">
        <f>$B$38</f>
        <v>From Fiscal</v>
      </c>
      <c r="D513" s="15">
        <f>'Fiscal Forecasts'!D$131</f>
        <v>112.58</v>
      </c>
      <c r="E513" s="15">
        <f>'Fiscal Forecasts'!E$131</f>
        <v>113.956</v>
      </c>
      <c r="F513" s="16">
        <f>'Fiscal Forecasts'!F$131</f>
        <v>112.962</v>
      </c>
      <c r="G513" s="16">
        <f>'Fiscal Forecasts'!G$131</f>
        <v>110.59399999999999</v>
      </c>
      <c r="H513" s="16">
        <f>'Fiscal Forecasts'!H$131</f>
        <v>113.185</v>
      </c>
      <c r="I513" s="16">
        <f>'Fiscal Forecasts'!I$131</f>
        <v>113.94</v>
      </c>
      <c r="J513" s="16">
        <f>'Fiscal Forecasts'!J$131</f>
        <v>109.46599999999999</v>
      </c>
      <c r="K513" s="7">
        <f ca="1">SUM(J$513,K$100)</f>
        <v>107.77562742820098</v>
      </c>
      <c r="L513" s="7">
        <f t="shared" ref="L513:T513" ca="1" si="252">SUM(K$513,L$100)</f>
        <v>107.35980477831401</v>
      </c>
      <c r="M513" s="7">
        <f t="shared" ca="1" si="252"/>
        <v>106.69411526972127</v>
      </c>
      <c r="N513" s="7">
        <f t="shared" ca="1" si="252"/>
        <v>105.77724777720067</v>
      </c>
      <c r="O513" s="7">
        <f t="shared" ca="1" si="252"/>
        <v>104.71324828697119</v>
      </c>
      <c r="P513" s="7">
        <f t="shared" ca="1" si="252"/>
        <v>103.51504913507036</v>
      </c>
      <c r="Q513" s="7">
        <f t="shared" ca="1" si="252"/>
        <v>102.66623248626176</v>
      </c>
      <c r="R513" s="7">
        <f t="shared" ca="1" si="252"/>
        <v>102.55746772516187</v>
      </c>
      <c r="S513" s="7">
        <f t="shared" ca="1" si="252"/>
        <v>103.55805198158313</v>
      </c>
      <c r="T513" s="7">
        <f t="shared" ca="1" si="252"/>
        <v>106.12880451000589</v>
      </c>
    </row>
    <row r="514" spans="1:20" x14ac:dyDescent="0.2">
      <c r="A514" s="1" t="s">
        <v>1353</v>
      </c>
      <c r="B514" s="4" t="str">
        <f>$B$38</f>
        <v>From Fiscal</v>
      </c>
      <c r="D514" s="15">
        <f>'Fiscal Forecasts'!D$78</f>
        <v>4.5979999999999999</v>
      </c>
      <c r="E514" s="15">
        <f>'Fiscal Forecasts'!E$78</f>
        <v>4.3330000000000002</v>
      </c>
      <c r="F514" s="16">
        <f>'Fiscal Forecasts'!F$78</f>
        <v>4.218</v>
      </c>
      <c r="G514" s="16">
        <f>'Fiscal Forecasts'!G$78</f>
        <v>4.09</v>
      </c>
      <c r="H514" s="16">
        <f>'Fiscal Forecasts'!H$78</f>
        <v>4.077</v>
      </c>
      <c r="I514" s="16">
        <f>'Fiscal Forecasts'!I$78</f>
        <v>4.0860000000000003</v>
      </c>
      <c r="J514" s="16">
        <f>'Fiscal Forecasts'!J$78</f>
        <v>4.1459999999999999</v>
      </c>
      <c r="K514" s="7">
        <f ca="1">(2*J$513-SUM(K$85,K$98,K$99)+SUM(K$86,K$87,K$89,K$101,K$319-J$319))/(2/K$208-1)</f>
        <v>4.4115048236214838</v>
      </c>
      <c r="L514" s="7">
        <f t="shared" ref="L514:T514" ca="1" si="253">(2*K$513-SUM(L$85,L$98,L$99)+SUM(L$86,L$87,L$89,L$101,L$319-K$319))/(2/L$208-1)</f>
        <v>4.5907935921854977</v>
      </c>
      <c r="M514" s="7">
        <f t="shared" ca="1" si="253"/>
        <v>4.7886578648221469</v>
      </c>
      <c r="N514" s="7">
        <f t="shared" ca="1" si="253"/>
        <v>4.9725633223018368</v>
      </c>
      <c r="O514" s="7">
        <f t="shared" ca="1" si="253"/>
        <v>5.1434688466853382</v>
      </c>
      <c r="P514" s="7">
        <f t="shared" ca="1" si="253"/>
        <v>5.3031202344891346</v>
      </c>
      <c r="Q514" s="7">
        <f t="shared" ca="1" si="253"/>
        <v>5.4638039629653008</v>
      </c>
      <c r="R514" s="7">
        <f t="shared" ca="1" si="253"/>
        <v>5.438428055602726</v>
      </c>
      <c r="S514" s="7">
        <f t="shared" ca="1" si="253"/>
        <v>5.462061272228742</v>
      </c>
      <c r="T514" s="7">
        <f t="shared" ca="1" si="253"/>
        <v>5.5567016970271093</v>
      </c>
    </row>
    <row r="515" spans="1:20" x14ac:dyDescent="0.2">
      <c r="A515" s="1" t="str">
        <f ca="1">CONCATENATE("Total Crown borrowings with ",100*OFFSET(Assumptions!$B$27,0,$C$1),"% of GDP floor for Gross sovereign-issued debt (GSID)")</f>
        <v>Total Crown borrowings with 20% of GDP floor for Gross sovereign-issued debt (GSID)</v>
      </c>
      <c r="D515" s="15">
        <f>D$513</f>
        <v>112.58</v>
      </c>
      <c r="E515" s="15">
        <f t="shared" ref="E515:J515" si="254">E$513</f>
        <v>113.956</v>
      </c>
      <c r="F515" s="16">
        <f t="shared" si="254"/>
        <v>112.962</v>
      </c>
      <c r="G515" s="16">
        <f t="shared" si="254"/>
        <v>110.59399999999999</v>
      </c>
      <c r="H515" s="16">
        <f t="shared" si="254"/>
        <v>113.185</v>
      </c>
      <c r="I515" s="16">
        <f t="shared" si="254"/>
        <v>113.94</v>
      </c>
      <c r="J515" s="16">
        <f t="shared" si="254"/>
        <v>109.46599999999999</v>
      </c>
      <c r="K515" s="7">
        <f ca="1">SUM(K$513,K$508-K$506)</f>
        <v>107.77562742820098</v>
      </c>
      <c r="L515" s="7">
        <f t="shared" ref="L515:T515" ca="1" si="255">SUM(L$513,L$508-L$506)</f>
        <v>107.35980477831401</v>
      </c>
      <c r="M515" s="7">
        <f t="shared" ca="1" si="255"/>
        <v>106.69411526972127</v>
      </c>
      <c r="N515" s="7">
        <f t="shared" ca="1" si="255"/>
        <v>105.77724777720067</v>
      </c>
      <c r="O515" s="7">
        <f t="shared" ca="1" si="255"/>
        <v>110.36537963306924</v>
      </c>
      <c r="P515" s="7">
        <f t="shared" ca="1" si="255"/>
        <v>115.2359313027394</v>
      </c>
      <c r="Q515" s="7">
        <f t="shared" ca="1" si="255"/>
        <v>120.27482371160617</v>
      </c>
      <c r="R515" s="7">
        <f t="shared" ca="1" si="255"/>
        <v>125.44583823618035</v>
      </c>
      <c r="S515" s="7">
        <f t="shared" ca="1" si="255"/>
        <v>130.74366462127804</v>
      </c>
      <c r="T515" s="7">
        <f t="shared" ca="1" si="255"/>
        <v>136.1483663128902</v>
      </c>
    </row>
    <row r="516" spans="1:20" x14ac:dyDescent="0.2">
      <c r="A516" s="1" t="str">
        <f ca="1">CONCATENATE("Total Crown interest payments with ",100*OFFSET(Assumptions!$B$27,0,$C$1),"% of GDP floor for GSID")</f>
        <v>Total Crown interest payments with 20% of GDP floor for GSID</v>
      </c>
      <c r="D516" s="15">
        <f>D$514*D$515/SUM(D$515,-D$509)</f>
        <v>4.5979999999999999</v>
      </c>
      <c r="E516" s="15">
        <f t="shared" ref="E516:T516" si="256">E$514*E$515/SUM(E$515,-E$509)</f>
        <v>4.3330000000000002</v>
      </c>
      <c r="F516" s="16">
        <f t="shared" si="256"/>
        <v>4.218</v>
      </c>
      <c r="G516" s="16">
        <f t="shared" si="256"/>
        <v>4.09</v>
      </c>
      <c r="H516" s="16">
        <f t="shared" si="256"/>
        <v>4.077</v>
      </c>
      <c r="I516" s="16">
        <f t="shared" si="256"/>
        <v>4.0860000000000003</v>
      </c>
      <c r="J516" s="16">
        <f t="shared" si="256"/>
        <v>4.1459999999999999</v>
      </c>
      <c r="K516" s="7">
        <f t="shared" ca="1" si="256"/>
        <v>4.4115048236214838</v>
      </c>
      <c r="L516" s="7">
        <f t="shared" ca="1" si="256"/>
        <v>4.5907935921854977</v>
      </c>
      <c r="M516" s="7">
        <f t="shared" ca="1" si="256"/>
        <v>4.7886578648221469</v>
      </c>
      <c r="N516" s="7">
        <f t="shared" ca="1" si="256"/>
        <v>4.9725633223018368</v>
      </c>
      <c r="O516" s="7">
        <f t="shared" ca="1" si="256"/>
        <v>5.4210990603556954</v>
      </c>
      <c r="P516" s="7">
        <f t="shared" ca="1" si="256"/>
        <v>5.9035860402708957</v>
      </c>
      <c r="Q516" s="7">
        <f t="shared" ca="1" si="256"/>
        <v>6.4009172492850954</v>
      </c>
      <c r="R516" s="7">
        <f t="shared" ca="1" si="256"/>
        <v>6.6521549454644315</v>
      </c>
      <c r="S516" s="7">
        <f t="shared" ca="1" si="256"/>
        <v>6.8959380120837679</v>
      </c>
      <c r="T516" s="7">
        <f t="shared" ca="1" si="256"/>
        <v>7.1284686719238302</v>
      </c>
    </row>
    <row r="517" spans="1:20" x14ac:dyDescent="0.2">
      <c r="A517" s="1" t="str">
        <f ca="1">CONCATENATE("Total Crown interest receipts with ",100*OFFSET(Assumptions!$B$27,0,$C$1),"% of GDP floor for GSID")</f>
        <v>Total Crown interest receipts with 20% of GDP floor for GSID</v>
      </c>
      <c r="D517" s="15">
        <f>D$514*D$509/SUM(D$515,-D$509)</f>
        <v>0</v>
      </c>
      <c r="E517" s="15">
        <f t="shared" ref="E517:T517" si="257">E$514*E$509/SUM(E$515,-E$509)</f>
        <v>0</v>
      </c>
      <c r="F517" s="16">
        <f t="shared" si="257"/>
        <v>0</v>
      </c>
      <c r="G517" s="16">
        <f t="shared" si="257"/>
        <v>0</v>
      </c>
      <c r="H517" s="16">
        <f t="shared" si="257"/>
        <v>0</v>
      </c>
      <c r="I517" s="16">
        <f t="shared" si="257"/>
        <v>0</v>
      </c>
      <c r="J517" s="16">
        <f t="shared" si="257"/>
        <v>0</v>
      </c>
      <c r="K517" s="7">
        <f t="shared" ca="1" si="257"/>
        <v>0</v>
      </c>
      <c r="L517" s="7">
        <f t="shared" ca="1" si="257"/>
        <v>0</v>
      </c>
      <c r="M517" s="7">
        <f t="shared" ca="1" si="257"/>
        <v>0</v>
      </c>
      <c r="N517" s="7">
        <f t="shared" ca="1" si="257"/>
        <v>0</v>
      </c>
      <c r="O517" s="7">
        <f t="shared" ca="1" si="257"/>
        <v>0.27763021367035701</v>
      </c>
      <c r="P517" s="7">
        <f t="shared" ca="1" si="257"/>
        <v>0.6004658057817609</v>
      </c>
      <c r="Q517" s="7">
        <f t="shared" ca="1" si="257"/>
        <v>0.93711328631979463</v>
      </c>
      <c r="R517" s="7">
        <f t="shared" ca="1" si="257"/>
        <v>1.213726889861706</v>
      </c>
      <c r="S517" s="7">
        <f t="shared" ca="1" si="257"/>
        <v>1.4338767398550261</v>
      </c>
      <c r="T517" s="7">
        <f t="shared" ca="1" si="257"/>
        <v>1.5717669748967209</v>
      </c>
    </row>
    <row r="518" spans="1:20" x14ac:dyDescent="0.2">
      <c r="N518" s="7"/>
      <c r="O518" s="7"/>
      <c r="P518" s="7"/>
      <c r="Q518" s="7"/>
      <c r="R518" s="7"/>
      <c r="S518" s="7"/>
      <c r="T518" s="7"/>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9985" r:id="rId4" name="Drop Down 1">
              <controlPr defaultSize="0" autoLine="0" autoPict="0">
                <anchor moveWithCells="1">
                  <from>
                    <xdr:col>0</xdr:col>
                    <xdr:colOff>47625</xdr:colOff>
                    <xdr:row>6</xdr:row>
                    <xdr:rowOff>0</xdr:rowOff>
                  </from>
                  <to>
                    <xdr:col>0</xdr:col>
                    <xdr:colOff>5629275</xdr:colOff>
                    <xdr:row>7</xdr:row>
                    <xdr:rowOff>9525</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8"/>
  <sheetViews>
    <sheetView zoomScaleNormal="100" workbookViewId="0">
      <pane xSplit="2" ySplit="8" topLeftCell="C9" activePane="bottomRight" state="frozen"/>
      <selection pane="topRight" activeCell="C1" sqref="C1"/>
      <selection pane="bottomLeft" activeCell="A9" sqref="A9"/>
      <selection pane="bottomRight" activeCell="C4" sqref="C4"/>
    </sheetView>
  </sheetViews>
  <sheetFormatPr defaultRowHeight="14.25" x14ac:dyDescent="0.2"/>
  <cols>
    <col min="1" max="1" width="85.7109375" style="1" customWidth="1"/>
    <col min="2" max="2" width="25.7109375" style="1" customWidth="1"/>
    <col min="3" max="3" width="7.7109375" style="1" customWidth="1"/>
    <col min="4" max="8" width="10.7109375" style="1" customWidth="1"/>
    <col min="9" max="9" width="9.140625" style="1"/>
    <col min="10" max="10" width="9.140625" style="1" customWidth="1"/>
    <col min="11" max="18" width="9.5703125" style="1" bestFit="1" customWidth="1"/>
    <col min="19" max="20" width="9.7109375" style="1" bestFit="1" customWidth="1"/>
    <col min="21" max="16384" width="9.140625" style="1"/>
  </cols>
  <sheetData>
    <row r="1" spans="1:20" ht="15" x14ac:dyDescent="0.25">
      <c r="A1" s="2" t="s">
        <v>117</v>
      </c>
      <c r="B1" s="6" t="s">
        <v>955</v>
      </c>
      <c r="C1" s="6">
        <f>MATCH($B$1,Assumptions!$C$7:$X$7,0)</f>
        <v>2</v>
      </c>
      <c r="D1" s="4" t="s">
        <v>118</v>
      </c>
      <c r="E1" s="4"/>
    </row>
    <row r="2" spans="1:20" ht="15" x14ac:dyDescent="0.25">
      <c r="A2" s="4" t="s">
        <v>119</v>
      </c>
      <c r="B2" s="4" t="s">
        <v>943</v>
      </c>
      <c r="C2" s="6" t="s">
        <v>850</v>
      </c>
      <c r="E2" s="1" t="s">
        <v>692</v>
      </c>
      <c r="J2" s="7"/>
      <c r="K2" s="7">
        <f ca="1">MAX(OFFSET(Assumptions!$B$8,0,$C$1)+OFFSET(Assumptions!$B$83,0,$C$1)-K$6,0)/(OFFSET(Assumptions!$B$83,0,$C$1)*(OFFSET(Assumptions!$B$83,0,$C$1)+1)/2)</f>
        <v>0.33333333333333331</v>
      </c>
      <c r="L2" s="7">
        <f ca="1">MAX(OFFSET(Assumptions!$B$8,0,$C$1)+OFFSET(Assumptions!$B$83,0,$C$1)-L$6,0)/(OFFSET(Assumptions!$B$83,0,$C$1)*(OFFSET(Assumptions!$B$83,0,$C$1)+1)/2)</f>
        <v>0.26666666666666666</v>
      </c>
      <c r="M2" s="7">
        <f ca="1">MAX(OFFSET(Assumptions!$B$8,0,$C$1)+OFFSET(Assumptions!$B$83,0,$C$1)-M$6,0)/(OFFSET(Assumptions!$B$83,0,$C$1)*(OFFSET(Assumptions!$B$83,0,$C$1)+1)/2)</f>
        <v>0.2</v>
      </c>
      <c r="N2" s="7">
        <f ca="1">MAX(OFFSET(Assumptions!$B$8,0,$C$1)+OFFSET(Assumptions!$B$83,0,$C$1)-N$6,0)/(OFFSET(Assumptions!$B$83,0,$C$1)*(OFFSET(Assumptions!$B$83,0,$C$1)+1)/2)</f>
        <v>0.13333333333333333</v>
      </c>
      <c r="O2" s="7">
        <f ca="1">MAX(OFFSET(Assumptions!$B$8,0,$C$1)+OFFSET(Assumptions!$B$83,0,$C$1)-O$6,0)/(OFFSET(Assumptions!$B$83,0,$C$1)*(OFFSET(Assumptions!$B$83,0,$C$1)+1)/2)</f>
        <v>6.6666666666666666E-2</v>
      </c>
      <c r="P2" s="7">
        <f ca="1">MAX(OFFSET(Assumptions!$B$8,0,$C$1)+OFFSET(Assumptions!$B$83,0,$C$1)-P$6,0)/(OFFSET(Assumptions!$B$83,0,$C$1)*(OFFSET(Assumptions!$B$83,0,$C$1)+1)/2)</f>
        <v>0</v>
      </c>
      <c r="Q2" s="7">
        <f ca="1">MAX(OFFSET(Assumptions!$B$8,0,$C$1)+OFFSET(Assumptions!$B$83,0,$C$1)-Q$6,0)/(OFFSET(Assumptions!$B$83,0,$C$1)*(OFFSET(Assumptions!$B$83,0,$C$1)+1)/2)</f>
        <v>0</v>
      </c>
      <c r="R2" s="7">
        <f ca="1">MAX(OFFSET(Assumptions!$B$8,0,$C$1)+OFFSET(Assumptions!$B$83,0,$C$1)-R$6,0)/(OFFSET(Assumptions!$B$83,0,$C$1)*(OFFSET(Assumptions!$B$83,0,$C$1)+1)/2)</f>
        <v>0</v>
      </c>
      <c r="S2" s="7">
        <f ca="1">MAX(OFFSET(Assumptions!$B$8,0,$C$1)+OFFSET(Assumptions!$B$83,0,$C$1)-S$6,0)/(OFFSET(Assumptions!$B$83,0,$C$1)*(OFFSET(Assumptions!$B$83,0,$C$1)+1)/2)</f>
        <v>0</v>
      </c>
      <c r="T2" s="7">
        <f ca="1">MAX(OFFSET(Assumptions!$B$8,0,$C$1)+OFFSET(Assumptions!$B$83,0,$C$1)-T$6,0)/(OFFSET(Assumptions!$B$83,0,$C$1)*(OFFSET(Assumptions!$B$83,0,$C$1)+1)/2)</f>
        <v>0</v>
      </c>
    </row>
    <row r="3" spans="1:20" ht="15" x14ac:dyDescent="0.25">
      <c r="B3" s="4" t="s">
        <v>944</v>
      </c>
      <c r="C3" s="6" t="s">
        <v>850</v>
      </c>
      <c r="D3" s="31" t="s">
        <v>750</v>
      </c>
      <c r="E3" s="31" t="s">
        <v>750</v>
      </c>
      <c r="F3" s="33" t="s">
        <v>1362</v>
      </c>
      <c r="G3" s="26"/>
      <c r="H3" s="26"/>
      <c r="I3" s="26"/>
      <c r="K3" s="2" t="s">
        <v>1363</v>
      </c>
    </row>
    <row r="4" spans="1:20" ht="15" x14ac:dyDescent="0.25">
      <c r="D4" s="31" t="s">
        <v>751</v>
      </c>
      <c r="E4" s="31" t="s">
        <v>751</v>
      </c>
      <c r="F4" s="26" t="s">
        <v>137</v>
      </c>
      <c r="K4" s="1" t="s">
        <v>138</v>
      </c>
    </row>
    <row r="5" spans="1:20" ht="15" x14ac:dyDescent="0.25">
      <c r="A5" s="14" t="s">
        <v>120</v>
      </c>
      <c r="D5" s="30" t="s">
        <v>21</v>
      </c>
      <c r="E5" s="30" t="s">
        <v>23</v>
      </c>
      <c r="F5" s="32" t="s">
        <v>24</v>
      </c>
      <c r="G5" s="32" t="s">
        <v>25</v>
      </c>
      <c r="H5" s="32" t="s">
        <v>26</v>
      </c>
      <c r="I5" s="32" t="s">
        <v>27</v>
      </c>
      <c r="J5" s="32" t="s">
        <v>28</v>
      </c>
      <c r="K5" s="6" t="s">
        <v>29</v>
      </c>
      <c r="L5" s="6" t="s">
        <v>30</v>
      </c>
      <c r="M5" s="6" t="s">
        <v>31</v>
      </c>
      <c r="N5" s="6" t="s">
        <v>32</v>
      </c>
      <c r="O5" s="6" t="s">
        <v>33</v>
      </c>
      <c r="P5" s="6" t="s">
        <v>34</v>
      </c>
      <c r="Q5" s="6" t="s">
        <v>35</v>
      </c>
      <c r="R5" s="6" t="s">
        <v>36</v>
      </c>
      <c r="S5" s="6" t="s">
        <v>37</v>
      </c>
      <c r="T5" s="6" t="s">
        <v>38</v>
      </c>
    </row>
    <row r="6" spans="1:20" ht="15" x14ac:dyDescent="0.25">
      <c r="A6" s="14" t="s">
        <v>730</v>
      </c>
      <c r="D6" s="31">
        <v>2015</v>
      </c>
      <c r="E6" s="31">
        <v>2016</v>
      </c>
      <c r="F6" s="33">
        <v>2017</v>
      </c>
      <c r="G6" s="33">
        <v>2018</v>
      </c>
      <c r="H6" s="33">
        <v>2019</v>
      </c>
      <c r="I6" s="33">
        <v>2020</v>
      </c>
      <c r="J6" s="33">
        <v>2021</v>
      </c>
      <c r="K6" s="2">
        <v>2022</v>
      </c>
      <c r="L6" s="2">
        <v>2023</v>
      </c>
      <c r="M6" s="2">
        <v>2024</v>
      </c>
      <c r="N6" s="2">
        <v>2025</v>
      </c>
      <c r="O6" s="2">
        <v>2026</v>
      </c>
      <c r="P6" s="2">
        <v>2027</v>
      </c>
      <c r="Q6" s="2">
        <v>2028</v>
      </c>
      <c r="R6" s="2">
        <v>2029</v>
      </c>
      <c r="S6" s="2">
        <v>2030</v>
      </c>
      <c r="T6" s="2">
        <v>2031</v>
      </c>
    </row>
    <row r="7" spans="1:20" ht="15" x14ac:dyDescent="0.25">
      <c r="A7" s="14"/>
      <c r="D7" s="40">
        <f ca="1">OFFSET(D$1,Display!$C$1-1,0)</f>
        <v>60.631000000000007</v>
      </c>
      <c r="E7" s="40">
        <f ca="1">OFFSET(E$1,Display!$C$1-1,0)</f>
        <v>61.879999999999995</v>
      </c>
      <c r="F7" s="39">
        <f ca="1">OFFSET(F$1,Display!$C$1-1,0)</f>
        <v>60.559999999999995</v>
      </c>
      <c r="G7" s="39">
        <f ca="1">OFFSET(G$1,Display!$C$1-1,0)</f>
        <v>62.239000000000004</v>
      </c>
      <c r="H7" s="39">
        <f ca="1">OFFSET(H$1,Display!$C$1-1,0)</f>
        <v>63.714000000000013</v>
      </c>
      <c r="I7" s="39">
        <f ca="1">OFFSET(I$1,Display!$C$1-1,0)</f>
        <v>61.978000000000009</v>
      </c>
      <c r="J7" s="39">
        <f ca="1">OFFSET(J$1,Display!$C$1-1,0)</f>
        <v>60.807000000000002</v>
      </c>
      <c r="K7" s="8">
        <f ca="1">OFFSET(K$1,Display!$C$1-1,0)</f>
        <v>56.196615715744478</v>
      </c>
      <c r="L7" s="8">
        <f ca="1">OFFSET(L$1,Display!$C$1-1,0)</f>
        <v>52.519634613995763</v>
      </c>
      <c r="M7" s="8">
        <f ca="1">OFFSET(M$1,Display!$C$1-1,0)</f>
        <v>48.638331417520185</v>
      </c>
      <c r="N7" s="8">
        <f ca="1">OFFSET(N$1,Display!$C$1-1,0)</f>
        <v>44.625451528820889</v>
      </c>
      <c r="O7" s="8">
        <f ca="1">OFFSET(O$1,Display!$C$1-1,0)</f>
        <v>40.488023709737199</v>
      </c>
      <c r="P7" s="8">
        <f ca="1">OFFSET(P$1,Display!$C$1-1,0)</f>
        <v>36.399795289123006</v>
      </c>
      <c r="Q7" s="8">
        <f ca="1">OFFSET(Q$1,Display!$C$1-1,0)</f>
        <v>32.55861145687615</v>
      </c>
      <c r="R7" s="8">
        <f ca="1">OFFSET(R$1,Display!$C$1-1,0)</f>
        <v>29.389078168861168</v>
      </c>
      <c r="S7" s="8">
        <f ca="1">OFFSET(S$1,Display!$C$1-1,0)</f>
        <v>27.27538173499449</v>
      </c>
      <c r="T7" s="8">
        <f ca="1">OFFSET(T$1,Display!$C$1-1,0)</f>
        <v>26.694886983835033</v>
      </c>
    </row>
    <row r="8" spans="1:20" ht="15" x14ac:dyDescent="0.25">
      <c r="A8" s="14" t="s">
        <v>740</v>
      </c>
      <c r="D8" s="56">
        <f t="shared" ref="D8:T8" ca="1" si="0">D$7/D$13</f>
        <v>0.24948872731163155</v>
      </c>
      <c r="E8" s="56">
        <f t="shared" ca="1" si="0"/>
        <v>0.24450186892992892</v>
      </c>
      <c r="F8" s="58">
        <f t="shared" ca="1" si="0"/>
        <v>0.22528001904613104</v>
      </c>
      <c r="G8" s="58">
        <f t="shared" ca="1" si="0"/>
        <v>0.22021682364679829</v>
      </c>
      <c r="H8" s="58">
        <f t="shared" ca="1" si="0"/>
        <v>0.21485223302804271</v>
      </c>
      <c r="I8" s="58">
        <f t="shared" ca="1" si="0"/>
        <v>0.1995794463246636</v>
      </c>
      <c r="J8" s="58">
        <f t="shared" ca="1" si="0"/>
        <v>0.18811718846677392</v>
      </c>
      <c r="K8" s="57">
        <f t="shared" ca="1" si="0"/>
        <v>0.16671372642688118</v>
      </c>
      <c r="L8" s="57">
        <f t="shared" ca="1" si="0"/>
        <v>0.14925711716312903</v>
      </c>
      <c r="M8" s="57">
        <f t="shared" ca="1" si="0"/>
        <v>0.13243916131899436</v>
      </c>
      <c r="N8" s="57">
        <f t="shared" ca="1" si="0"/>
        <v>0.11642988059652153</v>
      </c>
      <c r="O8" s="57">
        <f t="shared" ca="1" si="0"/>
        <v>0.10125897319884049</v>
      </c>
      <c r="P8" s="57">
        <f t="shared" ca="1" si="0"/>
        <v>8.7287729833661815E-2</v>
      </c>
      <c r="Q8" s="57">
        <f t="shared" ca="1" si="0"/>
        <v>7.4891405260942484E-2</v>
      </c>
      <c r="R8" s="57">
        <f t="shared" ca="1" si="0"/>
        <v>6.4872042190302334E-2</v>
      </c>
      <c r="S8" s="57">
        <f t="shared" ca="1" si="0"/>
        <v>5.7792470645485289E-2</v>
      </c>
      <c r="T8" s="57">
        <f t="shared" ca="1" si="0"/>
        <v>5.4315072212682537E-2</v>
      </c>
    </row>
    <row r="9" spans="1:20" ht="16.5" x14ac:dyDescent="0.25">
      <c r="A9" s="55" t="s">
        <v>121</v>
      </c>
      <c r="D9" s="2"/>
      <c r="E9" s="2"/>
      <c r="F9" s="2"/>
      <c r="G9" s="2"/>
      <c r="H9" s="2"/>
    </row>
    <row r="10" spans="1:20" ht="15" x14ac:dyDescent="0.25">
      <c r="A10" s="19" t="s">
        <v>284</v>
      </c>
      <c r="D10" s="2"/>
      <c r="E10" s="2"/>
      <c r="F10" s="2"/>
      <c r="G10" s="2"/>
      <c r="H10" s="2"/>
    </row>
    <row r="11" spans="1:20" ht="15" x14ac:dyDescent="0.25">
      <c r="A11" s="2" t="s">
        <v>285</v>
      </c>
      <c r="B11" s="4" t="s">
        <v>122</v>
      </c>
      <c r="D11" s="15">
        <f>'Economic Forecasts'!M$6</f>
        <v>219.703</v>
      </c>
      <c r="E11" s="15">
        <f>'Economic Forecasts'!N$6</f>
        <v>225.67699999999999</v>
      </c>
      <c r="F11" s="16">
        <f>'Economic Forecasts'!O$6</f>
        <v>231.98</v>
      </c>
      <c r="G11" s="16">
        <f>'Economic Forecasts'!P$6</f>
        <v>239.471</v>
      </c>
      <c r="H11" s="16">
        <f>'Economic Forecasts'!Q$6</f>
        <v>248.273</v>
      </c>
      <c r="I11" s="16">
        <f>'Economic Forecasts'!R$6</f>
        <v>255.11500000000001</v>
      </c>
      <c r="J11" s="16">
        <f>'Economic Forecasts'!S$6</f>
        <v>260.85599999999999</v>
      </c>
      <c r="K11" s="1">
        <f t="shared" ref="K11:T11" ca="1" si="1">J$11*(1+K$27)*K$17*(1-K$24)*K$25/(J$17*(1-J$24)*J$25)</f>
        <v>266.69468688417254</v>
      </c>
      <c r="L11" s="1">
        <f t="shared" ca="1" si="1"/>
        <v>272.93676244585617</v>
      </c>
      <c r="M11" s="1">
        <f t="shared" ca="1" si="1"/>
        <v>279.27847403727026</v>
      </c>
      <c r="N11" s="1">
        <f t="shared" ca="1" si="1"/>
        <v>285.75459104443718</v>
      </c>
      <c r="O11" s="1">
        <f t="shared" ca="1" si="1"/>
        <v>292.25902627411995</v>
      </c>
      <c r="P11" s="1">
        <f t="shared" ca="1" si="1"/>
        <v>298.82741943826591</v>
      </c>
      <c r="Q11" s="1">
        <f t="shared" ca="1" si="1"/>
        <v>305.42770250866806</v>
      </c>
      <c r="R11" s="1">
        <f t="shared" ca="1" si="1"/>
        <v>312.03459923400288</v>
      </c>
      <c r="S11" s="1">
        <f t="shared" ca="1" si="1"/>
        <v>318.69390884635152</v>
      </c>
      <c r="T11" s="1">
        <f t="shared" ca="1" si="1"/>
        <v>325.37317113843039</v>
      </c>
    </row>
    <row r="12" spans="1:20" x14ac:dyDescent="0.2">
      <c r="A12" s="4" t="s">
        <v>123</v>
      </c>
      <c r="B12" s="4"/>
      <c r="D12" s="18"/>
      <c r="E12" s="18">
        <f t="shared" ref="E12:T12" si="2">E$11/D$11-1</f>
        <v>2.7191253646968727E-2</v>
      </c>
      <c r="F12" s="17">
        <f t="shared" si="2"/>
        <v>2.7929297181369828E-2</v>
      </c>
      <c r="G12" s="17">
        <f t="shared" si="2"/>
        <v>3.2291576860074223E-2</v>
      </c>
      <c r="H12" s="17">
        <f t="shared" si="2"/>
        <v>3.6756016386117807E-2</v>
      </c>
      <c r="I12" s="17">
        <f t="shared" si="2"/>
        <v>2.7558373242358325E-2</v>
      </c>
      <c r="J12" s="17">
        <f t="shared" si="2"/>
        <v>2.250357681829751E-2</v>
      </c>
      <c r="K12" s="11">
        <f t="shared" ca="1" si="2"/>
        <v>2.2382796961436746E-2</v>
      </c>
      <c r="L12" s="11">
        <f t="shared" ca="1" si="2"/>
        <v>2.3405324022801377E-2</v>
      </c>
      <c r="M12" s="11">
        <f t="shared" ca="1" si="2"/>
        <v>2.3235094952341218E-2</v>
      </c>
      <c r="N12" s="11">
        <f t="shared" ca="1" si="2"/>
        <v>2.3188743885440566E-2</v>
      </c>
      <c r="O12" s="11">
        <f t="shared" ca="1" si="2"/>
        <v>2.2762312255103057E-2</v>
      </c>
      <c r="P12" s="11">
        <f t="shared" ca="1" si="2"/>
        <v>2.247456048794616E-2</v>
      </c>
      <c r="Q12" s="11">
        <f t="shared" ca="1" si="2"/>
        <v>2.2087273928240281E-2</v>
      </c>
      <c r="R12" s="11">
        <f t="shared" ca="1" si="2"/>
        <v>2.1631622380904769E-2</v>
      </c>
      <c r="S12" s="11">
        <f t="shared" ca="1" si="2"/>
        <v>2.1341574391738005E-2</v>
      </c>
      <c r="T12" s="11">
        <f t="shared" ca="1" si="2"/>
        <v>2.0958236435259403E-2</v>
      </c>
    </row>
    <row r="13" spans="1:20" ht="15" x14ac:dyDescent="0.25">
      <c r="A13" s="2" t="s">
        <v>125</v>
      </c>
      <c r="B13" s="4" t="str">
        <f>$B$11</f>
        <v>From Economic</v>
      </c>
      <c r="D13" s="15">
        <f>'Economic Forecasts'!M$7</f>
        <v>243.02099999999999</v>
      </c>
      <c r="E13" s="15">
        <f>'Economic Forecasts'!N$7</f>
        <v>253.08600000000001</v>
      </c>
      <c r="F13" s="16">
        <f>'Economic Forecasts'!O$7</f>
        <v>268.82100000000003</v>
      </c>
      <c r="G13" s="16">
        <f>'Economic Forecasts'!P$7</f>
        <v>282.62599999999998</v>
      </c>
      <c r="H13" s="16">
        <f>'Economic Forecasts'!Q$7</f>
        <v>296.548</v>
      </c>
      <c r="I13" s="16">
        <f>'Economic Forecasts'!R$7</f>
        <v>310.54300000000001</v>
      </c>
      <c r="J13" s="16">
        <f>'Economic Forecasts'!S$7</f>
        <v>323.24</v>
      </c>
      <c r="K13" s="1">
        <f t="shared" ref="K13:T13" ca="1" si="3">J$13*(1+K$31)*K$11/J$11</f>
        <v>337.08451559561115</v>
      </c>
      <c r="L13" s="1">
        <f t="shared" ca="1" si="3"/>
        <v>351.8735696643194</v>
      </c>
      <c r="M13" s="1">
        <f t="shared" ca="1" si="3"/>
        <v>367.25037317602295</v>
      </c>
      <c r="N13" s="1">
        <f t="shared" ca="1" si="3"/>
        <v>383.28177698186289</v>
      </c>
      <c r="O13" s="1">
        <f t="shared" ca="1" si="3"/>
        <v>399.84627960063915</v>
      </c>
      <c r="P13" s="1">
        <f t="shared" ca="1" si="3"/>
        <v>417.0093019773521</v>
      </c>
      <c r="Q13" s="1">
        <f t="shared" ca="1" si="3"/>
        <v>434.7442986739652</v>
      </c>
      <c r="R13" s="1">
        <f t="shared" ca="1" si="3"/>
        <v>453.03149363863429</v>
      </c>
      <c r="S13" s="1">
        <f t="shared" ca="1" si="3"/>
        <v>471.95389694116193</v>
      </c>
      <c r="T13" s="1">
        <f t="shared" ca="1" si="3"/>
        <v>491.48212266579282</v>
      </c>
    </row>
    <row r="14" spans="1:20" x14ac:dyDescent="0.2">
      <c r="A14" s="4" t="str">
        <f>$A$12</f>
        <v>Annual percentage growth</v>
      </c>
      <c r="D14" s="18"/>
      <c r="E14" s="18">
        <f t="shared" ref="E14:T14" si="4">E$13/D$13-1</f>
        <v>4.1416173910896692E-2</v>
      </c>
      <c r="F14" s="17">
        <f t="shared" si="4"/>
        <v>6.2172542139826037E-2</v>
      </c>
      <c r="G14" s="17">
        <f t="shared" si="4"/>
        <v>5.1353874883286466E-2</v>
      </c>
      <c r="H14" s="17">
        <f t="shared" si="4"/>
        <v>4.9259445344731256E-2</v>
      </c>
      <c r="I14" s="17">
        <f t="shared" si="4"/>
        <v>4.7193034517177601E-2</v>
      </c>
      <c r="J14" s="17">
        <f t="shared" si="4"/>
        <v>4.0886447287493244E-2</v>
      </c>
      <c r="K14" s="11">
        <f t="shared" ca="1" si="4"/>
        <v>4.2830452900665561E-2</v>
      </c>
      <c r="L14" s="11">
        <f t="shared" ca="1" si="4"/>
        <v>4.3873430503257538E-2</v>
      </c>
      <c r="M14" s="11">
        <f t="shared" ca="1" si="4"/>
        <v>4.369979685138814E-2</v>
      </c>
      <c r="N14" s="11">
        <f t="shared" ca="1" si="4"/>
        <v>4.3652518763149351E-2</v>
      </c>
      <c r="O14" s="11">
        <f t="shared" ca="1" si="4"/>
        <v>4.3217558500205255E-2</v>
      </c>
      <c r="P14" s="11">
        <f t="shared" ca="1" si="4"/>
        <v>4.292405169770519E-2</v>
      </c>
      <c r="Q14" s="11">
        <f t="shared" ca="1" si="4"/>
        <v>4.2529019406805313E-2</v>
      </c>
      <c r="R14" s="11">
        <f t="shared" ca="1" si="4"/>
        <v>4.2064254828522829E-2</v>
      </c>
      <c r="S14" s="11">
        <f t="shared" ca="1" si="4"/>
        <v>4.1768405879572867E-2</v>
      </c>
      <c r="T14" s="11">
        <f t="shared" ca="1" si="4"/>
        <v>4.1377401163964711E-2</v>
      </c>
    </row>
    <row r="15" spans="1:20" x14ac:dyDescent="0.2">
      <c r="A15" s="4" t="s">
        <v>287</v>
      </c>
      <c r="D15" s="15">
        <f t="shared" ref="D15:T15" si="5">1/D$13</f>
        <v>4.1148707313359749E-3</v>
      </c>
      <c r="E15" s="15">
        <f t="shared" si="5"/>
        <v>3.9512260654481083E-3</v>
      </c>
      <c r="F15" s="16">
        <f t="shared" si="5"/>
        <v>3.7199474743416618E-3</v>
      </c>
      <c r="G15" s="16">
        <f t="shared" si="5"/>
        <v>3.5382448890052581E-3</v>
      </c>
      <c r="H15" s="16">
        <f t="shared" si="5"/>
        <v>3.3721353710023335E-3</v>
      </c>
      <c r="I15" s="16">
        <f t="shared" si="5"/>
        <v>3.2201659673539574E-3</v>
      </c>
      <c r="J15" s="16">
        <f t="shared" si="5"/>
        <v>3.0936765251825269E-3</v>
      </c>
      <c r="K15" s="7">
        <f t="shared" ca="1" si="5"/>
        <v>2.9666150586390803E-3</v>
      </c>
      <c r="L15" s="7">
        <f t="shared" ca="1" si="5"/>
        <v>2.8419298470015258E-3</v>
      </c>
      <c r="M15" s="7">
        <f t="shared" ca="1" si="5"/>
        <v>2.7229380091622138E-3</v>
      </c>
      <c r="N15" s="7">
        <f t="shared" ca="1" si="5"/>
        <v>2.6090465554466486E-3</v>
      </c>
      <c r="O15" s="7">
        <f t="shared" ca="1" si="5"/>
        <v>2.5009611218560941E-3</v>
      </c>
      <c r="P15" s="7">
        <f t="shared" ca="1" si="5"/>
        <v>2.3980280422001483E-3</v>
      </c>
      <c r="Q15" s="7">
        <f t="shared" ca="1" si="5"/>
        <v>2.3002026778732895E-3</v>
      </c>
      <c r="R15" s="7">
        <f t="shared" ca="1" si="5"/>
        <v>2.2073520583927911E-3</v>
      </c>
      <c r="S15" s="7">
        <f t="shared" ca="1" si="5"/>
        <v>2.1188510286305976E-3</v>
      </c>
      <c r="T15" s="7">
        <f t="shared" ca="1" si="5"/>
        <v>2.0346620027113351E-3</v>
      </c>
    </row>
    <row r="16" spans="1:20" x14ac:dyDescent="0.2">
      <c r="A16" s="19" t="s">
        <v>286</v>
      </c>
      <c r="D16" s="18"/>
      <c r="E16" s="18"/>
      <c r="F16" s="17"/>
      <c r="G16" s="17"/>
      <c r="H16" s="17"/>
      <c r="I16" s="17"/>
      <c r="J16" s="17"/>
      <c r="K16" s="11"/>
      <c r="L16" s="11"/>
      <c r="M16" s="11"/>
      <c r="N16" s="11"/>
      <c r="O16" s="11"/>
      <c r="P16" s="11"/>
      <c r="Q16" s="11"/>
      <c r="R16" s="11"/>
      <c r="S16" s="11"/>
      <c r="T16" s="11"/>
    </row>
    <row r="17" spans="1:20" ht="15" x14ac:dyDescent="0.25">
      <c r="A17" s="2" t="s">
        <v>289</v>
      </c>
      <c r="B17" s="4" t="str">
        <f>$B$11</f>
        <v>From Economic</v>
      </c>
      <c r="D17" s="15">
        <f>'Economic Forecasts'!M$8</f>
        <v>2.4744999999999999</v>
      </c>
      <c r="E17" s="15">
        <f>'Economic Forecasts'!N$8</f>
        <v>2.5263</v>
      </c>
      <c r="F17" s="16">
        <f>'Economic Forecasts'!O$8</f>
        <v>2.6566000000000001</v>
      </c>
      <c r="G17" s="16">
        <f>'Economic Forecasts'!P$8</f>
        <v>2.7256</v>
      </c>
      <c r="H17" s="16">
        <f>'Economic Forecasts'!Q$8</f>
        <v>2.7748000000000004</v>
      </c>
      <c r="I17" s="16">
        <f>'Economic Forecasts'!R$8</f>
        <v>2.8119000000000001</v>
      </c>
      <c r="J17" s="16">
        <f>'Economic Forecasts'!S$8</f>
        <v>2.8405</v>
      </c>
      <c r="K17" s="7">
        <f ca="1">J$17*(1+J$18+MIN(OFFSET(Assumptions!$B$18,0,$C$1),ABS('Labour Force'!M$7-J$18))*SIGN('Labour Force'!M$7-J$18))</f>
        <v>2.8645527131245334</v>
      </c>
      <c r="L17" s="7">
        <f ca="1">K$17*(1+K$18+MIN(OFFSET(Assumptions!$B$18,0,$C$1),ABS('Labour Force'!N$7-K$18))*SIGN('Labour Force'!N$7-K$18))</f>
        <v>2.8882743818281855</v>
      </c>
      <c r="M17" s="7">
        <f ca="1">L$17*(1+L$18+MIN(OFFSET(Assumptions!$B$18,0,$C$1),ABS('Labour Force'!O$7-L$18))*SIGN('Labour Force'!O$7-L$18))</f>
        <v>2.9117080899885499</v>
      </c>
      <c r="N17" s="7">
        <f ca="1">M$17*(1+M$18+MIN(OFFSET(Assumptions!$B$18,0,$C$1),ABS('Labour Force'!P$7-M$18))*SIGN('Labour Force'!P$7-M$18))</f>
        <v>2.9351989587748379</v>
      </c>
      <c r="O17" s="7">
        <f ca="1">N$17*(1+N$18+MIN(OFFSET(Assumptions!$B$18,0,$C$1),ABS('Labour Force'!Q$7-N$18))*SIGN('Labour Force'!Q$7-N$18))</f>
        <v>2.9576461812860342</v>
      </c>
      <c r="P17" s="7">
        <f ca="1">O$17*(1+O$18+MIN(OFFSET(Assumptions!$B$18,0,$C$1),ABS('Labour Force'!R$7-O$18))*SIGN('Labour Force'!R$7-O$18))</f>
        <v>2.9794265805805815</v>
      </c>
      <c r="Q17" s="7">
        <f ca="1">P$17*(1+P$18+MIN(OFFSET(Assumptions!$B$18,0,$C$1),ABS('Labour Force'!S$7-P$18))*SIGN('Labour Force'!S$7-P$18))</f>
        <v>3.0002305336107837</v>
      </c>
      <c r="R17" s="7">
        <f ca="1">Q$17*(1+Q$18+MIN(OFFSET(Assumptions!$B$18,0,$C$1),ABS('Labour Force'!T$7-Q$18))*SIGN('Labour Force'!T$7-Q$18))</f>
        <v>3.0198328941571555</v>
      </c>
      <c r="S17" s="7">
        <f ca="1">R$17*(1+R$18+MIN(OFFSET(Assumptions!$B$18,0,$C$1),ABS('Labour Force'!U$7-R$18))*SIGN('Labour Force'!U$7-R$18))</f>
        <v>3.0387003768654468</v>
      </c>
      <c r="T17" s="7">
        <f ca="1">S$17*(1+S$18+MIN(OFFSET(Assumptions!$B$18,0,$C$1),ABS('Labour Force'!V$7-S$18))*SIGN('Labour Force'!V$7-S$18))</f>
        <v>3.0565381062263106</v>
      </c>
    </row>
    <row r="18" spans="1:20" x14ac:dyDescent="0.2">
      <c r="A18" s="4" t="str">
        <f>$A$12</f>
        <v>Annual percentage growth</v>
      </c>
      <c r="D18" s="18"/>
      <c r="E18" s="18">
        <f t="shared" ref="E18:T18" si="6">E$17/D$17-1</f>
        <v>2.0933521923620857E-2</v>
      </c>
      <c r="F18" s="17">
        <f t="shared" si="6"/>
        <v>5.1577405692118994E-2</v>
      </c>
      <c r="G18" s="17">
        <f t="shared" si="6"/>
        <v>2.5973048257170728E-2</v>
      </c>
      <c r="H18" s="17">
        <f t="shared" si="6"/>
        <v>1.8051071323745393E-2</v>
      </c>
      <c r="I18" s="17">
        <f t="shared" si="6"/>
        <v>1.3370332996972545E-2</v>
      </c>
      <c r="J18" s="17">
        <f t="shared" si="6"/>
        <v>1.0171058714748105E-2</v>
      </c>
      <c r="K18" s="11">
        <f t="shared" ca="1" si="6"/>
        <v>8.4677743793464266E-3</v>
      </c>
      <c r="L18" s="11">
        <f t="shared" ca="1" si="6"/>
        <v>8.281107411627131E-3</v>
      </c>
      <c r="M18" s="11">
        <f t="shared" ca="1" si="6"/>
        <v>8.1133940417155159E-3</v>
      </c>
      <c r="N18" s="11">
        <f t="shared" ca="1" si="6"/>
        <v>8.0677279659515655E-3</v>
      </c>
      <c r="O18" s="11">
        <f t="shared" ca="1" si="6"/>
        <v>7.6475982808899001E-3</v>
      </c>
      <c r="P18" s="11">
        <f t="shared" ca="1" si="6"/>
        <v>7.3640990029026909E-3</v>
      </c>
      <c r="Q18" s="11">
        <f t="shared" ca="1" si="6"/>
        <v>6.9825358898920609E-3</v>
      </c>
      <c r="R18" s="11">
        <f t="shared" ca="1" si="6"/>
        <v>6.5336181092658929E-3</v>
      </c>
      <c r="S18" s="11">
        <f t="shared" ca="1" si="6"/>
        <v>6.2478565435843958E-3</v>
      </c>
      <c r="T18" s="11">
        <f t="shared" ca="1" si="6"/>
        <v>5.8701836800587603E-3</v>
      </c>
    </row>
    <row r="19" spans="1:20" ht="15" x14ac:dyDescent="0.25">
      <c r="A19" s="2" t="s">
        <v>290</v>
      </c>
      <c r="B19" s="4" t="str">
        <f>$B$11</f>
        <v>From Economic</v>
      </c>
      <c r="D19" s="15">
        <f>'Economic Forecasts'!M$9</f>
        <v>3.5855999999999999</v>
      </c>
      <c r="E19" s="15">
        <f>'Economic Forecasts'!N$9</f>
        <v>3.6730999999999998</v>
      </c>
      <c r="F19" s="16">
        <f>'Economic Forecasts'!O$9</f>
        <v>3.7702</v>
      </c>
      <c r="G19" s="16">
        <f>'Economic Forecasts'!P$9</f>
        <v>3.8624000000000001</v>
      </c>
      <c r="H19" s="16">
        <f>'Economic Forecasts'!Q$9</f>
        <v>3.9436</v>
      </c>
      <c r="I19" s="16">
        <f>'Economic Forecasts'!R$9</f>
        <v>4.0108000000000006</v>
      </c>
      <c r="J19" s="16">
        <f>'Economic Forecasts'!S$9</f>
        <v>4.0650000000000004</v>
      </c>
      <c r="K19" s="7">
        <f>J$19*(1+Population!R$207)</f>
        <v>4.1089187931805027</v>
      </c>
      <c r="L19" s="7">
        <f>K$19*(1+Population!S$207)</f>
        <v>4.1549521213852936</v>
      </c>
      <c r="M19" s="7">
        <f>L$19*(1+Population!T$207)</f>
        <v>4.2003898059212705</v>
      </c>
      <c r="N19" s="7">
        <f>M$19*(1+Population!U$207)</f>
        <v>4.2464628437039815</v>
      </c>
      <c r="O19" s="7">
        <f>N$19*(1+Population!V$207)</f>
        <v>4.2908780066084953</v>
      </c>
      <c r="P19" s="7">
        <f>O$19*(1+Population!W$207)</f>
        <v>4.3336055124513715</v>
      </c>
      <c r="Q19" s="7">
        <f>P$19*(1+Population!X$207)</f>
        <v>4.3750920939842199</v>
      </c>
      <c r="R19" s="7">
        <f>Q$19*(1+Population!Y$207)</f>
        <v>4.4141861734473347</v>
      </c>
      <c r="S19" s="7">
        <f>R$19*(1+Population!Z$207)</f>
        <v>4.4522478038845072</v>
      </c>
      <c r="T19" s="7">
        <f>S$19*(1+Population!AA$207)</f>
        <v>4.4894457510018997</v>
      </c>
    </row>
    <row r="20" spans="1:20" x14ac:dyDescent="0.2">
      <c r="A20" s="4" t="str">
        <f>$A$12</f>
        <v>Annual percentage growth</v>
      </c>
      <c r="D20" s="18"/>
      <c r="E20" s="18">
        <f t="shared" ref="E20:T20" si="7">E$19/D$19-1</f>
        <v>2.440316822846933E-2</v>
      </c>
      <c r="F20" s="17">
        <f t="shared" si="7"/>
        <v>2.6435436007731905E-2</v>
      </c>
      <c r="G20" s="17">
        <f t="shared" si="7"/>
        <v>2.4454936077661582E-2</v>
      </c>
      <c r="H20" s="17">
        <f t="shared" si="7"/>
        <v>2.1023198011598909E-2</v>
      </c>
      <c r="I20" s="17">
        <f t="shared" si="7"/>
        <v>1.7040267775636719E-2</v>
      </c>
      <c r="J20" s="17">
        <f t="shared" si="7"/>
        <v>1.3513513513513375E-2</v>
      </c>
      <c r="K20" s="11">
        <f t="shared" si="7"/>
        <v>1.0804131163715258E-2</v>
      </c>
      <c r="L20" s="11">
        <f t="shared" si="7"/>
        <v>1.1203270378862484E-2</v>
      </c>
      <c r="M20" s="11">
        <f t="shared" si="7"/>
        <v>1.0935790162806436E-2</v>
      </c>
      <c r="N20" s="11">
        <f t="shared" si="7"/>
        <v>1.096875288044985E-2</v>
      </c>
      <c r="O20" s="11">
        <f t="shared" si="7"/>
        <v>1.0459331575305209E-2</v>
      </c>
      <c r="P20" s="11">
        <f t="shared" si="7"/>
        <v>9.9577535826165242E-3</v>
      </c>
      <c r="Q20" s="11">
        <f t="shared" si="7"/>
        <v>9.5732252078895019E-3</v>
      </c>
      <c r="R20" s="11">
        <f t="shared" si="7"/>
        <v>8.9356014966792685E-3</v>
      </c>
      <c r="S20" s="11">
        <f t="shared" si="7"/>
        <v>8.6225702636024693E-3</v>
      </c>
      <c r="T20" s="11">
        <f t="shared" si="7"/>
        <v>8.3548689911054907E-3</v>
      </c>
    </row>
    <row r="21" spans="1:20" ht="15" x14ac:dyDescent="0.25">
      <c r="A21" s="2" t="s">
        <v>291</v>
      </c>
      <c r="D21" s="18">
        <f t="shared" ref="D21:T21" si="8">D$17/D$19</f>
        <v>0.69012159750111557</v>
      </c>
      <c r="E21" s="18">
        <f t="shared" si="8"/>
        <v>0.68778416051836322</v>
      </c>
      <c r="F21" s="17">
        <f t="shared" si="8"/>
        <v>0.70463105405548776</v>
      </c>
      <c r="G21" s="17">
        <f t="shared" si="8"/>
        <v>0.70567522783761394</v>
      </c>
      <c r="H21" s="17">
        <f t="shared" si="8"/>
        <v>0.70362105690232279</v>
      </c>
      <c r="I21" s="17">
        <f t="shared" si="8"/>
        <v>0.70108207838835135</v>
      </c>
      <c r="J21" s="17">
        <f t="shared" si="8"/>
        <v>0.69876998769987697</v>
      </c>
      <c r="K21" s="11">
        <f t="shared" ca="1" si="8"/>
        <v>0.69715486173121244</v>
      </c>
      <c r="L21" s="11">
        <f t="shared" ca="1" si="8"/>
        <v>0.69514023205283348</v>
      </c>
      <c r="M21" s="11">
        <f t="shared" ca="1" si="8"/>
        <v>0.69319949445737827</v>
      </c>
      <c r="N21" s="11">
        <f t="shared" ca="1" si="8"/>
        <v>0.69121032417055317</v>
      </c>
      <c r="O21" s="11">
        <f t="shared" ca="1" si="8"/>
        <v>0.68928694237656829</v>
      </c>
      <c r="P21" s="11">
        <f t="shared" ca="1" si="8"/>
        <v>0.68751679681504341</v>
      </c>
      <c r="Q21" s="11">
        <f t="shared" ca="1" si="8"/>
        <v>0.68575254398327301</v>
      </c>
      <c r="R21" s="11">
        <f t="shared" ca="1" si="8"/>
        <v>0.68411996583251611</v>
      </c>
      <c r="S21" s="11">
        <f t="shared" ca="1" si="8"/>
        <v>0.68250926514338095</v>
      </c>
      <c r="T21" s="11">
        <f t="shared" ca="1" si="8"/>
        <v>0.68082749536380738</v>
      </c>
    </row>
    <row r="22" spans="1:20" ht="15" x14ac:dyDescent="0.25">
      <c r="A22" s="2" t="s">
        <v>102</v>
      </c>
      <c r="B22" s="4" t="str">
        <f>$B$11</f>
        <v>From Economic</v>
      </c>
      <c r="D22" s="15">
        <f>'Economic Forecasts'!M$10</f>
        <v>4.5655000000000001</v>
      </c>
      <c r="E22" s="15">
        <f>'Economic Forecasts'!N$10</f>
        <v>4.6593</v>
      </c>
      <c r="F22" s="16">
        <f>'Economic Forecasts'!O$10</f>
        <v>4.7611000000000008</v>
      </c>
      <c r="G22" s="16">
        <f>'Economic Forecasts'!P$10</f>
        <v>4.8638999999999992</v>
      </c>
      <c r="H22" s="16">
        <f>'Economic Forecasts'!Q$10</f>
        <v>4.9543999999999997</v>
      </c>
      <c r="I22" s="16">
        <f>'Economic Forecasts'!R$10</f>
        <v>5.03</v>
      </c>
      <c r="J22" s="16">
        <f>'Economic Forecasts'!S$10</f>
        <v>5.0898999999999992</v>
      </c>
      <c r="K22" s="7">
        <f>J$22*(1+Population!R$7)</f>
        <v>5.1384201548534438</v>
      </c>
      <c r="L22" s="7">
        <f>K$22*(1+Population!S$7)</f>
        <v>5.1867995258378832</v>
      </c>
      <c r="M22" s="7">
        <f>L$22*(1+Population!T$7)</f>
        <v>5.2346962092714486</v>
      </c>
      <c r="N22" s="7">
        <f>M$22*(1+Population!U$7)</f>
        <v>5.2821805970886437</v>
      </c>
      <c r="O22" s="7">
        <f>N$22*(1+Population!V$7)</f>
        <v>5.3290113455140302</v>
      </c>
      <c r="P22" s="7">
        <f>O$22*(1+Population!W$7)</f>
        <v>5.374916942800243</v>
      </c>
      <c r="Q22" s="7">
        <f>P$22*(1+Population!X$7)</f>
        <v>5.4199376129098535</v>
      </c>
      <c r="R22" s="7">
        <f>Q$22*(1+Population!Y$7)</f>
        <v>5.4637616201329244</v>
      </c>
      <c r="S22" s="7">
        <f>R$22*(1+Population!Z$7)</f>
        <v>5.5062984605536638</v>
      </c>
      <c r="T22" s="7">
        <f>S$22*(1+Population!AA$7)</f>
        <v>5.5476889180410787</v>
      </c>
    </row>
    <row r="23" spans="1:20" x14ac:dyDescent="0.2">
      <c r="A23" s="4" t="str">
        <f>$A$12</f>
        <v>Annual percentage growth</v>
      </c>
      <c r="D23" s="18"/>
      <c r="E23" s="18">
        <f t="shared" ref="E23:T23" si="9">E$22/D$22-1</f>
        <v>2.0545394808892725E-2</v>
      </c>
      <c r="F23" s="17">
        <f t="shared" si="9"/>
        <v>2.1848775567145484E-2</v>
      </c>
      <c r="G23" s="17">
        <f t="shared" si="9"/>
        <v>2.1591648988678713E-2</v>
      </c>
      <c r="H23" s="17">
        <f t="shared" si="9"/>
        <v>1.8606468060609949E-2</v>
      </c>
      <c r="I23" s="17">
        <f t="shared" si="9"/>
        <v>1.5259163571774703E-2</v>
      </c>
      <c r="J23" s="17">
        <f t="shared" si="9"/>
        <v>1.1908548707753264E-2</v>
      </c>
      <c r="K23" s="11">
        <f t="shared" si="9"/>
        <v>9.5326342076356152E-3</v>
      </c>
      <c r="L23" s="11">
        <f t="shared" si="9"/>
        <v>9.4152228752144573E-3</v>
      </c>
      <c r="M23" s="11">
        <f t="shared" si="9"/>
        <v>9.2343425256691258E-3</v>
      </c>
      <c r="N23" s="11">
        <f t="shared" si="9"/>
        <v>9.0710875892077159E-3</v>
      </c>
      <c r="O23" s="11">
        <f t="shared" si="9"/>
        <v>8.8657984263540435E-3</v>
      </c>
      <c r="P23" s="11">
        <f t="shared" si="9"/>
        <v>8.6142802688637943E-3</v>
      </c>
      <c r="Q23" s="11">
        <f t="shared" si="9"/>
        <v>8.3760680562545708E-3</v>
      </c>
      <c r="R23" s="11">
        <f t="shared" si="9"/>
        <v>8.0857032595145206E-3</v>
      </c>
      <c r="S23" s="11">
        <f t="shared" si="9"/>
        <v>7.7852665211453065E-3</v>
      </c>
      <c r="T23" s="11">
        <f t="shared" si="9"/>
        <v>7.516929527872529E-3</v>
      </c>
    </row>
    <row r="24" spans="1:20" ht="15" x14ac:dyDescent="0.25">
      <c r="A24" s="2" t="s">
        <v>108</v>
      </c>
      <c r="B24" s="4" t="str">
        <f>$B$11</f>
        <v>From Economic</v>
      </c>
      <c r="D24" s="18">
        <f>'Economic Forecasts'!M$11</f>
        <v>5.4000000000000006E-2</v>
      </c>
      <c r="E24" s="18">
        <f>'Economic Forecasts'!N$11</f>
        <v>5.1799999999999999E-2</v>
      </c>
      <c r="F24" s="17">
        <f>'Economic Forecasts'!O$11</f>
        <v>4.9800000000000004E-2</v>
      </c>
      <c r="G24" s="17">
        <f>'Economic Forecasts'!P$11</f>
        <v>4.8499999999999995E-2</v>
      </c>
      <c r="H24" s="17">
        <f>'Economic Forecasts'!Q$11</f>
        <v>4.5599999999999995E-2</v>
      </c>
      <c r="I24" s="17">
        <f>'Economic Forecasts'!R$11</f>
        <v>4.3700000000000003E-2</v>
      </c>
      <c r="J24" s="17">
        <f>'Economic Forecasts'!S$11</f>
        <v>4.3299999999999998E-2</v>
      </c>
      <c r="K24" s="11">
        <f ca="1">SUM(J$24,MIN(OFFSET(Assumptions!$B$19,0,$C$1),ABS(OFFSET(Assumptions!$B$12,0,$C$1)-J$24))*SIGN(OFFSET(Assumptions!$B$12,0,$C$1)-J$24))</f>
        <v>4.2500000000000003E-2</v>
      </c>
      <c r="L24" s="11">
        <f ca="1">SUM(K$24,MIN(OFFSET(Assumptions!$B$19,0,$C$1),ABS(OFFSET(Assumptions!$B$12,0,$C$1)-K$24))*SIGN(OFFSET(Assumptions!$B$12,0,$C$1)-K$24))</f>
        <v>4.2500000000000003E-2</v>
      </c>
      <c r="M24" s="11">
        <f ca="1">SUM(L$24,MIN(OFFSET(Assumptions!$B$19,0,$C$1),ABS(OFFSET(Assumptions!$B$12,0,$C$1)-L$24))*SIGN(OFFSET(Assumptions!$B$12,0,$C$1)-L$24))</f>
        <v>4.2500000000000003E-2</v>
      </c>
      <c r="N24" s="11">
        <f ca="1">SUM(M$24,MIN(OFFSET(Assumptions!$B$19,0,$C$1),ABS(OFFSET(Assumptions!$B$12,0,$C$1)-M$24))*SIGN(OFFSET(Assumptions!$B$12,0,$C$1)-M$24))</f>
        <v>4.2500000000000003E-2</v>
      </c>
      <c r="O24" s="11">
        <f ca="1">SUM(N$24,MIN(OFFSET(Assumptions!$B$19,0,$C$1),ABS(OFFSET(Assumptions!$B$12,0,$C$1)-N$24))*SIGN(OFFSET(Assumptions!$B$12,0,$C$1)-N$24))</f>
        <v>4.2500000000000003E-2</v>
      </c>
      <c r="P24" s="11">
        <f ca="1">SUM(O$24,MIN(OFFSET(Assumptions!$B$19,0,$C$1),ABS(OFFSET(Assumptions!$B$12,0,$C$1)-O$24))*SIGN(OFFSET(Assumptions!$B$12,0,$C$1)-O$24))</f>
        <v>4.2500000000000003E-2</v>
      </c>
      <c r="Q24" s="11">
        <f ca="1">SUM(P$24,MIN(OFFSET(Assumptions!$B$19,0,$C$1),ABS(OFFSET(Assumptions!$B$12,0,$C$1)-P$24))*SIGN(OFFSET(Assumptions!$B$12,0,$C$1)-P$24))</f>
        <v>4.2500000000000003E-2</v>
      </c>
      <c r="R24" s="11">
        <f ca="1">SUM(Q$24,MIN(OFFSET(Assumptions!$B$19,0,$C$1),ABS(OFFSET(Assumptions!$B$12,0,$C$1)-Q$24))*SIGN(OFFSET(Assumptions!$B$12,0,$C$1)-Q$24))</f>
        <v>4.2500000000000003E-2</v>
      </c>
      <c r="S24" s="11">
        <f ca="1">SUM(R$24,MIN(OFFSET(Assumptions!$B$19,0,$C$1),ABS(OFFSET(Assumptions!$B$12,0,$C$1)-R$24))*SIGN(OFFSET(Assumptions!$B$12,0,$C$1)-R$24))</f>
        <v>4.2500000000000003E-2</v>
      </c>
      <c r="T24" s="11">
        <f ca="1">SUM(S$24,MIN(OFFSET(Assumptions!$B$19,0,$C$1),ABS(OFFSET(Assumptions!$B$12,0,$C$1)-S$24))*SIGN(OFFSET(Assumptions!$B$12,0,$C$1)-S$24))</f>
        <v>4.2500000000000003E-2</v>
      </c>
    </row>
    <row r="25" spans="1:20" ht="15" x14ac:dyDescent="0.25">
      <c r="A25" s="2" t="s">
        <v>110</v>
      </c>
      <c r="B25" s="4" t="str">
        <f>$B$11</f>
        <v>From Economic</v>
      </c>
      <c r="D25" s="21">
        <f>'Economic Forecasts'!M$12</f>
        <v>33.49</v>
      </c>
      <c r="E25" s="21">
        <f>'Economic Forecasts'!N$12</f>
        <v>33.700000000000003</v>
      </c>
      <c r="F25" s="22">
        <f>'Economic Forecasts'!O$12</f>
        <v>33.700000000000003</v>
      </c>
      <c r="G25" s="22">
        <f>'Economic Forecasts'!P$12</f>
        <v>33.729999999999997</v>
      </c>
      <c r="H25" s="22">
        <f>'Economic Forecasts'!Q$12</f>
        <v>33.69</v>
      </c>
      <c r="I25" s="22">
        <f>'Economic Forecasts'!R$12</f>
        <v>33.67</v>
      </c>
      <c r="J25" s="22">
        <f>'Economic Forecasts'!S$12</f>
        <v>33.64</v>
      </c>
      <c r="K25" s="10">
        <f t="shared" ref="K25:T25" ca="1" si="10">J$25*K$26/J$26</f>
        <v>33.588641221374047</v>
      </c>
      <c r="L25" s="10">
        <f t="shared" ca="1" si="10"/>
        <v>33.588641221374047</v>
      </c>
      <c r="M25" s="10">
        <f t="shared" ca="1" si="10"/>
        <v>33.588641221374047</v>
      </c>
      <c r="N25" s="10">
        <f t="shared" ca="1" si="10"/>
        <v>33.588641221374047</v>
      </c>
      <c r="O25" s="10">
        <f t="shared" ca="1" si="10"/>
        <v>33.588641221374047</v>
      </c>
      <c r="P25" s="10">
        <f t="shared" ca="1" si="10"/>
        <v>33.588641221374047</v>
      </c>
      <c r="Q25" s="10">
        <f t="shared" ca="1" si="10"/>
        <v>33.588641221374047</v>
      </c>
      <c r="R25" s="10">
        <f t="shared" ca="1" si="10"/>
        <v>33.588641221374047</v>
      </c>
      <c r="S25" s="10">
        <f t="shared" ca="1" si="10"/>
        <v>33.588641221374047</v>
      </c>
      <c r="T25" s="10">
        <f t="shared" ca="1" si="10"/>
        <v>33.588641221374047</v>
      </c>
    </row>
    <row r="26" spans="1:20" ht="15" x14ac:dyDescent="0.25">
      <c r="A26" s="2" t="s">
        <v>109</v>
      </c>
      <c r="B26" s="4" t="str">
        <f t="shared" ref="B26:B32" si="11">$B$11</f>
        <v>From Economic</v>
      </c>
      <c r="D26" s="21">
        <f>'Economic Forecasts'!M$13</f>
        <v>32.840000000000003</v>
      </c>
      <c r="E26" s="21">
        <f>'Economic Forecasts'!N$13</f>
        <v>32.909999999999997</v>
      </c>
      <c r="F26" s="22">
        <f>'Economic Forecasts'!O$13</f>
        <v>33.06</v>
      </c>
      <c r="G26" s="22">
        <f>'Economic Forecasts'!P$13</f>
        <v>32.840000000000003</v>
      </c>
      <c r="H26" s="22">
        <f>'Economic Forecasts'!Q$13</f>
        <v>32.79</v>
      </c>
      <c r="I26" s="22">
        <f>'Economic Forecasts'!R$13</f>
        <v>32.78</v>
      </c>
      <c r="J26" s="22">
        <f>'Economic Forecasts'!S$13</f>
        <v>32.75</v>
      </c>
      <c r="K26" s="10">
        <f ca="1">SUM(J$26,MIN(OFFSET(Assumptions!$B$20,0,$C$1),ABS(OFFSET(Assumptions!$B$13,0,$C$1)-J$26))*SIGN(OFFSET(Assumptions!$B$13,0,$C$1)-J$26))</f>
        <v>32.700000000000003</v>
      </c>
      <c r="L26" s="10">
        <f ca="1">SUM(K$26,MIN(OFFSET(Assumptions!$B$20,0,$C$1),ABS(OFFSET(Assumptions!$B$13,0,$C$1)-K$26))*SIGN(OFFSET(Assumptions!$B$13,0,$C$1)-K$26))</f>
        <v>32.700000000000003</v>
      </c>
      <c r="M26" s="10">
        <f ca="1">SUM(L$26,MIN(OFFSET(Assumptions!$B$20,0,$C$1),ABS(OFFSET(Assumptions!$B$13,0,$C$1)-L$26))*SIGN(OFFSET(Assumptions!$B$13,0,$C$1)-L$26))</f>
        <v>32.700000000000003</v>
      </c>
      <c r="N26" s="10">
        <f ca="1">SUM(M$26,MIN(OFFSET(Assumptions!$B$20,0,$C$1),ABS(OFFSET(Assumptions!$B$13,0,$C$1)-M$26))*SIGN(OFFSET(Assumptions!$B$13,0,$C$1)-M$26))</f>
        <v>32.700000000000003</v>
      </c>
      <c r="O26" s="10">
        <f ca="1">SUM(N$26,MIN(OFFSET(Assumptions!$B$20,0,$C$1),ABS(OFFSET(Assumptions!$B$13,0,$C$1)-N$26))*SIGN(OFFSET(Assumptions!$B$13,0,$C$1)-N$26))</f>
        <v>32.700000000000003</v>
      </c>
      <c r="P26" s="10">
        <f ca="1">SUM(O$26,MIN(OFFSET(Assumptions!$B$20,0,$C$1),ABS(OFFSET(Assumptions!$B$13,0,$C$1)-O$26))*SIGN(OFFSET(Assumptions!$B$13,0,$C$1)-O$26))</f>
        <v>32.700000000000003</v>
      </c>
      <c r="Q26" s="10">
        <f ca="1">SUM(P$26,MIN(OFFSET(Assumptions!$B$20,0,$C$1),ABS(OFFSET(Assumptions!$B$13,0,$C$1)-P$26))*SIGN(OFFSET(Assumptions!$B$13,0,$C$1)-P$26))</f>
        <v>32.700000000000003</v>
      </c>
      <c r="R26" s="10">
        <f ca="1">SUM(Q$26,MIN(OFFSET(Assumptions!$B$20,0,$C$1),ABS(OFFSET(Assumptions!$B$13,0,$C$1)-Q$26))*SIGN(OFFSET(Assumptions!$B$13,0,$C$1)-Q$26))</f>
        <v>32.700000000000003</v>
      </c>
      <c r="S26" s="10">
        <f ca="1">SUM(R$26,MIN(OFFSET(Assumptions!$B$20,0,$C$1),ABS(OFFSET(Assumptions!$B$13,0,$C$1)-R$26))*SIGN(OFFSET(Assumptions!$B$13,0,$C$1)-R$26))</f>
        <v>32.700000000000003</v>
      </c>
      <c r="T26" s="10">
        <f ca="1">SUM(S$26,MIN(OFFSET(Assumptions!$B$20,0,$C$1),ABS(OFFSET(Assumptions!$B$13,0,$C$1)-S$26))*SIGN(OFFSET(Assumptions!$B$13,0,$C$1)-S$26))</f>
        <v>32.700000000000003</v>
      </c>
    </row>
    <row r="27" spans="1:20" ht="15" x14ac:dyDescent="0.25">
      <c r="A27" s="2" t="s">
        <v>103</v>
      </c>
      <c r="B27" s="4" t="str">
        <f t="shared" si="11"/>
        <v>From Economic</v>
      </c>
      <c r="D27" s="18">
        <f>'Economic Forecasts'!M$14</f>
        <v>6.3E-3</v>
      </c>
      <c r="E27" s="18">
        <f>'Economic Forecasts'!N$14</f>
        <v>-2.5000000000000001E-3</v>
      </c>
      <c r="F27" s="17">
        <f>'Economic Forecasts'!O$14</f>
        <v>-2.4299999999999999E-2</v>
      </c>
      <c r="G27" s="17">
        <f>'Economic Forecasts'!P$14</f>
        <v>3.5000000000000001E-3</v>
      </c>
      <c r="H27" s="17">
        <f>'Economic Forecasts'!Q$14</f>
        <v>1.6500000000000001E-2</v>
      </c>
      <c r="I27" s="17">
        <f>'Economic Forecasts'!R$14</f>
        <v>1.26E-2</v>
      </c>
      <c r="J27" s="17">
        <f>'Economic Forecasts'!S$14</f>
        <v>1.2500000000000001E-2</v>
      </c>
      <c r="K27" s="11">
        <f ca="1">SUM(J$27,MIN(OFFSET(Assumptions!$B$21,0,$C$1),ABS(OFFSET(Assumptions!$B$14,0,$C$1)-J$27))*SIGN(OFFSET(Assumptions!$B$14,0,$C$1)-J$27))</f>
        <v>1.4500000000000001E-2</v>
      </c>
      <c r="L27" s="11">
        <f ca="1">SUM(K$27,MIN(OFFSET(Assumptions!$B$21,0,$C$1),ABS(OFFSET(Assumptions!$B$14,0,$C$1)-K$27))*SIGN(OFFSET(Assumptions!$B$14,0,$C$1)-K$27))</f>
        <v>1.4999999999999999E-2</v>
      </c>
      <c r="M27" s="11">
        <f ca="1">SUM(L$27,MIN(OFFSET(Assumptions!$B$21,0,$C$1),ABS(OFFSET(Assumptions!$B$14,0,$C$1)-L$27))*SIGN(OFFSET(Assumptions!$B$14,0,$C$1)-L$27))</f>
        <v>1.4999999999999999E-2</v>
      </c>
      <c r="N27" s="11">
        <f ca="1">SUM(M$27,MIN(OFFSET(Assumptions!$B$21,0,$C$1),ABS(OFFSET(Assumptions!$B$14,0,$C$1)-M$27))*SIGN(OFFSET(Assumptions!$B$14,0,$C$1)-M$27))</f>
        <v>1.4999999999999999E-2</v>
      </c>
      <c r="O27" s="11">
        <f ca="1">SUM(N$27,MIN(OFFSET(Assumptions!$B$21,0,$C$1),ABS(OFFSET(Assumptions!$B$14,0,$C$1)-N$27))*SIGN(OFFSET(Assumptions!$B$14,0,$C$1)-N$27))</f>
        <v>1.4999999999999999E-2</v>
      </c>
      <c r="P27" s="11">
        <f ca="1">SUM(O$27,MIN(OFFSET(Assumptions!$B$21,0,$C$1),ABS(OFFSET(Assumptions!$B$14,0,$C$1)-O$27))*SIGN(OFFSET(Assumptions!$B$14,0,$C$1)-O$27))</f>
        <v>1.4999999999999999E-2</v>
      </c>
      <c r="Q27" s="11">
        <f ca="1">SUM(P$27,MIN(OFFSET(Assumptions!$B$21,0,$C$1),ABS(OFFSET(Assumptions!$B$14,0,$C$1)-P$27))*SIGN(OFFSET(Assumptions!$B$14,0,$C$1)-P$27))</f>
        <v>1.4999999999999999E-2</v>
      </c>
      <c r="R27" s="11">
        <f ca="1">SUM(Q$27,MIN(OFFSET(Assumptions!$B$21,0,$C$1),ABS(OFFSET(Assumptions!$B$14,0,$C$1)-Q$27))*SIGN(OFFSET(Assumptions!$B$14,0,$C$1)-Q$27))</f>
        <v>1.4999999999999999E-2</v>
      </c>
      <c r="S27" s="11">
        <f ca="1">SUM(R$27,MIN(OFFSET(Assumptions!$B$21,0,$C$1),ABS(OFFSET(Assumptions!$B$14,0,$C$1)-R$27))*SIGN(OFFSET(Assumptions!$B$14,0,$C$1)-R$27))</f>
        <v>1.4999999999999999E-2</v>
      </c>
      <c r="T27" s="11">
        <f ca="1">SUM(S$27,MIN(OFFSET(Assumptions!$B$21,0,$C$1),ABS(OFFSET(Assumptions!$B$14,0,$C$1)-S$27))*SIGN(OFFSET(Assumptions!$B$14,0,$C$1)-S$27))</f>
        <v>1.4999999999999999E-2</v>
      </c>
    </row>
    <row r="28" spans="1:20" ht="15" x14ac:dyDescent="0.25">
      <c r="A28" s="2" t="s">
        <v>105</v>
      </c>
      <c r="B28" s="4" t="str">
        <f t="shared" si="11"/>
        <v>From Economic</v>
      </c>
      <c r="D28" s="18">
        <f>'Economic Forecasts'!M$16</f>
        <v>2.4400000000000002E-2</v>
      </c>
      <c r="E28" s="18">
        <f>'Economic Forecasts'!N$16</f>
        <v>2.2499999999999999E-2</v>
      </c>
      <c r="F28" s="17">
        <f>'Economic Forecasts'!O$16</f>
        <v>1.47E-2</v>
      </c>
      <c r="G28" s="17">
        <f>'Economic Forecasts'!P$16</f>
        <v>2.3400000000000001E-2</v>
      </c>
      <c r="H28" s="17">
        <f>'Economic Forecasts'!Q$16</f>
        <v>2.8799999999999999E-2</v>
      </c>
      <c r="I28" s="17">
        <f>'Economic Forecasts'!R$16</f>
        <v>2.7199999999999998E-2</v>
      </c>
      <c r="J28" s="17">
        <f>'Economic Forecasts'!S$16</f>
        <v>2.6599999999999999E-2</v>
      </c>
      <c r="K28" s="11">
        <f t="shared" ref="K28:T28" ca="1" si="12">(1+K$27)*(1+K$31)-1</f>
        <v>3.4789999999999877E-2</v>
      </c>
      <c r="L28" s="11">
        <f t="shared" ca="1" si="12"/>
        <v>3.5299999999999887E-2</v>
      </c>
      <c r="M28" s="11">
        <f t="shared" ca="1" si="12"/>
        <v>3.5299999999999887E-2</v>
      </c>
      <c r="N28" s="11">
        <f t="shared" ca="1" si="12"/>
        <v>3.5299999999999887E-2</v>
      </c>
      <c r="O28" s="11">
        <f t="shared" ca="1" si="12"/>
        <v>3.5299999999999887E-2</v>
      </c>
      <c r="P28" s="11">
        <f t="shared" ca="1" si="12"/>
        <v>3.5299999999999887E-2</v>
      </c>
      <c r="Q28" s="11">
        <f t="shared" ca="1" si="12"/>
        <v>3.5299999999999887E-2</v>
      </c>
      <c r="R28" s="11">
        <f t="shared" ca="1" si="12"/>
        <v>3.5299999999999887E-2</v>
      </c>
      <c r="S28" s="11">
        <f t="shared" ca="1" si="12"/>
        <v>3.5299999999999887E-2</v>
      </c>
      <c r="T28" s="11">
        <f t="shared" ca="1" si="12"/>
        <v>3.5299999999999887E-2</v>
      </c>
    </row>
    <row r="29" spans="1:20" x14ac:dyDescent="0.2">
      <c r="A29" s="19" t="s">
        <v>288</v>
      </c>
      <c r="B29" s="4"/>
      <c r="D29" s="18"/>
      <c r="E29" s="18"/>
      <c r="F29" s="17"/>
      <c r="G29" s="17"/>
      <c r="H29" s="17"/>
      <c r="I29" s="17"/>
      <c r="J29" s="17"/>
      <c r="K29" s="11"/>
      <c r="L29" s="11"/>
      <c r="M29" s="11"/>
      <c r="N29" s="11"/>
      <c r="O29" s="11"/>
      <c r="P29" s="11"/>
      <c r="Q29" s="11"/>
      <c r="R29" s="11"/>
      <c r="S29" s="11"/>
      <c r="T29" s="11"/>
    </row>
    <row r="30" spans="1:20" ht="15" x14ac:dyDescent="0.25">
      <c r="A30" s="2" t="s">
        <v>292</v>
      </c>
      <c r="B30" s="4" t="str">
        <f t="shared" si="11"/>
        <v>From Economic</v>
      </c>
      <c r="D30" s="23">
        <f>'Economic Forecasts'!M$15</f>
        <v>1200</v>
      </c>
      <c r="E30" s="23">
        <f>'Economic Forecasts'!N$15</f>
        <v>1205</v>
      </c>
      <c r="F30" s="24">
        <f>'Economic Forecasts'!O$15</f>
        <v>1226</v>
      </c>
      <c r="G30" s="24">
        <f>'Economic Forecasts'!P$15</f>
        <v>1242</v>
      </c>
      <c r="H30" s="24">
        <f>'Economic Forecasts'!Q$15</f>
        <v>1266</v>
      </c>
      <c r="I30" s="24">
        <f>'Economic Forecasts'!R$15</f>
        <v>1292</v>
      </c>
      <c r="J30" s="24">
        <f>'Economic Forecasts'!S$15</f>
        <v>1319</v>
      </c>
      <c r="K30" s="3">
        <f ca="1">J$30*(1+J$31+MIN(OFFSET(Assumptions!$B$22,0,$C$1),ABS(OFFSET(Assumptions!$B$15,0,$C$1)-J$31))*SIGN(OFFSET(Assumptions!$B$15,0,$C$1)-J$31))</f>
        <v>1345.38</v>
      </c>
      <c r="L30" s="3">
        <f ca="1">K$30*(1+K$31+MIN(OFFSET(Assumptions!$B$22,0,$C$1),ABS(OFFSET(Assumptions!$B$15,0,$C$1)-K$31))*SIGN(OFFSET(Assumptions!$B$15,0,$C$1)-K$31))</f>
        <v>1372.2876000000001</v>
      </c>
      <c r="M30" s="3">
        <f ca="1">L$30*(1+L$31+MIN(OFFSET(Assumptions!$B$22,0,$C$1),ABS(OFFSET(Assumptions!$B$15,0,$C$1)-L$31))*SIGN(OFFSET(Assumptions!$B$15,0,$C$1)-L$31))</f>
        <v>1399.7333520000002</v>
      </c>
      <c r="N30" s="3">
        <f ca="1">M$30*(1+M$31+MIN(OFFSET(Assumptions!$B$22,0,$C$1),ABS(OFFSET(Assumptions!$B$15,0,$C$1)-M$31))*SIGN(OFFSET(Assumptions!$B$15,0,$C$1)-M$31))</f>
        <v>1427.7280190400002</v>
      </c>
      <c r="O30" s="3">
        <f ca="1">N$30*(1+N$31+MIN(OFFSET(Assumptions!$B$22,0,$C$1),ABS(OFFSET(Assumptions!$B$15,0,$C$1)-N$31))*SIGN(OFFSET(Assumptions!$B$15,0,$C$1)-N$31))</f>
        <v>1456.2825794208002</v>
      </c>
      <c r="P30" s="3">
        <f ca="1">O$30*(1+O$31+MIN(OFFSET(Assumptions!$B$22,0,$C$1),ABS(OFFSET(Assumptions!$B$15,0,$C$1)-O$31))*SIGN(OFFSET(Assumptions!$B$15,0,$C$1)-O$31))</f>
        <v>1485.4082310092163</v>
      </c>
      <c r="Q30" s="3">
        <f ca="1">P$30*(1+P$31+MIN(OFFSET(Assumptions!$B$22,0,$C$1),ABS(OFFSET(Assumptions!$B$15,0,$C$1)-P$31))*SIGN(OFFSET(Assumptions!$B$15,0,$C$1)-P$31))</f>
        <v>1515.1163956294006</v>
      </c>
      <c r="R30" s="3">
        <f ca="1">Q$30*(1+Q$31+MIN(OFFSET(Assumptions!$B$22,0,$C$1),ABS(OFFSET(Assumptions!$B$15,0,$C$1)-Q$31))*SIGN(OFFSET(Assumptions!$B$15,0,$C$1)-Q$31))</f>
        <v>1545.4187235419886</v>
      </c>
      <c r="S30" s="3">
        <f ca="1">R$30*(1+R$31+MIN(OFFSET(Assumptions!$B$22,0,$C$1),ABS(OFFSET(Assumptions!$B$15,0,$C$1)-R$31))*SIGN(OFFSET(Assumptions!$B$15,0,$C$1)-R$31))</f>
        <v>1576.3270980128284</v>
      </c>
      <c r="T30" s="3">
        <f ca="1">S$30*(1+S$31+MIN(OFFSET(Assumptions!$B$22,0,$C$1),ABS(OFFSET(Assumptions!$B$15,0,$C$1)-S$31))*SIGN(OFFSET(Assumptions!$B$15,0,$C$1)-S$31))</f>
        <v>1607.8536399730849</v>
      </c>
    </row>
    <row r="31" spans="1:20" x14ac:dyDescent="0.2">
      <c r="A31" s="4" t="str">
        <f>$A$12</f>
        <v>Annual percentage growth</v>
      </c>
      <c r="D31" s="18"/>
      <c r="E31" s="18">
        <f t="shared" ref="E31:T31" si="13">E$30/D$30-1</f>
        <v>4.1666666666666519E-3</v>
      </c>
      <c r="F31" s="17">
        <f t="shared" si="13"/>
        <v>1.7427385892116121E-2</v>
      </c>
      <c r="G31" s="17">
        <f t="shared" si="13"/>
        <v>1.3050570962479524E-2</v>
      </c>
      <c r="H31" s="17">
        <f t="shared" si="13"/>
        <v>1.9323671497584627E-2</v>
      </c>
      <c r="I31" s="17">
        <f t="shared" si="13"/>
        <v>2.0537124802527673E-2</v>
      </c>
      <c r="J31" s="17">
        <f t="shared" si="13"/>
        <v>2.0897832817337481E-2</v>
      </c>
      <c r="K31" s="11">
        <f t="shared" ca="1" si="13"/>
        <v>2.0000000000000018E-2</v>
      </c>
      <c r="L31" s="11">
        <f t="shared" ca="1" si="13"/>
        <v>2.0000000000000018E-2</v>
      </c>
      <c r="M31" s="11">
        <f t="shared" ca="1" si="13"/>
        <v>2.0000000000000018E-2</v>
      </c>
      <c r="N31" s="11">
        <f t="shared" ca="1" si="13"/>
        <v>2.0000000000000018E-2</v>
      </c>
      <c r="O31" s="11">
        <f t="shared" ca="1" si="13"/>
        <v>2.0000000000000018E-2</v>
      </c>
      <c r="P31" s="11">
        <f t="shared" ca="1" si="13"/>
        <v>2.0000000000000018E-2</v>
      </c>
      <c r="Q31" s="11">
        <f t="shared" ca="1" si="13"/>
        <v>2.0000000000000018E-2</v>
      </c>
      <c r="R31" s="11">
        <f t="shared" ca="1" si="13"/>
        <v>2.0000000000000018E-2</v>
      </c>
      <c r="S31" s="11">
        <f t="shared" ca="1" si="13"/>
        <v>2.0000000000000018E-2</v>
      </c>
      <c r="T31" s="11">
        <f t="shared" ca="1" si="13"/>
        <v>2.0000000000000018E-2</v>
      </c>
    </row>
    <row r="32" spans="1:20" ht="15" x14ac:dyDescent="0.25">
      <c r="A32" s="2" t="s">
        <v>106</v>
      </c>
      <c r="B32" s="4" t="str">
        <f t="shared" si="11"/>
        <v>From Economic</v>
      </c>
      <c r="D32" s="18">
        <f>'Economic Forecasts'!M$17</f>
        <v>3.7699999999999997E-2</v>
      </c>
      <c r="E32" s="18">
        <f>'Economic Forecasts'!N$17</f>
        <v>3.1600000000000003E-2</v>
      </c>
      <c r="F32" s="17">
        <f>'Economic Forecasts'!O$17</f>
        <v>2.86E-2</v>
      </c>
      <c r="G32" s="17">
        <f>'Economic Forecasts'!P$17</f>
        <v>2.9300000000000003E-2</v>
      </c>
      <c r="H32" s="17">
        <f>'Economic Forecasts'!Q$17</f>
        <v>3.2599999999999997E-2</v>
      </c>
      <c r="I32" s="17">
        <f>'Economic Forecasts'!R$17</f>
        <v>3.8300000000000001E-2</v>
      </c>
      <c r="J32" s="17">
        <f>'Economic Forecasts'!S$17</f>
        <v>4.1500000000000002E-2</v>
      </c>
      <c r="K32" s="11">
        <f ca="1">SUM(J$32,MIN(OFFSET(Assumptions!$B$23,0,$C$1),ABS(OFFSET(Assumptions!$B$16,0,$C$1)-J$32))*SIGN(OFFSET(Assumptions!$B$16,0,$C$1)-J$32))</f>
        <v>4.3500000000000004E-2</v>
      </c>
      <c r="L32" s="11">
        <f ca="1">SUM(K$32,MIN(OFFSET(Assumptions!$B$23,0,$C$1),ABS(OFFSET(Assumptions!$B$16,0,$C$1)-K$32))*SIGN(OFFSET(Assumptions!$B$16,0,$C$1)-K$32))</f>
        <v>4.5500000000000006E-2</v>
      </c>
      <c r="M32" s="11">
        <f ca="1">SUM(L$32,MIN(OFFSET(Assumptions!$B$23,0,$C$1),ABS(OFFSET(Assumptions!$B$16,0,$C$1)-L$32))*SIGN(OFFSET(Assumptions!$B$16,0,$C$1)-L$32))</f>
        <v>4.7500000000000007E-2</v>
      </c>
      <c r="N32" s="11">
        <f ca="1">SUM(M$32,MIN(OFFSET(Assumptions!$B$23,0,$C$1),ABS(OFFSET(Assumptions!$B$16,0,$C$1)-M$32))*SIGN(OFFSET(Assumptions!$B$16,0,$C$1)-M$32))</f>
        <v>4.9500000000000009E-2</v>
      </c>
      <c r="O32" s="11">
        <f ca="1">SUM(N$32,MIN(OFFSET(Assumptions!$B$23,0,$C$1),ABS(OFFSET(Assumptions!$B$16,0,$C$1)-N$32))*SIGN(OFFSET(Assumptions!$B$16,0,$C$1)-N$32))</f>
        <v>5.1500000000000011E-2</v>
      </c>
      <c r="P32" s="11">
        <f ca="1">SUM(O$32,MIN(OFFSET(Assumptions!$B$23,0,$C$1),ABS(OFFSET(Assumptions!$B$16,0,$C$1)-O$32))*SIGN(OFFSET(Assumptions!$B$16,0,$C$1)-O$32))</f>
        <v>5.2999999999999999E-2</v>
      </c>
      <c r="Q32" s="11">
        <f ca="1">SUM(P$32,MIN(OFFSET(Assumptions!$B$23,0,$C$1),ABS(OFFSET(Assumptions!$B$16,0,$C$1)-P$32))*SIGN(OFFSET(Assumptions!$B$16,0,$C$1)-P$32))</f>
        <v>5.2999999999999999E-2</v>
      </c>
      <c r="R32" s="11">
        <f ca="1">SUM(Q$32,MIN(OFFSET(Assumptions!$B$23,0,$C$1),ABS(OFFSET(Assumptions!$B$16,0,$C$1)-Q$32))*SIGN(OFFSET(Assumptions!$B$16,0,$C$1)-Q$32))</f>
        <v>5.2999999999999999E-2</v>
      </c>
      <c r="S32" s="11">
        <f ca="1">SUM(R$32,MIN(OFFSET(Assumptions!$B$23,0,$C$1),ABS(OFFSET(Assumptions!$B$16,0,$C$1)-R$32))*SIGN(OFFSET(Assumptions!$B$16,0,$C$1)-R$32))</f>
        <v>5.2999999999999999E-2</v>
      </c>
      <c r="T32" s="11">
        <f ca="1">SUM(S$32,MIN(OFFSET(Assumptions!$B$23,0,$C$1),ABS(OFFSET(Assumptions!$B$16,0,$C$1)-S$32))*SIGN(OFFSET(Assumptions!$B$16,0,$C$1)-S$32))</f>
        <v>5.2999999999999999E-2</v>
      </c>
    </row>
    <row r="34" spans="1:20" ht="16.5" x14ac:dyDescent="0.25">
      <c r="A34" s="55" t="s">
        <v>283</v>
      </c>
    </row>
    <row r="35" spans="1:20" x14ac:dyDescent="0.2">
      <c r="A35" s="19" t="s">
        <v>140</v>
      </c>
    </row>
    <row r="36" spans="1:20" x14ac:dyDescent="0.2">
      <c r="A36" s="1" t="s">
        <v>665</v>
      </c>
      <c r="B36" s="4"/>
      <c r="D36" s="15">
        <f t="shared" ref="D36" si="14">SUM(D$129,D$137,D$141,D$151,D$155)</f>
        <v>95.013000000000005</v>
      </c>
      <c r="E36" s="15">
        <f t="shared" ref="E36:S36" si="15">SUM(E$129,E$137,E$141,E$151,E$155,E$517)</f>
        <v>98.158999999999992</v>
      </c>
      <c r="F36" s="16">
        <f t="shared" si="15"/>
        <v>104.30000000000001</v>
      </c>
      <c r="G36" s="16">
        <f t="shared" si="15"/>
        <v>107.74</v>
      </c>
      <c r="H36" s="16">
        <f t="shared" si="15"/>
        <v>112.062</v>
      </c>
      <c r="I36" s="16">
        <f t="shared" si="15"/>
        <v>117.75700000000001</v>
      </c>
      <c r="J36" s="16">
        <f t="shared" si="15"/>
        <v>122.64100000000001</v>
      </c>
      <c r="K36" s="7">
        <f t="shared" ca="1" si="15"/>
        <v>128.61876862181359</v>
      </c>
      <c r="L36" s="7">
        <f t="shared" ca="1" si="15"/>
        <v>134.97968736960831</v>
      </c>
      <c r="M36" s="7">
        <f t="shared" ca="1" si="15"/>
        <v>141.48402126450767</v>
      </c>
      <c r="N36" s="7">
        <f t="shared" ca="1" si="15"/>
        <v>148.10689828674276</v>
      </c>
      <c r="O36" s="7">
        <f t="shared" ca="1" si="15"/>
        <v>155.17452572782969</v>
      </c>
      <c r="P36" s="7">
        <f t="shared" ca="1" si="15"/>
        <v>162.54072401892739</v>
      </c>
      <c r="Q36" s="7">
        <f t="shared" ca="1" si="15"/>
        <v>170.12369248619339</v>
      </c>
      <c r="R36" s="7">
        <f t="shared" ca="1" si="15"/>
        <v>177.56083829905862</v>
      </c>
      <c r="S36" s="7">
        <f t="shared" ca="1" si="15"/>
        <v>185.15712230688811</v>
      </c>
      <c r="T36" s="7">
        <f ca="1">SUM(T$129,T$137,T$141,T$151,T$155,T$517)</f>
        <v>192.92010456595739</v>
      </c>
    </row>
    <row r="37" spans="1:20" x14ac:dyDescent="0.2">
      <c r="A37" s="1" t="s">
        <v>666</v>
      </c>
      <c r="B37" s="4"/>
      <c r="D37" s="15">
        <f t="shared" ref="D37:I37" si="16">SUM(D$169,D$187,D$193,D$200,D$207,D$214,D$219,D$222,D$516-D$514)</f>
        <v>94.271999999999991</v>
      </c>
      <c r="E37" s="15">
        <f t="shared" si="16"/>
        <v>95.88000000000001</v>
      </c>
      <c r="F37" s="16">
        <f t="shared" ca="1" si="16"/>
        <v>100.16499999999999</v>
      </c>
      <c r="G37" s="16">
        <f t="shared" ca="1" si="16"/>
        <v>104.479</v>
      </c>
      <c r="H37" s="16">
        <f t="shared" ca="1" si="16"/>
        <v>108.126</v>
      </c>
      <c r="I37" s="16">
        <f t="shared" ca="1" si="16"/>
        <v>111.55099999999999</v>
      </c>
      <c r="J37" s="16">
        <f ca="1">SUM(J$169,J$187,J$193,J$200,J$207,J$214,J$219,J$222,J$516-J$514)</f>
        <v>115.72499999999999</v>
      </c>
      <c r="K37" s="7">
        <f ca="1">SUM(K$169,K$187,K$193,K$200,K$207,K$214,K$219,K$222,K$516-K$514)</f>
        <v>120.04148643772074</v>
      </c>
      <c r="L37" s="7">
        <f t="shared" ref="L37:T37" ca="1" si="17">SUM(L$169,L$187,L$193,L$200,L$207,L$214,L$219,L$222,L$516-L$514)</f>
        <v>125.36557449811671</v>
      </c>
      <c r="M37" s="7">
        <f t="shared" ca="1" si="17"/>
        <v>130.9141805389217</v>
      </c>
      <c r="N37" s="7">
        <f t="shared" ca="1" si="17"/>
        <v>136.61368695176111</v>
      </c>
      <c r="O37" s="7">
        <f t="shared" ca="1" si="17"/>
        <v>142.83581504620275</v>
      </c>
      <c r="P37" s="7">
        <f t="shared" ca="1" si="17"/>
        <v>149.32414367729021</v>
      </c>
      <c r="Q37" s="7">
        <f t="shared" ca="1" si="17"/>
        <v>156.04708785357124</v>
      </c>
      <c r="R37" s="7">
        <f t="shared" ca="1" si="17"/>
        <v>162.7150129952737</v>
      </c>
      <c r="S37" s="7">
        <f t="shared" ca="1" si="17"/>
        <v>169.55790331188638</v>
      </c>
      <c r="T37" s="7">
        <f t="shared" ca="1" si="17"/>
        <v>176.61639211688322</v>
      </c>
    </row>
    <row r="38" spans="1:20" x14ac:dyDescent="0.2">
      <c r="A38" s="1" t="s">
        <v>668</v>
      </c>
      <c r="B38" s="4" t="s">
        <v>293</v>
      </c>
      <c r="D38" s="15">
        <f>'Fiscal Forecasts'!D$24</f>
        <v>0.32700000000000001</v>
      </c>
      <c r="E38" s="15">
        <f>'Fiscal Forecasts'!E$24</f>
        <v>0.44800000000000001</v>
      </c>
      <c r="F38" s="16">
        <f>'Fiscal Forecasts'!F$24</f>
        <v>0.43099999999999999</v>
      </c>
      <c r="G38" s="16">
        <f>'Fiscal Forecasts'!G$24</f>
        <v>0.39200000000000002</v>
      </c>
      <c r="H38" s="16">
        <f>'Fiscal Forecasts'!H$24</f>
        <v>0.42099999999999999</v>
      </c>
      <c r="I38" s="16">
        <f>'Fiscal Forecasts'!I$24</f>
        <v>0.46</v>
      </c>
      <c r="J38" s="16">
        <f>'Fiscal Forecasts'!J$24</f>
        <v>0.47599999999999998</v>
      </c>
      <c r="K38" s="7">
        <f ca="1">IF(K$6=OFFSET(Assumptions!$B$8,0,$C$1),AVERAGE(H$38/H$391,I$38/I$391,J$38/J$391),J$38/J$391)*K$391</f>
        <v>0.46333419650311386</v>
      </c>
      <c r="L38" s="7">
        <f ca="1">IF(L$6=OFFSET(Assumptions!$B$8,0,$C$1),AVERAGE(I$38/I$391,J$38/J$391,K$38/K$391),K$38/K$391)*L$391</f>
        <v>0.46960239168159346</v>
      </c>
      <c r="M38" s="7">
        <f ca="1">IF(M$6=OFFSET(Assumptions!$B$8,0,$C$1),AVERAGE(J$38/J$391,K$38/K$391,L$38/L$391),L$38/L$391)*M$391</f>
        <v>0.4762151319194074</v>
      </c>
      <c r="N38" s="7">
        <f ca="1">IF(N$6=OFFSET(Assumptions!$B$8,0,$C$1),AVERAGE(K$38/K$391,L$38/L$391,M$38/M$391),M$38/M$391)*N$391</f>
        <v>0.48311653492452822</v>
      </c>
      <c r="O38" s="7">
        <f ca="1">IF(O$6=OFFSET(Assumptions!$B$8,0,$C$1),AVERAGE(L$38/L$391,M$38/M$391,N$38/N$391),N$38/N$391)*O$391</f>
        <v>0.49031619971775636</v>
      </c>
      <c r="P38" s="7">
        <f ca="1">IF(P$6=OFFSET(Assumptions!$B$8,0,$C$1),AVERAGE(M$38/M$391,N$38/N$391,O$38/O$391),O$38/O$391)*P$391</f>
        <v>0.49782490329477525</v>
      </c>
      <c r="Q38" s="7">
        <f ca="1">IF(Q$6=OFFSET(Assumptions!$B$8,0,$C$1),AVERAGE(N$38/N$391,O$38/O$391,P$38/P$391),P$38/P$391)*Q$391</f>
        <v>0.50565294467194111</v>
      </c>
      <c r="R38" s="7">
        <f ca="1">IF(R$6=OFFSET(Assumptions!$B$8,0,$C$1),AVERAGE(O$38/O$391,P$38/P$391,Q$38/Q$391),Q$38/Q$391)*R$391</f>
        <v>0.5138102667764044</v>
      </c>
      <c r="S38" s="7">
        <f ca="1">IF(S$6=OFFSET(Assumptions!$B$8,0,$C$1),AVERAGE(P$38/P$391,Q$38/Q$391,R$38/R$391),R$38/R$391)*S$391</f>
        <v>0.5223083072214173</v>
      </c>
      <c r="T38" s="7">
        <f ca="1">IF(T$6=OFFSET(Assumptions!$B$8,0,$C$1),AVERAGE(Q$38/Q$391,R$38/R$391,S$38/S$391),S$38/S$391)*T$391</f>
        <v>0.53115797449503099</v>
      </c>
    </row>
    <row r="39" spans="1:20" ht="15" x14ac:dyDescent="0.25">
      <c r="A39" s="2" t="s">
        <v>673</v>
      </c>
      <c r="B39" s="4"/>
      <c r="D39" s="35">
        <f>SUM(D$36,-D$37,-D$38)</f>
        <v>0.41400000000001386</v>
      </c>
      <c r="E39" s="35">
        <f>SUM(E$36,-E$37,-E$38)</f>
        <v>1.8309999999999822</v>
      </c>
      <c r="F39" s="34">
        <f ca="1">SUM(F$36,-F$37,-F$38)</f>
        <v>3.7040000000000193</v>
      </c>
      <c r="G39" s="34">
        <f t="shared" ref="G39:T39" ca="1" si="18">SUM(G$36,-G$37,-G$38)</f>
        <v>2.8689999999999958</v>
      </c>
      <c r="H39" s="34">
        <f t="shared" ca="1" si="18"/>
        <v>3.514999999999993</v>
      </c>
      <c r="I39" s="34">
        <f t="shared" ca="1" si="18"/>
        <v>5.7460000000000173</v>
      </c>
      <c r="J39" s="34">
        <f t="shared" ca="1" si="18"/>
        <v>6.440000000000011</v>
      </c>
      <c r="K39" s="38">
        <f t="shared" ca="1" si="18"/>
        <v>8.1139479875897376</v>
      </c>
      <c r="L39" s="38">
        <f t="shared" ca="1" si="18"/>
        <v>9.1445104798100054</v>
      </c>
      <c r="M39" s="38">
        <f t="shared" ca="1" si="18"/>
        <v>10.09362559366657</v>
      </c>
      <c r="N39" s="38">
        <f t="shared" ca="1" si="18"/>
        <v>11.010094800057123</v>
      </c>
      <c r="O39" s="38">
        <f t="shared" ca="1" si="18"/>
        <v>11.848394481909178</v>
      </c>
      <c r="P39" s="38">
        <f t="shared" ca="1" si="18"/>
        <v>12.718755438342408</v>
      </c>
      <c r="Q39" s="38">
        <f t="shared" ca="1" si="18"/>
        <v>13.57095168795021</v>
      </c>
      <c r="R39" s="38">
        <f t="shared" ca="1" si="18"/>
        <v>14.332015037008516</v>
      </c>
      <c r="S39" s="38">
        <f t="shared" ca="1" si="18"/>
        <v>15.076910687780318</v>
      </c>
      <c r="T39" s="38">
        <f t="shared" ca="1" si="18"/>
        <v>15.772554474579138</v>
      </c>
    </row>
    <row r="40" spans="1:20" x14ac:dyDescent="0.2">
      <c r="A40" s="1" t="s">
        <v>667</v>
      </c>
      <c r="D40" s="15">
        <f t="shared" ref="D40:T40" si="19">D$309</f>
        <v>4.5469999999999997</v>
      </c>
      <c r="E40" s="15">
        <f t="shared" si="19"/>
        <v>-7.5189999999999992</v>
      </c>
      <c r="F40" s="16">
        <f t="shared" si="19"/>
        <v>7.27</v>
      </c>
      <c r="G40" s="16">
        <f t="shared" si="19"/>
        <v>2.593</v>
      </c>
      <c r="H40" s="16">
        <f t="shared" si="19"/>
        <v>2.8570000000000002</v>
      </c>
      <c r="I40" s="16">
        <f t="shared" si="19"/>
        <v>3.1599999999999997</v>
      </c>
      <c r="J40" s="16">
        <f t="shared" si="19"/>
        <v>3.4079999999999999</v>
      </c>
      <c r="K40" s="7">
        <f t="shared" ca="1" si="19"/>
        <v>3.0552781825689337</v>
      </c>
      <c r="L40" s="7">
        <f t="shared" ca="1" si="19"/>
        <v>3.4039193240248538</v>
      </c>
      <c r="M40" s="7">
        <f t="shared" ca="1" si="19"/>
        <v>3.7744758084240626</v>
      </c>
      <c r="N40" s="7">
        <f t="shared" ca="1" si="19"/>
        <v>4.166139815709835</v>
      </c>
      <c r="O40" s="7">
        <f t="shared" ca="1" si="19"/>
        <v>4.5785884683030122</v>
      </c>
      <c r="P40" s="7">
        <f t="shared" ca="1" si="19"/>
        <v>4.9828513203601199</v>
      </c>
      <c r="Q40" s="7">
        <f t="shared" ca="1" si="19"/>
        <v>5.3107257059952522</v>
      </c>
      <c r="R40" s="7">
        <f t="shared" ca="1" si="19"/>
        <v>5.6359988468237168</v>
      </c>
      <c r="S40" s="7">
        <f t="shared" ca="1" si="19"/>
        <v>5.9599340122091844</v>
      </c>
      <c r="T40" s="7">
        <f t="shared" ca="1" si="19"/>
        <v>6.283725339557316</v>
      </c>
    </row>
    <row r="41" spans="1:20" x14ac:dyDescent="0.2">
      <c r="A41" s="1" t="s">
        <v>669</v>
      </c>
      <c r="B41" s="4" t="str">
        <f>$B$38</f>
        <v>From Fiscal</v>
      </c>
      <c r="D41" s="15">
        <f>'Fiscal Forecasts'!D$29</f>
        <v>0.218</v>
      </c>
      <c r="E41" s="15">
        <f>'Fiscal Forecasts'!E$29</f>
        <v>-1.2E-2</v>
      </c>
      <c r="F41" s="16">
        <f>'Fiscal Forecasts'!F$29</f>
        <v>1.2E-2</v>
      </c>
      <c r="G41" s="16">
        <f>'Fiscal Forecasts'!G$29</f>
        <v>4.8000000000000001E-2</v>
      </c>
      <c r="H41" s="16">
        <f>'Fiscal Forecasts'!H$29</f>
        <v>1.9E-2</v>
      </c>
      <c r="I41" s="16">
        <f>'Fiscal Forecasts'!I$29</f>
        <v>8.9999999999999993E-3</v>
      </c>
      <c r="J41" s="16">
        <f>'Fiscal Forecasts'!J$29</f>
        <v>8.9999999999999993E-3</v>
      </c>
      <c r="K41" s="7">
        <f ca="1">IF(K$6=OFFSET(Assumptions!$B$8,0,$C$1),AVERAGE(H$41/H$391,I$41/I$391,J$41/J$391),J$41/J$391)*K$391</f>
        <v>1.2611115369998779E-2</v>
      </c>
      <c r="L41" s="7">
        <f ca="1">IF(L$6=OFFSET(Assumptions!$B$8,0,$C$1),AVERAGE(I$41/I$391,J$41/J$391,K$41/K$391),K$41/K$391)*L$391</f>
        <v>1.2781724259120445E-2</v>
      </c>
      <c r="M41" s="7">
        <f ca="1">IF(M$6=OFFSET(Assumptions!$B$8,0,$C$1),AVERAGE(J$41/J$391,K$41/K$391,L$41/L$391),L$41/L$391)*M$391</f>
        <v>1.296171103903071E-2</v>
      </c>
      <c r="N41" s="7">
        <f ca="1">IF(N$6=OFFSET(Assumptions!$B$8,0,$C$1),AVERAGE(K$41/K$391,L$41/L$391,M$41/M$391),M$41/M$391)*N$391</f>
        <v>1.3149554695228121E-2</v>
      </c>
      <c r="O41" s="7">
        <f ca="1">IF(O$6=OFFSET(Assumptions!$B$8,0,$C$1),AVERAGE(L$41/L$391,M$41/M$391,N$41/N$391),N$41/N$391)*O$391</f>
        <v>1.3345516495626137E-2</v>
      </c>
      <c r="P41" s="7">
        <f ca="1">IF(P$6=OFFSET(Assumptions!$B$8,0,$C$1),AVERAGE(M$41/M$391,N$41/N$391,O$41/O$391),O$41/O$391)*P$391</f>
        <v>1.3549889770475216E-2</v>
      </c>
      <c r="Q41" s="7">
        <f ca="1">IF(Q$6=OFFSET(Assumptions!$B$8,0,$C$1),AVERAGE(N$41/N$391,O$41/O$391,P$41/P$391),P$41/P$391)*Q$391</f>
        <v>1.3762954840296581E-2</v>
      </c>
      <c r="R41" s="7">
        <f ca="1">IF(R$6=OFFSET(Assumptions!$B$8,0,$C$1),AVERAGE(O$41/O$391,P$41/P$391,Q$41/Q$391),Q$41/Q$391)*R$391</f>
        <v>1.3984982333509973E-2</v>
      </c>
      <c r="S41" s="7">
        <f ca="1">IF(S$6=OFFSET(Assumptions!$B$8,0,$C$1),AVERAGE(P$41/P$391,Q$41/Q$391,R$41/R$391),R$41/R$391)*S$391</f>
        <v>1.4216283561176326E-2</v>
      </c>
      <c r="T41" s="7">
        <f ca="1">IF(T$6=OFFSET(Assumptions!$B$8,0,$C$1),AVERAGE(Q$41/Q$391,R$41/R$391,S$41/S$391),S$41/S$391)*T$391</f>
        <v>1.4457155432529543E-2</v>
      </c>
    </row>
    <row r="42" spans="1:20" x14ac:dyDescent="0.2">
      <c r="A42" s="1" t="s">
        <v>268</v>
      </c>
      <c r="B42" s="4"/>
      <c r="D42" s="15">
        <f>D$313</f>
        <v>1.028</v>
      </c>
      <c r="E42" s="15">
        <f>E$313</f>
        <v>0.307</v>
      </c>
      <c r="F42" s="16">
        <f t="shared" ref="F42:T42" si="20">F$313</f>
        <v>0.51400000000000001</v>
      </c>
      <c r="G42" s="16">
        <f t="shared" si="20"/>
        <v>0.20599999999999999</v>
      </c>
      <c r="H42" s="16">
        <f t="shared" si="20"/>
        <v>0.245</v>
      </c>
      <c r="I42" s="16">
        <f t="shared" si="20"/>
        <v>0.28100000000000003</v>
      </c>
      <c r="J42" s="16">
        <f t="shared" si="20"/>
        <v>0.29899999999999999</v>
      </c>
      <c r="K42" s="7">
        <f t="shared" ca="1" si="20"/>
        <v>0.29843767293152601</v>
      </c>
      <c r="L42" s="7">
        <f t="shared" ca="1" si="20"/>
        <v>0.31153115743444115</v>
      </c>
      <c r="M42" s="7">
        <f t="shared" ca="1" si="20"/>
        <v>0.32514500572720406</v>
      </c>
      <c r="N42" s="7">
        <f t="shared" ca="1" si="20"/>
        <v>0.33933840419045513</v>
      </c>
      <c r="O42" s="7">
        <f t="shared" ca="1" si="20"/>
        <v>0.3540037815249224</v>
      </c>
      <c r="P42" s="7">
        <f t="shared" ca="1" si="20"/>
        <v>0.36919905814428133</v>
      </c>
      <c r="Q42" s="7">
        <f t="shared" ca="1" si="20"/>
        <v>0.38490073205307368</v>
      </c>
      <c r="R42" s="7">
        <f t="shared" ca="1" si="20"/>
        <v>0.40109129452983916</v>
      </c>
      <c r="S42" s="7">
        <f t="shared" ca="1" si="20"/>
        <v>0.41784423851452485</v>
      </c>
      <c r="T42" s="7">
        <f t="shared" ca="1" si="20"/>
        <v>0.43513354719559166</v>
      </c>
    </row>
    <row r="43" spans="1:20" ht="15" x14ac:dyDescent="0.25">
      <c r="A43" s="2" t="s">
        <v>674</v>
      </c>
      <c r="B43" s="4"/>
      <c r="D43" s="35">
        <f>SUM(D$39,D$40,-D$41,D$42)</f>
        <v>5.7710000000000132</v>
      </c>
      <c r="E43" s="35">
        <f>SUM(E$39,E$40,-E$41,E$42)</f>
        <v>-5.3690000000000166</v>
      </c>
      <c r="F43" s="34">
        <f ca="1">SUM(F$39,F$40,-F$41,F$42)</f>
        <v>11.476000000000017</v>
      </c>
      <c r="G43" s="34">
        <f t="shared" ref="G43:T43" ca="1" si="21">SUM(G$39,G$40,-G$41,G$42)</f>
        <v>5.6199999999999966</v>
      </c>
      <c r="H43" s="34">
        <f t="shared" ca="1" si="21"/>
        <v>6.5979999999999928</v>
      </c>
      <c r="I43" s="34">
        <f t="shared" ca="1" si="21"/>
        <v>9.1780000000000168</v>
      </c>
      <c r="J43" s="34">
        <f t="shared" ca="1" si="21"/>
        <v>10.138000000000011</v>
      </c>
      <c r="K43" s="38">
        <f t="shared" ca="1" si="21"/>
        <v>11.455052727720197</v>
      </c>
      <c r="L43" s="38">
        <f t="shared" ca="1" si="21"/>
        <v>12.847179237010179</v>
      </c>
      <c r="M43" s="38">
        <f t="shared" ca="1" si="21"/>
        <v>14.180284696778806</v>
      </c>
      <c r="N43" s="38">
        <f t="shared" ca="1" si="21"/>
        <v>15.502423465262185</v>
      </c>
      <c r="O43" s="38">
        <f t="shared" ca="1" si="21"/>
        <v>16.76764121524149</v>
      </c>
      <c r="P43" s="38">
        <f t="shared" ca="1" si="21"/>
        <v>18.057255927076337</v>
      </c>
      <c r="Q43" s="38">
        <f t="shared" ca="1" si="21"/>
        <v>19.25281517115824</v>
      </c>
      <c r="R43" s="38">
        <f t="shared" ca="1" si="21"/>
        <v>20.355120196028558</v>
      </c>
      <c r="S43" s="38">
        <f t="shared" ca="1" si="21"/>
        <v>21.440472654942852</v>
      </c>
      <c r="T43" s="38">
        <f t="shared" ca="1" si="21"/>
        <v>22.476956205899512</v>
      </c>
    </row>
    <row r="44" spans="1:20" ht="15" x14ac:dyDescent="0.25">
      <c r="A44" s="27" t="s">
        <v>675</v>
      </c>
      <c r="D44" s="6" t="str">
        <f>IF(ROUND(D$37-SUM(D$175,D$207,D$219,D$222,D$227,D$233,D$242,D$250,D$254,D$258,D$265,D$272,D$276,D$280,D$284,D$288,D$292,D$516-D$514),3)=0,"OK","ERROR")</f>
        <v>OK</v>
      </c>
      <c r="E44" s="6" t="str">
        <f>IF(ROUND(E$37-SUM(E$175,E$207,E$219,E$222,E$227,E$233,E$242,E$250,E$254,E$258,E$265,E$272,E$276,E$280,E$284,E$288,E$292,E$516-E$514),3)=0,"OK","ERROR")</f>
        <v>OK</v>
      </c>
      <c r="F44" s="6" t="str">
        <f t="shared" ref="F44:T44" ca="1" si="22">IF(ROUND(F$37-SUM(F$175,F$207,F$219,F$222,F$227,F$233,F$242,F$250,F$254,F$258,F$265,F$272,F$276,F$280,F$284,F$288,F$292,F$516-F$514),3)=0,"OK","ERROR")</f>
        <v>OK</v>
      </c>
      <c r="G44" s="6" t="str">
        <f t="shared" ca="1" si="22"/>
        <v>OK</v>
      </c>
      <c r="H44" s="6" t="str">
        <f t="shared" ca="1" si="22"/>
        <v>OK</v>
      </c>
      <c r="I44" s="6" t="str">
        <f t="shared" ca="1" si="22"/>
        <v>OK</v>
      </c>
      <c r="J44" s="6" t="str">
        <f t="shared" ca="1" si="22"/>
        <v>OK</v>
      </c>
      <c r="K44" s="6" t="str">
        <f t="shared" ca="1" si="22"/>
        <v>OK</v>
      </c>
      <c r="L44" s="6" t="str">
        <f t="shared" ca="1" si="22"/>
        <v>OK</v>
      </c>
      <c r="M44" s="6" t="str">
        <f t="shared" ca="1" si="22"/>
        <v>OK</v>
      </c>
      <c r="N44" s="6" t="str">
        <f t="shared" ca="1" si="22"/>
        <v>OK</v>
      </c>
      <c r="O44" s="6" t="str">
        <f t="shared" ca="1" si="22"/>
        <v>OK</v>
      </c>
      <c r="P44" s="6" t="str">
        <f t="shared" ca="1" si="22"/>
        <v>OK</v>
      </c>
      <c r="Q44" s="6" t="str">
        <f t="shared" ca="1" si="22"/>
        <v>OK</v>
      </c>
      <c r="R44" s="6" t="str">
        <f t="shared" ca="1" si="22"/>
        <v>OK</v>
      </c>
      <c r="S44" s="6" t="str">
        <f t="shared" ca="1" si="22"/>
        <v>OK</v>
      </c>
      <c r="T44" s="6" t="str">
        <f t="shared" ca="1" si="22"/>
        <v>OK</v>
      </c>
    </row>
    <row r="45" spans="1:20" ht="15" x14ac:dyDescent="0.25">
      <c r="A45" s="1" t="s">
        <v>671</v>
      </c>
      <c r="D45" s="40">
        <f>SUM(D$131,D$134,D$140,D$147,D$154,D$511)</f>
        <v>72.212999999999994</v>
      </c>
      <c r="E45" s="40">
        <f>SUM(E$131,E$134,E$140,E$147,E$154,E$511)</f>
        <v>76.120999999999995</v>
      </c>
      <c r="F45" s="39">
        <f>SUM(F$131,F$134,F$140,F$147,F$154,F$511)</f>
        <v>81.843000000000018</v>
      </c>
      <c r="G45" s="39">
        <f t="shared" ref="G45:T45" si="23">SUM(G$131,G$134,G$140,G$147,G$154,G$511)</f>
        <v>84.553000000000011</v>
      </c>
      <c r="H45" s="39">
        <f t="shared" si="23"/>
        <v>87.76100000000001</v>
      </c>
      <c r="I45" s="39">
        <f t="shared" si="23"/>
        <v>92.433000000000007</v>
      </c>
      <c r="J45" s="39">
        <f t="shared" si="23"/>
        <v>96.660000000000011</v>
      </c>
      <c r="K45" s="8">
        <f t="shared" ca="1" si="23"/>
        <v>101.25397056611122</v>
      </c>
      <c r="L45" s="8">
        <f t="shared" ca="1" si="23"/>
        <v>106.44640864768741</v>
      </c>
      <c r="M45" s="8">
        <f t="shared" ca="1" si="23"/>
        <v>111.68305135926342</v>
      </c>
      <c r="N45" s="8">
        <f t="shared" ca="1" si="23"/>
        <v>116.98066653756162</v>
      </c>
      <c r="O45" s="8">
        <f t="shared" ca="1" si="23"/>
        <v>122.67661520075194</v>
      </c>
      <c r="P45" s="8">
        <f t="shared" ca="1" si="23"/>
        <v>128.60742290115596</v>
      </c>
      <c r="Q45" s="8">
        <f t="shared" ca="1" si="23"/>
        <v>134.71446342543092</v>
      </c>
      <c r="R45" s="8">
        <f t="shared" ca="1" si="23"/>
        <v>140.65745181970405</v>
      </c>
      <c r="S45" s="8">
        <f t="shared" ca="1" si="23"/>
        <v>146.71225293679194</v>
      </c>
      <c r="T45" s="8">
        <f t="shared" ca="1" si="23"/>
        <v>152.86339578288411</v>
      </c>
    </row>
    <row r="46" spans="1:20" ht="15" x14ac:dyDescent="0.25">
      <c r="A46" s="1" t="s">
        <v>672</v>
      </c>
      <c r="D46" s="40">
        <f>SUM(D$170,D$183,D$190,D$196,D$203,D$211,D$219,D$222,D$510-D$507)</f>
        <v>72.363</v>
      </c>
      <c r="E46" s="40">
        <f>SUM(E$170,E$183,E$190,E$196,E$203,E$211,E$219,E$222,E$510-E$507)</f>
        <v>73.929000000000002</v>
      </c>
      <c r="F46" s="39">
        <f ca="1">SUM(F$170,F$183,F$190,F$196,F$203,F$211,F$219,F$222,F$510-F$507)</f>
        <v>76.84</v>
      </c>
      <c r="G46" s="39">
        <f t="shared" ref="G46:T46" ca="1" si="24">SUM(G$170,G$183,G$190,G$196,G$203,G$211,G$219,G$222,G$510-G$507)</f>
        <v>80.984999999999999</v>
      </c>
      <c r="H46" s="39">
        <f t="shared" ca="1" si="24"/>
        <v>83.673000000000016</v>
      </c>
      <c r="I46" s="39">
        <f t="shared" ca="1" si="24"/>
        <v>86.120999999999995</v>
      </c>
      <c r="J46" s="39">
        <f t="shared" ca="1" si="24"/>
        <v>89.463999999999999</v>
      </c>
      <c r="K46" s="8">
        <f t="shared" ca="1" si="24"/>
        <v>92.178037940751651</v>
      </c>
      <c r="L46" s="8">
        <f t="shared" ca="1" si="24"/>
        <v>96.259768431088034</v>
      </c>
      <c r="M46" s="8">
        <f t="shared" ca="1" si="24"/>
        <v>100.47858825825509</v>
      </c>
      <c r="N46" s="8">
        <f t="shared" ca="1" si="24"/>
        <v>104.82931875076106</v>
      </c>
      <c r="O46" s="8">
        <f t="shared" ca="1" si="24"/>
        <v>109.65159862885689</v>
      </c>
      <c r="P46" s="8">
        <f t="shared" ca="1" si="24"/>
        <v>114.69887447596624</v>
      </c>
      <c r="Q46" s="8">
        <f t="shared" ca="1" si="24"/>
        <v>119.92957929471129</v>
      </c>
      <c r="R46" s="8">
        <f t="shared" ca="1" si="24"/>
        <v>125.11671021923833</v>
      </c>
      <c r="S46" s="8">
        <f t="shared" ca="1" si="24"/>
        <v>130.42648122451808</v>
      </c>
      <c r="T46" s="8">
        <f t="shared" ca="1" si="24"/>
        <v>135.90121237269679</v>
      </c>
    </row>
    <row r="47" spans="1:20" ht="15" x14ac:dyDescent="0.25">
      <c r="A47" s="1" t="s">
        <v>269</v>
      </c>
      <c r="D47" s="40">
        <f t="shared" ref="D47:T47" si="25">SUM(D$45,-D$46,D$305,D$312)</f>
        <v>3.8789999999999947</v>
      </c>
      <c r="E47" s="40">
        <f t="shared" si="25"/>
        <v>-0.91200000000000681</v>
      </c>
      <c r="F47" s="39">
        <f t="shared" ca="1" si="25"/>
        <v>11.610000000000015</v>
      </c>
      <c r="G47" s="39">
        <f t="shared" ca="1" si="25"/>
        <v>6.0700000000000118</v>
      </c>
      <c r="H47" s="39">
        <f t="shared" ca="1" si="25"/>
        <v>6.872999999999994</v>
      </c>
      <c r="I47" s="39">
        <f t="shared" ca="1" si="25"/>
        <v>9.3170000000000126</v>
      </c>
      <c r="J47" s="39">
        <f t="shared" ca="1" si="25"/>
        <v>10.407000000000012</v>
      </c>
      <c r="K47" s="8">
        <f t="shared" ca="1" si="25"/>
        <v>11.939742927048398</v>
      </c>
      <c r="L47" s="8">
        <f t="shared" ca="1" si="25"/>
        <v>13.389752309464626</v>
      </c>
      <c r="M47" s="8">
        <f t="shared" ca="1" si="25"/>
        <v>14.768533457570413</v>
      </c>
      <c r="N47" s="8">
        <f t="shared" ca="1" si="25"/>
        <v>16.09748919396451</v>
      </c>
      <c r="O47" s="8">
        <f t="shared" ca="1" si="25"/>
        <v>17.373747253781591</v>
      </c>
      <c r="P47" s="8">
        <f t="shared" ca="1" si="25"/>
        <v>18.651098004058444</v>
      </c>
      <c r="Q47" s="8">
        <f t="shared" ca="1" si="25"/>
        <v>19.844545913180642</v>
      </c>
      <c r="R47" s="8">
        <f t="shared" ca="1" si="25"/>
        <v>20.914695976333132</v>
      </c>
      <c r="S47" s="8">
        <f t="shared" ca="1" si="25"/>
        <v>21.972356625710781</v>
      </c>
      <c r="T47" s="8">
        <f t="shared" ca="1" si="25"/>
        <v>22.960868575273103</v>
      </c>
    </row>
    <row r="48" spans="1:20" ht="15" x14ac:dyDescent="0.25">
      <c r="A48" s="1" t="s">
        <v>676</v>
      </c>
      <c r="B48" s="4"/>
      <c r="D48" s="40">
        <f>SUM(D$45-D$147-D$511)-SUM(D$46-D$203-(D$510-D$507))</f>
        <v>1.1809999999999974</v>
      </c>
      <c r="E48" s="40">
        <f>SUM(E$45-E$147-E$511)-SUM(E$46-E$203-(E$510-E$507))</f>
        <v>3.3930000000000007</v>
      </c>
      <c r="F48" s="39">
        <f ca="1">SUM(F$45-F$147-F$511)-SUM(F$46-F$203-(F$510-F$507))</f>
        <v>5.9170000000000158</v>
      </c>
      <c r="G48" s="39">
        <f t="shared" ref="G48:T48" ca="1" si="26">SUM(G$45-G$147-G$511)-SUM(G$46-G$203-(G$510-G$507))</f>
        <v>4.5010000000000048</v>
      </c>
      <c r="H48" s="39">
        <f t="shared" ca="1" si="26"/>
        <v>4.9119999999999919</v>
      </c>
      <c r="I48" s="39">
        <f t="shared" ca="1" si="26"/>
        <v>7.0080000000000098</v>
      </c>
      <c r="J48" s="39">
        <f t="shared" ca="1" si="26"/>
        <v>7.7200000000000131</v>
      </c>
      <c r="K48" s="8">
        <f t="shared" ca="1" si="26"/>
        <v>9.8771811047849383</v>
      </c>
      <c r="L48" s="8">
        <f t="shared" ca="1" si="26"/>
        <v>10.822952931523488</v>
      </c>
      <c r="M48" s="8">
        <f t="shared" ca="1" si="26"/>
        <v>11.65129468417787</v>
      </c>
      <c r="N48" s="8">
        <f t="shared" ca="1" si="26"/>
        <v>12.377766306054966</v>
      </c>
      <c r="O48" s="8">
        <f t="shared" ca="1" si="26"/>
        <v>13.001362450293016</v>
      </c>
      <c r="P48" s="8">
        <f t="shared" ca="1" si="26"/>
        <v>13.619585537590979</v>
      </c>
      <c r="Q48" s="8">
        <f t="shared" ca="1" si="26"/>
        <v>14.249321336049064</v>
      </c>
      <c r="R48" s="8">
        <f t="shared" ca="1" si="26"/>
        <v>14.70672096584299</v>
      </c>
      <c r="S48" s="8">
        <f t="shared" ca="1" si="26"/>
        <v>15.200415103601799</v>
      </c>
      <c r="T48" s="8">
        <f t="shared" ca="1" si="26"/>
        <v>15.695004136026938</v>
      </c>
    </row>
    <row r="49" spans="1:20" ht="15" x14ac:dyDescent="0.25">
      <c r="A49" s="1" t="s">
        <v>677</v>
      </c>
      <c r="B49" s="4"/>
      <c r="D49" s="40">
        <f t="shared" ref="D49:T49" si="27">D$470</f>
        <v>-1.8270000000000151</v>
      </c>
      <c r="E49" s="40">
        <f t="shared" si="27"/>
        <v>-1.3220000000000134</v>
      </c>
      <c r="F49" s="39">
        <f t="shared" ca="1" si="27"/>
        <v>1.4970000000000017</v>
      </c>
      <c r="G49" s="39">
        <f t="shared" ca="1" si="27"/>
        <v>-1.3559999999999732</v>
      </c>
      <c r="H49" s="39">
        <f t="shared" ca="1" si="27"/>
        <v>-1.3649999999999913</v>
      </c>
      <c r="I49" s="39">
        <f t="shared" ca="1" si="27"/>
        <v>1.7079999999999975</v>
      </c>
      <c r="J49" s="39">
        <f t="shared" ca="1" si="27"/>
        <v>1.0739999999999776</v>
      </c>
      <c r="K49" s="8">
        <f t="shared" ca="1" si="27"/>
        <v>4.4158063744872633</v>
      </c>
      <c r="L49" s="8">
        <f t="shared" ca="1" si="27"/>
        <v>3.50193182126403</v>
      </c>
      <c r="M49" s="8">
        <f t="shared" ca="1" si="27"/>
        <v>3.735118032539722</v>
      </c>
      <c r="N49" s="8">
        <f t="shared" ca="1" si="27"/>
        <v>3.8953636445270661</v>
      </c>
      <c r="O49" s="8">
        <f t="shared" ca="1" si="27"/>
        <v>4.0518349416561783</v>
      </c>
      <c r="P49" s="8">
        <f t="shared" ca="1" si="27"/>
        <v>4.0330995535362515</v>
      </c>
      <c r="Q49" s="8">
        <f t="shared" ca="1" si="27"/>
        <v>3.8105774831358872</v>
      </c>
      <c r="R49" s="8">
        <f t="shared" ca="1" si="27"/>
        <v>3.1418838050942455</v>
      </c>
      <c r="S49" s="8">
        <f t="shared" ca="1" si="27"/>
        <v>2.0877087150690805</v>
      </c>
      <c r="T49" s="8">
        <f t="shared" ca="1" si="27"/>
        <v>0.55731088765566028</v>
      </c>
    </row>
    <row r="50" spans="1:20" ht="15" x14ac:dyDescent="0.25">
      <c r="A50" s="27" t="s">
        <v>678</v>
      </c>
      <c r="D50" s="6" t="str">
        <f>IF(ROUND(D$46-SUM(D$172,D$203,D$219,D$222,D$226,D$230,D$239,D$249,D$253,D$257,D$261,D$271,D$275,D$279,D$283,D$287,D$291,D$510-D$507),3)=0,"OK","ERROR")</f>
        <v>OK</v>
      </c>
      <c r="E50" s="6" t="str">
        <f>IF(ROUND(E$46-SUM(E$172,E$203,E$219,E$222,E$226,E$230,E$239,E$249,E$253,E$257,E$261,E$271,E$275,E$279,E$283,E$287,E$291,E$510-E$507),3)=0,"OK","ERROR")</f>
        <v>OK</v>
      </c>
      <c r="F50" s="6" t="str">
        <f t="shared" ref="F50:T50" ca="1" si="28">IF(ROUND(F$46-SUM(F$172,F$203,F$219,F$222,F$226,F$230,F$239,F$249,F$253,F$257,F$261,F$271,F$275,F$279,F$283,F$287,F$291,F$510-F$507),3)=0,"OK","ERROR")</f>
        <v>OK</v>
      </c>
      <c r="G50" s="6" t="str">
        <f t="shared" ca="1" si="28"/>
        <v>OK</v>
      </c>
      <c r="H50" s="6" t="str">
        <f t="shared" ca="1" si="28"/>
        <v>OK</v>
      </c>
      <c r="I50" s="6" t="str">
        <f t="shared" ca="1" si="28"/>
        <v>OK</v>
      </c>
      <c r="J50" s="6" t="str">
        <f t="shared" ca="1" si="28"/>
        <v>OK</v>
      </c>
      <c r="K50" s="6" t="str">
        <f t="shared" ca="1" si="28"/>
        <v>OK</v>
      </c>
      <c r="L50" s="6" t="str">
        <f t="shared" ca="1" si="28"/>
        <v>OK</v>
      </c>
      <c r="M50" s="6" t="str">
        <f t="shared" ca="1" si="28"/>
        <v>OK</v>
      </c>
      <c r="N50" s="6" t="str">
        <f t="shared" ca="1" si="28"/>
        <v>OK</v>
      </c>
      <c r="O50" s="6" t="str">
        <f t="shared" ca="1" si="28"/>
        <v>OK</v>
      </c>
      <c r="P50" s="6" t="str">
        <f t="shared" ca="1" si="28"/>
        <v>OK</v>
      </c>
      <c r="Q50" s="6" t="str">
        <f t="shared" ca="1" si="28"/>
        <v>OK</v>
      </c>
      <c r="R50" s="6" t="str">
        <f t="shared" ca="1" si="28"/>
        <v>OK</v>
      </c>
      <c r="S50" s="6" t="str">
        <f t="shared" ca="1" si="28"/>
        <v>OK</v>
      </c>
      <c r="T50" s="6" t="str">
        <f t="shared" ca="1" si="28"/>
        <v>OK</v>
      </c>
    </row>
    <row r="51" spans="1:20" ht="15" x14ac:dyDescent="0.25">
      <c r="A51" s="27"/>
      <c r="D51" s="6"/>
      <c r="E51" s="6"/>
      <c r="F51" s="6"/>
      <c r="G51" s="6"/>
      <c r="H51" s="6"/>
      <c r="I51" s="6"/>
      <c r="J51" s="6"/>
      <c r="K51" s="6"/>
      <c r="L51" s="6"/>
      <c r="M51" s="6"/>
      <c r="N51" s="6"/>
      <c r="O51" s="6"/>
      <c r="P51" s="6"/>
      <c r="Q51" s="6"/>
      <c r="R51" s="6"/>
      <c r="S51" s="6"/>
      <c r="T51" s="6"/>
    </row>
    <row r="52" spans="1:20" x14ac:dyDescent="0.2">
      <c r="A52" s="19" t="s">
        <v>218</v>
      </c>
    </row>
    <row r="53" spans="1:20" x14ac:dyDescent="0.2">
      <c r="A53" s="1" t="s">
        <v>679</v>
      </c>
      <c r="D53" s="15">
        <f ca="1">SUM(D$319,D$326,D$335,D$344,D$367,D$380,D$384,D$392,D$404,D$410,IF(OFFSET(Assumptions!$B$64,0,$C$1)="Yes",0,SUM(D$422,D$423)),D$509)</f>
        <v>278.70300000000003</v>
      </c>
      <c r="E53" s="15">
        <f ca="1">SUM(E$319,E$326,E$335,E$344,E$367,E$380,E$384,E$392,E$404,E$410,IF(OFFSET(Assumptions!$B$64,0,$C$1)="Yes",0,SUM(E$422,E$423)),E$509)</f>
        <v>292.67900000000003</v>
      </c>
      <c r="F53" s="16">
        <f ca="1">SUM(F$319,F$326,F$335,F$344,F$367,F$380,F$384,F$392,F$404,F$410,IF(OFFSET(Assumptions!$B$64,0,$C$1)="Yes",0,SUM(F$422,F$423)),F$509)</f>
        <v>312.20999999999998</v>
      </c>
      <c r="G53" s="16">
        <f ca="1">SUM(G$319,G$326,G$335,G$344,G$367,G$380,G$384,G$392,G$404,G$410,IF(OFFSET(Assumptions!$B$64,0,$C$1)="Yes",0,SUM(G$422,G$423)),G$509)</f>
        <v>312.25</v>
      </c>
      <c r="H53" s="16">
        <f ca="1">SUM(H$319,H$326,H$335,H$344,H$367,H$380,H$384,H$392,H$404,H$410,IF(OFFSET(Assumptions!$B$64,0,$C$1)="Yes",0,SUM(H$422,H$423)),H$509)</f>
        <v>322.05599999999998</v>
      </c>
      <c r="I53" s="16">
        <f ca="1">SUM(I$319,I$326,I$335,I$344,I$367,I$380,I$384,I$392,I$404,I$410,IF(OFFSET(Assumptions!$B$64,0,$C$1)="Yes",0,SUM(I$422,I$423)),I$509)</f>
        <v>332.87299999999993</v>
      </c>
      <c r="J53" s="16">
        <f ca="1">SUM(J$319,J$326,J$335,J$344,J$367,J$380,J$384,J$392,J$404,J$410,IF(OFFSET(Assumptions!$B$64,0,$C$1)="Yes",0,SUM(J$422,J$423)),J$509)</f>
        <v>339.97699999999998</v>
      </c>
      <c r="K53" s="7">
        <f ca="1">SUM(K$319,K$326,K$335,K$344,K$367,K$380,K$384,K$392,K$404,K$410,IF(OFFSET(Assumptions!$B$64,0,$C$1)="Yes",0,SUM(K$422,K$423)),K$509)</f>
        <v>352.92977049997143</v>
      </c>
      <c r="L53" s="7">
        <f ca="1">SUM(L$319,L$326,L$335,L$344,L$367,L$380,L$384,L$392,L$404,L$410,IF(OFFSET(Assumptions!$B$64,0,$C$1)="Yes",0,SUM(L$422,L$423)),L$509)</f>
        <v>368.72785404094157</v>
      </c>
      <c r="M53" s="7">
        <f ca="1">SUM(M$319,M$326,M$335,M$344,M$367,M$380,M$384,M$392,M$404,M$410,IF(OFFSET(Assumptions!$B$64,0,$C$1)="Yes",0,SUM(M$422,M$423)),M$509)</f>
        <v>385.69304318972905</v>
      </c>
      <c r="N53" s="7">
        <f ca="1">SUM(N$319,N$326,N$335,N$344,N$367,N$380,N$384,N$392,N$404,N$410,IF(OFFSET(Assumptions!$B$64,0,$C$1)="Yes",0,SUM(N$422,N$423)),N$509)</f>
        <v>403.85790681490397</v>
      </c>
      <c r="O53" s="7">
        <f ca="1">SUM(O$319,O$326,O$335,O$344,O$367,O$380,O$384,O$392,O$404,O$410,IF(OFFSET(Assumptions!$B$64,0,$C$1)="Yes",0,SUM(O$422,O$423)),O$509)</f>
        <v>428.81183701464579</v>
      </c>
      <c r="P53" s="7">
        <f ca="1">SUM(P$319,P$326,P$335,P$344,P$367,P$380,P$384,P$392,P$404,P$410,IF(OFFSET(Assumptions!$B$64,0,$C$1)="Yes",0,SUM(P$422,P$423)),P$509)</f>
        <v>455.41726389819576</v>
      </c>
      <c r="Q53" s="7">
        <f ca="1">SUM(Q$319,Q$326,Q$335,Q$344,Q$367,Q$380,Q$384,Q$392,Q$404,Q$410,IF(OFFSET(Assumptions!$B$64,0,$C$1)="Yes",0,SUM(Q$422,Q$423)),Q$509)</f>
        <v>483.50655447077037</v>
      </c>
      <c r="R53" s="7">
        <f ca="1">SUM(R$319,R$326,R$335,R$344,R$367,R$380,R$384,R$392,R$404,R$410,IF(OFFSET(Assumptions!$B$64,0,$C$1)="Yes",0,SUM(R$422,R$423)),R$509)</f>
        <v>512.94451473028198</v>
      </c>
      <c r="S53" s="7">
        <f ca="1">SUM(S$319,S$326,S$335,S$344,S$367,S$380,S$384,S$392,S$404,S$410,IF(OFFSET(Assumptions!$B$64,0,$C$1)="Yes",0,SUM(S$422,S$423)),S$509)</f>
        <v>543.74330523548235</v>
      </c>
      <c r="T53" s="7">
        <f ca="1">SUM(T$319,T$326,T$335,T$344,T$367,T$380,T$384,T$392,T$404,T$410,IF(OFFSET(Assumptions!$B$64,0,$C$1)="Yes",0,SUM(T$422,T$423)),T$509)</f>
        <v>575.83551754155019</v>
      </c>
    </row>
    <row r="54" spans="1:20" x14ac:dyDescent="0.2">
      <c r="A54" s="1" t="s">
        <v>683</v>
      </c>
      <c r="D54" s="15">
        <f t="shared" ref="D54:T54" si="29">SUM(D$68,D$426,D$433,D$437,D$443,D$448,D$452)</f>
        <v>186.46700000000001</v>
      </c>
      <c r="E54" s="15">
        <f t="shared" si="29"/>
        <v>197.15800000000002</v>
      </c>
      <c r="F54" s="16">
        <f t="shared" si="29"/>
        <v>197.499</v>
      </c>
      <c r="G54" s="16">
        <f t="shared" si="29"/>
        <v>191.89999999999998</v>
      </c>
      <c r="H54" s="16">
        <f t="shared" si="29"/>
        <v>195.13800000000003</v>
      </c>
      <c r="I54" s="16">
        <f t="shared" si="29"/>
        <v>196.804</v>
      </c>
      <c r="J54" s="16">
        <f t="shared" si="29"/>
        <v>193.78500000000003</v>
      </c>
      <c r="K54" s="7">
        <f t="shared" ca="1" si="29"/>
        <v>195.28271777225115</v>
      </c>
      <c r="L54" s="7">
        <f t="shared" ca="1" si="29"/>
        <v>198.23362207621116</v>
      </c>
      <c r="M54" s="7">
        <f t="shared" ca="1" si="29"/>
        <v>201.01852652821989</v>
      </c>
      <c r="N54" s="7">
        <f t="shared" ca="1" si="29"/>
        <v>203.6809666881326</v>
      </c>
      <c r="O54" s="7">
        <f t="shared" ca="1" si="29"/>
        <v>211.86725567263301</v>
      </c>
      <c r="P54" s="7">
        <f t="shared" ca="1" si="29"/>
        <v>220.41542662910655</v>
      </c>
      <c r="Q54" s="7">
        <f t="shared" ca="1" si="29"/>
        <v>229.25190203052293</v>
      </c>
      <c r="R54" s="7">
        <f t="shared" ca="1" si="29"/>
        <v>238.33474209400595</v>
      </c>
      <c r="S54" s="7">
        <f t="shared" ca="1" si="29"/>
        <v>247.69305994426355</v>
      </c>
      <c r="T54" s="7">
        <f t="shared" ca="1" si="29"/>
        <v>257.30831604443176</v>
      </c>
    </row>
    <row r="55" spans="1:20" ht="15" x14ac:dyDescent="0.25">
      <c r="A55" s="2" t="s">
        <v>684</v>
      </c>
      <c r="B55" s="4"/>
      <c r="D55" s="35">
        <f ca="1">SUM(D$53,-D$54)</f>
        <v>92.236000000000018</v>
      </c>
      <c r="E55" s="35">
        <f ca="1">SUM(E$53,-E$54)</f>
        <v>95.521000000000015</v>
      </c>
      <c r="F55" s="34">
        <f ca="1">SUM(F$53,-F$54)</f>
        <v>114.71099999999998</v>
      </c>
      <c r="G55" s="34">
        <f t="shared" ref="G55:T55" ca="1" si="30">SUM(G$53,-G$54)</f>
        <v>120.35000000000002</v>
      </c>
      <c r="H55" s="34">
        <f t="shared" ca="1" si="30"/>
        <v>126.91799999999995</v>
      </c>
      <c r="I55" s="34">
        <f t="shared" ca="1" si="30"/>
        <v>136.06899999999993</v>
      </c>
      <c r="J55" s="34">
        <f t="shared" ca="1" si="30"/>
        <v>146.19199999999995</v>
      </c>
      <c r="K55" s="38">
        <f t="shared" ca="1" si="30"/>
        <v>157.64705272772028</v>
      </c>
      <c r="L55" s="38">
        <f t="shared" ca="1" si="30"/>
        <v>170.4942319647304</v>
      </c>
      <c r="M55" s="38">
        <f t="shared" ca="1" si="30"/>
        <v>184.67451666150916</v>
      </c>
      <c r="N55" s="38">
        <f t="shared" ca="1" si="30"/>
        <v>200.17694012677137</v>
      </c>
      <c r="O55" s="38">
        <f t="shared" ca="1" si="30"/>
        <v>216.94458134201278</v>
      </c>
      <c r="P55" s="38">
        <f t="shared" ca="1" si="30"/>
        <v>235.00183726908921</v>
      </c>
      <c r="Q55" s="38">
        <f t="shared" ca="1" si="30"/>
        <v>254.25465244024744</v>
      </c>
      <c r="R55" s="38">
        <f t="shared" ca="1" si="30"/>
        <v>274.60977263627603</v>
      </c>
      <c r="S55" s="38">
        <f t="shared" ca="1" si="30"/>
        <v>296.0502452912188</v>
      </c>
      <c r="T55" s="38">
        <f t="shared" ca="1" si="30"/>
        <v>318.52720149711843</v>
      </c>
    </row>
    <row r="56" spans="1:20" x14ac:dyDescent="0.2">
      <c r="A56" s="1" t="s">
        <v>295</v>
      </c>
      <c r="B56" s="4" t="str">
        <f>$B$38</f>
        <v>From Fiscal</v>
      </c>
      <c r="D56" s="15">
        <f>'Fiscal Forecasts'!D$138</f>
        <v>5.782</v>
      </c>
      <c r="E56" s="15">
        <f>'Fiscal Forecasts'!E$138</f>
        <v>6.1550000000000002</v>
      </c>
      <c r="F56" s="16">
        <f>'Fiscal Forecasts'!F$138</f>
        <v>5.8330000000000002</v>
      </c>
      <c r="G56" s="16">
        <f>'Fiscal Forecasts'!G$138</f>
        <v>5.8380000000000001</v>
      </c>
      <c r="H56" s="16">
        <f>'Fiscal Forecasts'!H$138</f>
        <v>5.7629999999999999</v>
      </c>
      <c r="I56" s="16">
        <f>'Fiscal Forecasts'!I$138</f>
        <v>5.6909999999999998</v>
      </c>
      <c r="J56" s="16">
        <f>'Fiscal Forecasts'!J$138</f>
        <v>5.6230000000000002</v>
      </c>
      <c r="K56" s="7">
        <f ca="1">IF(K$6=OFFSET(Assumptions!$B$8,0,$C$1),AVERAGE(H$56/H$391,I$56/I$391,J$56/J$391),J$56/J$391)*K$391</f>
        <v>5.8290428062815458</v>
      </c>
      <c r="L56" s="7">
        <f ca="1">IF(L$6=OFFSET(Assumptions!$B$8,0,$C$1),AVERAGE(I$56/I$391,J$56/J$391,K$56/K$391),K$56/K$391)*L$391</f>
        <v>5.907900741416146</v>
      </c>
      <c r="M56" s="7">
        <f ca="1">IF(M$6=OFFSET(Assumptions!$B$8,0,$C$1),AVERAGE(J$56/J$391,K$56/K$391,L$56/L$391),L$56/L$391)*M$391</f>
        <v>5.9910932754530313</v>
      </c>
      <c r="N56" s="7">
        <f ca="1">IF(N$6=OFFSET(Assumptions!$B$8,0,$C$1),AVERAGE(K$56/K$391,L$56/L$391,M$56/M$391),M$56/M$391)*N$391</f>
        <v>6.0779173731429132</v>
      </c>
      <c r="O56" s="7">
        <f ca="1">IF(O$6=OFFSET(Assumptions!$B$8,0,$C$1),AVERAGE(L$56/L$391,M$56/M$391,N$56/N$391),N$56/N$391)*O$391</f>
        <v>6.1684937963539355</v>
      </c>
      <c r="P56" s="7">
        <f ca="1">IF(P$6=OFFSET(Assumptions!$B$8,0,$C$1),AVERAGE(M$56/M$391,N$56/N$391,O$56/O$391),O$56/O$391)*P$391</f>
        <v>6.2629581266374617</v>
      </c>
      <c r="Q56" s="7">
        <f ca="1">IF(Q$6=OFFSET(Assumptions!$B$8,0,$C$1),AVERAGE(N$56/N$391,O$56/O$391,P$56/P$391),P$56/P$391)*Q$391</f>
        <v>6.3614399322568662</v>
      </c>
      <c r="R56" s="7">
        <f ca="1">IF(R$6=OFFSET(Assumptions!$B$8,0,$C$1),AVERAGE(O$56/O$391,P$56/P$391,Q$56/Q$391),Q$56/Q$391)*R$391</f>
        <v>6.4640643016438197</v>
      </c>
      <c r="S56" s="7">
        <f ca="1">IF(S$6=OFFSET(Assumptions!$B$8,0,$C$1),AVERAGE(P$56/P$391,Q$56/Q$391,R$56/R$391),R$56/R$391)*S$391</f>
        <v>6.5709751273444628</v>
      </c>
      <c r="T56" s="7">
        <f ca="1">IF(T$6=OFFSET(Assumptions!$B$8,0,$C$1),AVERAGE(Q$56/Q$391,R$56/R$391,S$56/S$391),S$56/S$391)*T$391</f>
        <v>6.6823096451688908</v>
      </c>
    </row>
    <row r="57" spans="1:20" ht="15" x14ac:dyDescent="0.25">
      <c r="A57" s="2" t="s">
        <v>680</v>
      </c>
      <c r="D57" s="35">
        <f ca="1">SUM(D$55,-D$56)</f>
        <v>86.454000000000022</v>
      </c>
      <c r="E57" s="35">
        <f ca="1">SUM(E$55,-E$56)</f>
        <v>89.366000000000014</v>
      </c>
      <c r="F57" s="34">
        <f ca="1">SUM(F$55,-F$56)</f>
        <v>108.87799999999999</v>
      </c>
      <c r="G57" s="34">
        <f t="shared" ref="G57:T57" ca="1" si="31">SUM(G$55,-G$56)</f>
        <v>114.51200000000003</v>
      </c>
      <c r="H57" s="34">
        <f t="shared" ca="1" si="31"/>
        <v>121.15499999999994</v>
      </c>
      <c r="I57" s="34">
        <f t="shared" ca="1" si="31"/>
        <v>130.37799999999993</v>
      </c>
      <c r="J57" s="34">
        <f t="shared" ca="1" si="31"/>
        <v>140.56899999999996</v>
      </c>
      <c r="K57" s="38">
        <f t="shared" ca="1" si="31"/>
        <v>151.81800992143874</v>
      </c>
      <c r="L57" s="38">
        <f t="shared" ca="1" si="31"/>
        <v>164.58633122331426</v>
      </c>
      <c r="M57" s="38">
        <f t="shared" ca="1" si="31"/>
        <v>178.68342338605612</v>
      </c>
      <c r="N57" s="38">
        <f t="shared" ca="1" si="31"/>
        <v>194.09902275362845</v>
      </c>
      <c r="O57" s="38">
        <f t="shared" ca="1" si="31"/>
        <v>210.77608754565884</v>
      </c>
      <c r="P57" s="38">
        <f t="shared" ca="1" si="31"/>
        <v>228.73887914245174</v>
      </c>
      <c r="Q57" s="38">
        <f t="shared" ca="1" si="31"/>
        <v>247.89321250799057</v>
      </c>
      <c r="R57" s="38">
        <f t="shared" ca="1" si="31"/>
        <v>268.14570833463222</v>
      </c>
      <c r="S57" s="38">
        <f t="shared" ca="1" si="31"/>
        <v>289.47927016387433</v>
      </c>
      <c r="T57" s="38">
        <f t="shared" ca="1" si="31"/>
        <v>311.84489185194951</v>
      </c>
    </row>
    <row r="58" spans="1:20" ht="15" x14ac:dyDescent="0.25">
      <c r="A58" s="27" t="s">
        <v>681</v>
      </c>
      <c r="B58" s="4" t="s">
        <v>752</v>
      </c>
      <c r="D58" s="6" t="str">
        <f ca="1">IF(ROUND('Fiscal Forecasts'!D$136-D$55,3)=0,"OK","ERROR")</f>
        <v>OK</v>
      </c>
      <c r="E58" s="6" t="str">
        <f ca="1">IF(ROUND('Fiscal Forecasts'!E$136-E$55,3)=0,"OK","ERROR")</f>
        <v>OK</v>
      </c>
      <c r="F58" s="6" t="str">
        <f ca="1">IF(ROUND('Fiscal Forecasts'!F$136-F$55 +IF($C$2="Yes",('Fiscal Forecast Adjuster'!C$28-'Fiscal Forecast Adjuster'!C$37)/1000,0) -IF($C$3="Yes",'NZS Fund Adjuster'!M$11,0),3)=0,"OK","ERROR")</f>
        <v>OK</v>
      </c>
      <c r="G58" s="6" t="str">
        <f ca="1">IF(ROUND('Fiscal Forecasts'!G$136-G$55 +IF($C$2="Yes",('Fiscal Forecast Adjuster'!D$28-'Fiscal Forecast Adjuster'!D$37)/1000,0) -IF($C$3="Yes",'NZS Fund Adjuster'!N$11,0),3)=0,"OK","ERROR")</f>
        <v>OK</v>
      </c>
      <c r="H58" s="6" t="str">
        <f ca="1">IF(ROUND('Fiscal Forecasts'!H$136-H$55 +IF($C$2="Yes",('Fiscal Forecast Adjuster'!E$28-'Fiscal Forecast Adjuster'!E$37)/1000,0) -IF($C$3="Yes",'NZS Fund Adjuster'!O$11,0),3)=0,"OK","ERROR")</f>
        <v>OK</v>
      </c>
      <c r="I58" s="6" t="str">
        <f ca="1">IF(ROUND('Fiscal Forecasts'!I$136-I$55 +IF($C$2="Yes",('Fiscal Forecast Adjuster'!F$28-'Fiscal Forecast Adjuster'!F$37)/1000,0) -IF($C$3="Yes",'NZS Fund Adjuster'!P$11,0),3)=0,"OK","ERROR")</f>
        <v>OK</v>
      </c>
      <c r="J58" s="6" t="str">
        <f ca="1">IF(ROUND('Fiscal Forecasts'!J$136-J$55 +IF($C$2="Yes",('Fiscal Forecast Adjuster'!G$28-'Fiscal Forecast Adjuster'!G$37)/1000,0) -IF($C$3="Yes",'NZS Fund Adjuster'!Q$11,0),3)=0,"OK","ERROR")</f>
        <v>OK</v>
      </c>
      <c r="K58" s="53"/>
      <c r="L58" s="53"/>
      <c r="M58" s="53"/>
      <c r="N58" s="53"/>
      <c r="O58" s="53"/>
      <c r="P58" s="53"/>
      <c r="Q58" s="53"/>
      <c r="R58" s="53"/>
      <c r="S58" s="53"/>
      <c r="T58" s="53"/>
    </row>
    <row r="59" spans="1:20" ht="15" x14ac:dyDescent="0.25">
      <c r="A59" s="27" t="s">
        <v>682</v>
      </c>
      <c r="B59" s="4" t="s">
        <v>296</v>
      </c>
      <c r="K59" s="6" t="str">
        <f t="shared" ref="K59:T59" ca="1" si="32">IF(ROUND(K$43-(K$55-J$55),3)=0,"OK","ERROR")</f>
        <v>OK</v>
      </c>
      <c r="L59" s="6" t="str">
        <f t="shared" ca="1" si="32"/>
        <v>OK</v>
      </c>
      <c r="M59" s="6" t="str">
        <f t="shared" ca="1" si="32"/>
        <v>OK</v>
      </c>
      <c r="N59" s="6" t="str">
        <f t="shared" ca="1" si="32"/>
        <v>OK</v>
      </c>
      <c r="O59" s="6" t="str">
        <f t="shared" ca="1" si="32"/>
        <v>OK</v>
      </c>
      <c r="P59" s="6" t="str">
        <f t="shared" ca="1" si="32"/>
        <v>OK</v>
      </c>
      <c r="Q59" s="6" t="str">
        <f t="shared" ca="1" si="32"/>
        <v>OK</v>
      </c>
      <c r="R59" s="6" t="str">
        <f t="shared" ca="1" si="32"/>
        <v>OK</v>
      </c>
      <c r="S59" s="6" t="str">
        <f t="shared" ca="1" si="32"/>
        <v>OK</v>
      </c>
      <c r="T59" s="6" t="str">
        <f t="shared" ca="1" si="32"/>
        <v>OK</v>
      </c>
    </row>
    <row r="60" spans="1:20" x14ac:dyDescent="0.2">
      <c r="A60" s="1" t="s">
        <v>272</v>
      </c>
      <c r="D60" s="15">
        <f ca="1">SUM(D$318,D$325,D$331,D$340,D$364,D$379,D$383,D$389,D$403,D$407,D$422,D$423,D$509)</f>
        <v>158.71300000000002</v>
      </c>
      <c r="E60" s="15">
        <f ca="1">SUM(E$318,E$325,E$331,E$340,E$364,E$379,E$383,E$389,E$403,E$407,E$422,E$423,E$509)</f>
        <v>165.17</v>
      </c>
      <c r="F60" s="16">
        <f ca="1">SUM(F$318,F$325,F$331,F$340,F$364,F$379,F$383,F$389,F$403,F$407,IF(OFFSET(Assumptions!$B$64,0,$C$1)="Yes",0,SUM(F$422,F$423)),F$509)</f>
        <v>179.53700000000001</v>
      </c>
      <c r="G60" s="16">
        <f ca="1">SUM(G$318,G$325,G$331,G$340,G$364,G$379,G$383,G$389,G$403,G$407,IF(OFFSET(Assumptions!$B$64,0,$C$1)="Yes",0,SUM(G$422,G$423)),G$509)</f>
        <v>178.994</v>
      </c>
      <c r="H60" s="16">
        <f ca="1">SUM(H$318,H$325,H$331,H$340,H$364,H$379,H$383,H$389,H$403,H$407,IF(OFFSET(Assumptions!$B$64,0,$C$1)="Yes",0,SUM(H$422,H$423)),H$509)</f>
        <v>185.77699999999999</v>
      </c>
      <c r="I60" s="16">
        <f ca="1">SUM(I$318,I$325,I$331,I$340,I$364,I$379,I$383,I$389,I$403,I$407,IF(OFFSET(Assumptions!$B$64,0,$C$1)="Yes",0,SUM(I$422,I$423)),I$509)</f>
        <v>194.041</v>
      </c>
      <c r="J60" s="16">
        <f ca="1">SUM(J$318,J$325,J$331,J$340,J$364,J$379,J$383,J$389,J$403,J$407,IF(OFFSET(Assumptions!$B$64,0,$C$1)="Yes",0,SUM(J$422,J$423)),J$509)</f>
        <v>198.98100000000002</v>
      </c>
      <c r="K60" s="7">
        <f ca="1">SUM(K$318,K$325,K$331,K$340,K$364,K$379,K$383,K$389,K$403,K$407,IF(OFFSET(Assumptions!$B$64,0,$C$1)="Yes",0,SUM(K$422,K$423)),K$509)</f>
        <v>209.85762221283457</v>
      </c>
      <c r="L60" s="7">
        <f ca="1">SUM(L$318,L$325,L$331,L$340,L$364,L$379,L$383,L$389,L$403,L$407,IF(OFFSET(Assumptions!$B$64,0,$C$1)="Yes",0,SUM(L$422,L$423)),L$509)</f>
        <v>222.78655496836319</v>
      </c>
      <c r="M60" s="7">
        <f ca="1">SUM(M$318,M$325,M$331,M$340,M$364,M$379,M$383,M$389,M$403,M$407,IF(OFFSET(Assumptions!$B$64,0,$C$1)="Yes",0,SUM(M$422,M$423)),M$509)</f>
        <v>236.77837671036028</v>
      </c>
      <c r="N60" s="7">
        <f ca="1">SUM(N$318,N$325,N$331,N$340,N$364,N$379,N$383,N$389,N$403,N$407,IF(OFFSET(Assumptions!$B$64,0,$C$1)="Yes",0,SUM(N$422,N$423)),N$509)</f>
        <v>251.84203768500552</v>
      </c>
      <c r="O60" s="7">
        <f ca="1">SUM(O$318,O$325,O$331,O$340,O$364,O$379,O$383,O$389,O$403,O$407,IF(OFFSET(Assumptions!$B$64,0,$C$1)="Yes",0,SUM(O$422,O$423)),O$509)</f>
        <v>273.53944739456961</v>
      </c>
      <c r="P60" s="7">
        <f ca="1">SUM(P$318,P$325,P$331,P$340,P$364,P$379,P$383,P$389,P$403,P$407,IF(OFFSET(Assumptions!$B$64,0,$C$1)="Yes",0,SUM(P$422,P$423)),P$509)</f>
        <v>296.7745322243465</v>
      </c>
      <c r="Q60" s="7">
        <f ca="1">SUM(Q$318,Q$325,Q$331,Q$340,Q$364,Q$379,Q$383,Q$389,Q$403,Q$407,IF(OFFSET(Assumptions!$B$64,0,$C$1)="Yes",0,SUM(Q$422,Q$423)),Q$509)</f>
        <v>321.36828317458708</v>
      </c>
      <c r="R60" s="7">
        <f ca="1">SUM(R$318,R$325,R$331,R$340,R$364,R$379,R$383,R$389,R$403,R$407,IF(OFFSET(Assumptions!$B$64,0,$C$1)="Yes",0,SUM(R$422,R$423)),R$509)</f>
        <v>347.178835631715</v>
      </c>
      <c r="S60" s="7">
        <f ca="1">SUM(S$318,S$325,S$331,S$340,S$364,S$379,S$383,S$389,S$403,S$407,IF(OFFSET(Assumptions!$B$64,0,$C$1)="Yes",0,SUM(S$422,S$423)),S$509)</f>
        <v>374.21526698359111</v>
      </c>
      <c r="T60" s="7">
        <f ca="1">SUM(T$318,T$325,T$331,T$340,T$364,T$379,T$383,T$389,T$403,T$407,IF(OFFSET(Assumptions!$B$64,0,$C$1)="Yes",0,SUM(T$422,T$423)),T$509)</f>
        <v>402.40177718805177</v>
      </c>
    </row>
    <row r="61" spans="1:20" x14ac:dyDescent="0.2">
      <c r="A61" s="1" t="s">
        <v>685</v>
      </c>
      <c r="B61" s="4" t="str">
        <f>$B$38</f>
        <v>From Fiscal</v>
      </c>
      <c r="D61" s="15">
        <f>'Fiscal Forecasts'!D$179</f>
        <v>95.549000000000007</v>
      </c>
      <c r="E61" s="15">
        <f>'Fiscal Forecasts'!E$179</f>
        <v>95.036000000000001</v>
      </c>
      <c r="F61" s="16">
        <f>'Fiscal Forecasts'!F$179 +IF($C$2="Yes",'Fiscal Forecast Adjuster'!C$37/1000,0) +IF($C$3="Yes",'NZS Fund Adjuster'!M$11,0)</f>
        <v>94.477999999999994</v>
      </c>
      <c r="G61" s="16">
        <f>'Fiscal Forecasts'!G$179 +IF($C$2="Yes",'Fiscal Forecast Adjuster'!D$37/1000,0) +IF($C$3="Yes",'NZS Fund Adjuster'!N$11,0)</f>
        <v>91.134</v>
      </c>
      <c r="H61" s="16">
        <f>'Fiscal Forecasts'!H$179 +IF($C$2="Yes",'Fiscal Forecast Adjuster'!E$37/1000,0) +IF($C$3="Yes",'NZS Fund Adjuster'!O$11,0)</f>
        <v>91.754000000000005</v>
      </c>
      <c r="I61" s="16">
        <f>'Fiscal Forecasts'!I$179 +IF($C$2="Yes",'Fiscal Forecast Adjuster'!F$37/1000,0) +IF($C$3="Yes",'NZS Fund Adjuster'!P$11,0)</f>
        <v>91.415999999999997</v>
      </c>
      <c r="J61" s="16">
        <f>'Fiscal Forecasts'!J$179 +IF($C$2="Yes",'Fiscal Forecast Adjuster'!G$37/1000,0) +IF($C$3="Yes",'NZS Fund Adjuster'!Q$11,0)</f>
        <v>86.225999999999999</v>
      </c>
      <c r="K61" s="7">
        <f t="shared" ref="K61:T61" ca="1" si="33">K$69</f>
        <v>84.372753988040486</v>
      </c>
      <c r="L61" s="7">
        <f t="shared" ca="1" si="33"/>
        <v>83.034925753418108</v>
      </c>
      <c r="M61" s="7">
        <f t="shared" ca="1" si="33"/>
        <v>81.367424542687957</v>
      </c>
      <c r="N61" s="7">
        <f t="shared" ca="1" si="33"/>
        <v>79.42400306032664</v>
      </c>
      <c r="O61" s="7">
        <f t="shared" ca="1" si="33"/>
        <v>82.822829068108533</v>
      </c>
      <c r="P61" s="7">
        <f t="shared" ca="1" si="33"/>
        <v>86.472461404129902</v>
      </c>
      <c r="Q61" s="7">
        <f t="shared" ca="1" si="33"/>
        <v>90.237635486787397</v>
      </c>
      <c r="R61" s="7">
        <f t="shared" ca="1" si="33"/>
        <v>94.110705041253198</v>
      </c>
      <c r="S61" s="7">
        <f t="shared" ca="1" si="33"/>
        <v>98.108151391056708</v>
      </c>
      <c r="T61" s="7">
        <f t="shared" ca="1" si="33"/>
        <v>102.22565571359536</v>
      </c>
    </row>
    <row r="62" spans="1:20" x14ac:dyDescent="0.2">
      <c r="A62" s="1" t="s">
        <v>1303</v>
      </c>
      <c r="D62" s="15">
        <f t="shared" ref="D62:T62" si="34">SUM(D$426,D$432,D$436,D$440,D$446,D$451)</f>
        <v>29.762</v>
      </c>
      <c r="E62" s="15">
        <f t="shared" si="34"/>
        <v>33.515000000000001</v>
      </c>
      <c r="F62" s="16">
        <f t="shared" si="34"/>
        <v>34.094999999999999</v>
      </c>
      <c r="G62" s="16">
        <f t="shared" si="34"/>
        <v>30.798999999999999</v>
      </c>
      <c r="H62" s="16">
        <f t="shared" si="34"/>
        <v>30.057000000000002</v>
      </c>
      <c r="I62" s="16">
        <f t="shared" si="34"/>
        <v>29.303000000000001</v>
      </c>
      <c r="J62" s="16">
        <f t="shared" si="34"/>
        <v>28.981999999999999</v>
      </c>
      <c r="K62" s="7">
        <f t="shared" ca="1" si="34"/>
        <v>29.772125297745717</v>
      </c>
      <c r="L62" s="7">
        <f t="shared" ca="1" si="34"/>
        <v>30.649133978432062</v>
      </c>
      <c r="M62" s="7">
        <f t="shared" ca="1" si="34"/>
        <v>31.539923473588939</v>
      </c>
      <c r="N62" s="7">
        <f t="shared" ca="1" si="34"/>
        <v>32.449516736630962</v>
      </c>
      <c r="O62" s="7">
        <f t="shared" ca="1" si="34"/>
        <v>33.374353184631566</v>
      </c>
      <c r="P62" s="7">
        <f t="shared" ca="1" si="34"/>
        <v>34.308707674328566</v>
      </c>
      <c r="Q62" s="7">
        <f t="shared" ca="1" si="34"/>
        <v>35.292738628731058</v>
      </c>
      <c r="R62" s="7">
        <f t="shared" ca="1" si="34"/>
        <v>36.315525555060105</v>
      </c>
      <c r="S62" s="7">
        <f t="shared" ca="1" si="34"/>
        <v>37.382153931421961</v>
      </c>
      <c r="T62" s="7">
        <f t="shared" ca="1" si="34"/>
        <v>38.490291238070853</v>
      </c>
    </row>
    <row r="63" spans="1:20" ht="15" x14ac:dyDescent="0.25">
      <c r="A63" s="2" t="s">
        <v>347</v>
      </c>
      <c r="B63" s="4"/>
      <c r="D63" s="35">
        <f ca="1">SUM(D$60,-D$61,-D$62)</f>
        <v>33.402000000000015</v>
      </c>
      <c r="E63" s="35">
        <f ca="1">SUM(E$60,-E$61,-E$62)</f>
        <v>36.618999999999986</v>
      </c>
      <c r="F63" s="34">
        <f ca="1">SUM(F$60,-F$61,-F$62)</f>
        <v>50.964000000000013</v>
      </c>
      <c r="G63" s="34">
        <f t="shared" ref="G63:T63" ca="1" si="35">SUM(G$60,-G$61,-G$62)</f>
        <v>57.061</v>
      </c>
      <c r="H63" s="34">
        <f t="shared" ca="1" si="35"/>
        <v>63.96599999999998</v>
      </c>
      <c r="I63" s="34">
        <f t="shared" ca="1" si="35"/>
        <v>73.322000000000003</v>
      </c>
      <c r="J63" s="34">
        <f t="shared" ca="1" si="35"/>
        <v>83.773000000000025</v>
      </c>
      <c r="K63" s="38">
        <f t="shared" ca="1" si="35"/>
        <v>95.712742927048367</v>
      </c>
      <c r="L63" s="38">
        <f t="shared" ca="1" si="35"/>
        <v>109.10249523651301</v>
      </c>
      <c r="M63" s="38">
        <f t="shared" ca="1" si="35"/>
        <v>123.87102869408338</v>
      </c>
      <c r="N63" s="38">
        <f t="shared" ca="1" si="35"/>
        <v>139.96851788804793</v>
      </c>
      <c r="O63" s="38">
        <f t="shared" ca="1" si="35"/>
        <v>157.3422651418295</v>
      </c>
      <c r="P63" s="38">
        <f t="shared" ca="1" si="35"/>
        <v>175.99336314588805</v>
      </c>
      <c r="Q63" s="38">
        <f t="shared" ca="1" si="35"/>
        <v>195.83790905906864</v>
      </c>
      <c r="R63" s="38">
        <f t="shared" ca="1" si="35"/>
        <v>216.7526050354017</v>
      </c>
      <c r="S63" s="38">
        <f t="shared" ca="1" si="35"/>
        <v>238.72496166111245</v>
      </c>
      <c r="T63" s="38">
        <f t="shared" ca="1" si="35"/>
        <v>261.68583023638553</v>
      </c>
    </row>
    <row r="64" spans="1:20" ht="15" x14ac:dyDescent="0.25">
      <c r="A64" s="27" t="s">
        <v>348</v>
      </c>
      <c r="B64" s="4" t="str">
        <f>$B$58</f>
        <v>History &amp; Forecast only</v>
      </c>
      <c r="D64" s="6" t="str">
        <f ca="1">IF(ROUND('Fiscal Forecasts'!D$187-D$63,3)=0,"OK","ERROR")</f>
        <v>OK</v>
      </c>
      <c r="E64" s="6" t="str">
        <f ca="1">IF(ROUND('Fiscal Forecasts'!E$187-E$63,3)=0,"OK","ERROR")</f>
        <v>OK</v>
      </c>
      <c r="F64" s="6" t="str">
        <f ca="1">IF(ROUND('Fiscal Forecasts'!F$187-F$63 +IF($C$2="Yes",('Fiscal Forecast Adjuster'!C$28-'Fiscal Forecast Adjuster'!C$37)/1000,0) -IF($C$3="Yes",'NZS Fund Adjuster'!M$11,0),3)=0,"OK","ERROR")</f>
        <v>OK</v>
      </c>
      <c r="G64" s="6" t="str">
        <f ca="1">IF(ROUND('Fiscal Forecasts'!G$187-G$63 +IF($C$2="Yes",('Fiscal Forecast Adjuster'!D$28-'Fiscal Forecast Adjuster'!D$37)/1000,0) -IF($C$3="Yes",'NZS Fund Adjuster'!N$11,0),3)=0,"OK","ERROR")</f>
        <v>OK</v>
      </c>
      <c r="H64" s="6" t="str">
        <f ca="1">IF(ROUND('Fiscal Forecasts'!H$187-H$63 +IF($C$2="Yes",('Fiscal Forecast Adjuster'!E$28-'Fiscal Forecast Adjuster'!E$37)/1000,0) -IF($C$3="Yes",'NZS Fund Adjuster'!O$11,0),3)=0,"OK","ERROR")</f>
        <v>OK</v>
      </c>
      <c r="I64" s="6" t="str">
        <f ca="1">IF(ROUND('Fiscal Forecasts'!I$187-I$63 +IF($C$2="Yes",('Fiscal Forecast Adjuster'!F$28-'Fiscal Forecast Adjuster'!F$37)/1000,0) -IF($C$3="Yes",'NZS Fund Adjuster'!P$11,0),3)=0,"OK","ERROR")</f>
        <v>OK</v>
      </c>
      <c r="J64" s="6" t="str">
        <f ca="1">IF(ROUND('Fiscal Forecasts'!J$187-J$63 +IF($C$2="Yes",('Fiscal Forecast Adjuster'!G$28-'Fiscal Forecast Adjuster'!G$37)/1000,0) -IF($C$3="Yes",'NZS Fund Adjuster'!Q$11,0),3)=0,"OK","ERROR")</f>
        <v>OK</v>
      </c>
    </row>
    <row r="65" spans="1:20" ht="15" x14ac:dyDescent="0.25">
      <c r="A65" s="27" t="s">
        <v>349</v>
      </c>
      <c r="B65" s="4" t="str">
        <f>$B$59</f>
        <v>Projected Years only</v>
      </c>
      <c r="K65" s="6" t="str">
        <f t="shared" ref="K65:T65" ca="1" si="36">IF(ROUND(K$47-(K$63-J$63)-(J$69-J$61),3)=0,"OK","ERROR")</f>
        <v>OK</v>
      </c>
      <c r="L65" s="6" t="str">
        <f t="shared" ca="1" si="36"/>
        <v>OK</v>
      </c>
      <c r="M65" s="6" t="str">
        <f t="shared" ca="1" si="36"/>
        <v>OK</v>
      </c>
      <c r="N65" s="6" t="str">
        <f t="shared" ca="1" si="36"/>
        <v>OK</v>
      </c>
      <c r="O65" s="6" t="str">
        <f t="shared" ca="1" si="36"/>
        <v>OK</v>
      </c>
      <c r="P65" s="6" t="str">
        <f t="shared" ca="1" si="36"/>
        <v>OK</v>
      </c>
      <c r="Q65" s="6" t="str">
        <f t="shared" ca="1" si="36"/>
        <v>OK</v>
      </c>
      <c r="R65" s="6" t="str">
        <f t="shared" ca="1" si="36"/>
        <v>OK</v>
      </c>
      <c r="S65" s="6" t="str">
        <f t="shared" ca="1" si="36"/>
        <v>OK</v>
      </c>
      <c r="T65" s="6" t="str">
        <f t="shared" ca="1" si="36"/>
        <v>OK</v>
      </c>
    </row>
    <row r="66" spans="1:20" ht="15" x14ac:dyDescent="0.25">
      <c r="A66" s="27"/>
      <c r="B66" s="4"/>
      <c r="K66" s="6"/>
      <c r="L66" s="6"/>
      <c r="M66" s="6"/>
      <c r="N66" s="6"/>
      <c r="O66" s="6"/>
      <c r="P66" s="6"/>
      <c r="Q66" s="6"/>
      <c r="R66" s="6"/>
      <c r="S66" s="6"/>
      <c r="T66" s="6"/>
    </row>
    <row r="67" spans="1:20" ht="15" x14ac:dyDescent="0.25">
      <c r="A67" s="19" t="s">
        <v>243</v>
      </c>
      <c r="K67" s="53"/>
    </row>
    <row r="68" spans="1:20" x14ac:dyDescent="0.2">
      <c r="A68" s="1" t="s">
        <v>294</v>
      </c>
      <c r="B68" s="4" t="str">
        <f>$B$38</f>
        <v>From Fiscal</v>
      </c>
      <c r="D68" s="15">
        <f>D$515</f>
        <v>112.58</v>
      </c>
      <c r="E68" s="15">
        <f t="shared" ref="E68:J68" si="37">E$515</f>
        <v>113.956</v>
      </c>
      <c r="F68" s="16">
        <f t="shared" si="37"/>
        <v>112.962</v>
      </c>
      <c r="G68" s="16">
        <f t="shared" si="37"/>
        <v>110.59399999999999</v>
      </c>
      <c r="H68" s="16">
        <f t="shared" si="37"/>
        <v>113.185</v>
      </c>
      <c r="I68" s="16">
        <f t="shared" si="37"/>
        <v>113.94</v>
      </c>
      <c r="J68" s="16">
        <f t="shared" si="37"/>
        <v>109.46599999999999</v>
      </c>
      <c r="K68" s="7">
        <f ca="1">K$515</f>
        <v>107.77562742820098</v>
      </c>
      <c r="L68" s="7">
        <f t="shared" ref="L68:T68" ca="1" si="38">L$515</f>
        <v>107.35980477831401</v>
      </c>
      <c r="M68" s="7">
        <f t="shared" ca="1" si="38"/>
        <v>106.69411526972127</v>
      </c>
      <c r="N68" s="7">
        <f t="shared" ca="1" si="38"/>
        <v>105.77724777720067</v>
      </c>
      <c r="O68" s="7">
        <f t="shared" ca="1" si="38"/>
        <v>110.36537963306924</v>
      </c>
      <c r="P68" s="7">
        <f t="shared" ca="1" si="38"/>
        <v>115.2359313027394</v>
      </c>
      <c r="Q68" s="7">
        <f t="shared" ca="1" si="38"/>
        <v>120.27482371160617</v>
      </c>
      <c r="R68" s="7">
        <f t="shared" ca="1" si="38"/>
        <v>125.44583823618035</v>
      </c>
      <c r="S68" s="7">
        <f t="shared" ca="1" si="38"/>
        <v>130.74366462127804</v>
      </c>
      <c r="T68" s="7">
        <f t="shared" ca="1" si="38"/>
        <v>136.1483663128902</v>
      </c>
    </row>
    <row r="69" spans="1:20" x14ac:dyDescent="0.2">
      <c r="A69" s="1" t="s">
        <v>350</v>
      </c>
      <c r="B69" s="4"/>
      <c r="D69" s="15">
        <f t="shared" ref="D69:I69" si="39">D$508</f>
        <v>95.649000000000001</v>
      </c>
      <c r="E69" s="15">
        <f t="shared" si="39"/>
        <v>95.037000000000006</v>
      </c>
      <c r="F69" s="16">
        <f t="shared" si="39"/>
        <v>94.478999999999999</v>
      </c>
      <c r="G69" s="16">
        <f t="shared" si="39"/>
        <v>91.134</v>
      </c>
      <c r="H69" s="16">
        <f t="shared" si="39"/>
        <v>91.754000000000005</v>
      </c>
      <c r="I69" s="16">
        <f t="shared" si="39"/>
        <v>91.415999999999997</v>
      </c>
      <c r="J69" s="16">
        <f>J$508</f>
        <v>86.225999999999999</v>
      </c>
      <c r="K69" s="7">
        <f ca="1">K$508</f>
        <v>84.372753988040486</v>
      </c>
      <c r="L69" s="7">
        <f t="shared" ref="L69:T69" ca="1" si="40">L$508</f>
        <v>83.034925753418108</v>
      </c>
      <c r="M69" s="7">
        <f t="shared" ca="1" si="40"/>
        <v>81.367424542687957</v>
      </c>
      <c r="N69" s="7">
        <f t="shared" ca="1" si="40"/>
        <v>79.42400306032664</v>
      </c>
      <c r="O69" s="7">
        <f t="shared" ca="1" si="40"/>
        <v>82.822829068108533</v>
      </c>
      <c r="P69" s="7">
        <f t="shared" ca="1" si="40"/>
        <v>86.472461404129902</v>
      </c>
      <c r="Q69" s="7">
        <f t="shared" ca="1" si="40"/>
        <v>90.237635486787397</v>
      </c>
      <c r="R69" s="7">
        <f t="shared" ca="1" si="40"/>
        <v>94.110705041253198</v>
      </c>
      <c r="S69" s="7">
        <f t="shared" ca="1" si="40"/>
        <v>98.108151391056708</v>
      </c>
      <c r="T69" s="7">
        <f t="shared" ca="1" si="40"/>
        <v>102.22565571359536</v>
      </c>
    </row>
    <row r="70" spans="1:20" x14ac:dyDescent="0.2">
      <c r="A70" s="1" t="s">
        <v>715</v>
      </c>
      <c r="B70" s="4" t="str">
        <f>$B$38</f>
        <v>From Fiscal</v>
      </c>
      <c r="D70" s="15">
        <f>'Fiscal Forecasts'!D$141</f>
        <v>2.4929999999999999</v>
      </c>
      <c r="E70" s="15">
        <f>'Fiscal Forecasts'!E$141</f>
        <v>1.754</v>
      </c>
      <c r="F70" s="16">
        <f>'Fiscal Forecasts'!F$141</f>
        <v>1.4370000000000001</v>
      </c>
      <c r="G70" s="16">
        <f>'Fiscal Forecasts'!G$141</f>
        <v>1.4450000000000001</v>
      </c>
      <c r="H70" s="16">
        <f>'Fiscal Forecasts'!H$141</f>
        <v>1.4570000000000001</v>
      </c>
      <c r="I70" s="16">
        <f>'Fiscal Forecasts'!I$141</f>
        <v>1.466</v>
      </c>
      <c r="J70" s="16">
        <f>'Fiscal Forecasts'!J$141</f>
        <v>1.4690000000000001</v>
      </c>
      <c r="K70" s="7">
        <f ca="1">OFFSET(Assumptions!$B$74,0,$C$1)*J$329</f>
        <v>2.0192369999999999</v>
      </c>
      <c r="L70" s="7">
        <f ca="1">OFFSET(Assumptions!$B$74,0,$C$1)*K$329</f>
        <v>2.2244517911377728</v>
      </c>
      <c r="M70" s="7">
        <f ca="1">OFFSET(Assumptions!$B$74,0,$C$1)*L$329</f>
        <v>2.4298637203221132</v>
      </c>
      <c r="N70" s="7">
        <f ca="1">OFFSET(Assumptions!$B$74,0,$C$1)*M$329</f>
        <v>2.6394913610141386</v>
      </c>
      <c r="O70" s="7">
        <f ca="1">OFFSET(Assumptions!$B$74,0,$C$1)*N$329</f>
        <v>2.8535731479807023</v>
      </c>
      <c r="P70" s="7">
        <f ca="1">OFFSET(Assumptions!$B$74,0,$C$1)*O$329</f>
        <v>3.0706010086594766</v>
      </c>
      <c r="Q70" s="7">
        <f ca="1">OFFSET(Assumptions!$B$74,0,$C$1)*P$329</f>
        <v>3.2887757519943466</v>
      </c>
      <c r="R70" s="7">
        <f ca="1">OFFSET(Assumptions!$B$74,0,$C$1)*Q$329</f>
        <v>3.5044063135263368</v>
      </c>
      <c r="S70" s="7">
        <f ca="1">OFFSET(Assumptions!$B$74,0,$C$1)*R$329</f>
        <v>3.7173720028243267</v>
      </c>
      <c r="T70" s="7">
        <f ca="1">OFFSET(Assumptions!$B$74,0,$C$1)*S$329</f>
        <v>3.929231180436783</v>
      </c>
    </row>
    <row r="71" spans="1:20" ht="15" x14ac:dyDescent="0.25">
      <c r="A71" s="2" t="s">
        <v>351</v>
      </c>
      <c r="D71" s="35">
        <f>SUM(D$69,-D$70)</f>
        <v>93.156000000000006</v>
      </c>
      <c r="E71" s="35">
        <f>SUM(E$69,-E$70)</f>
        <v>93.283000000000001</v>
      </c>
      <c r="F71" s="34">
        <f>SUM(F$69,-F$70)</f>
        <v>93.042000000000002</v>
      </c>
      <c r="G71" s="34">
        <f t="shared" ref="G71:T71" si="41">SUM(G$69,-G$70)</f>
        <v>89.689000000000007</v>
      </c>
      <c r="H71" s="34">
        <f t="shared" si="41"/>
        <v>90.297000000000011</v>
      </c>
      <c r="I71" s="34">
        <f t="shared" si="41"/>
        <v>89.95</v>
      </c>
      <c r="J71" s="34">
        <f t="shared" si="41"/>
        <v>84.757000000000005</v>
      </c>
      <c r="K71" s="38">
        <f t="shared" ca="1" si="41"/>
        <v>82.353516988040482</v>
      </c>
      <c r="L71" s="38">
        <f t="shared" ca="1" si="41"/>
        <v>80.810473962280341</v>
      </c>
      <c r="M71" s="38">
        <f t="shared" ca="1" si="41"/>
        <v>78.937560822365839</v>
      </c>
      <c r="N71" s="38">
        <f t="shared" ca="1" si="41"/>
        <v>76.784511699312503</v>
      </c>
      <c r="O71" s="38">
        <f t="shared" ca="1" si="41"/>
        <v>79.969255920127836</v>
      </c>
      <c r="P71" s="38">
        <f t="shared" ca="1" si="41"/>
        <v>83.401860395470422</v>
      </c>
      <c r="Q71" s="38">
        <f t="shared" ca="1" si="41"/>
        <v>86.948859734793047</v>
      </c>
      <c r="R71" s="38">
        <f t="shared" ca="1" si="41"/>
        <v>90.606298727726866</v>
      </c>
      <c r="S71" s="38">
        <f t="shared" ca="1" si="41"/>
        <v>94.390779388232374</v>
      </c>
      <c r="T71" s="38">
        <f t="shared" ca="1" si="41"/>
        <v>98.296424533158572</v>
      </c>
    </row>
    <row r="72" spans="1:20" x14ac:dyDescent="0.2">
      <c r="A72" s="1" t="s">
        <v>352</v>
      </c>
      <c r="B72" s="4" t="str">
        <f>$B$38</f>
        <v>From Fiscal</v>
      </c>
      <c r="D72" s="15">
        <f>SUM('Fiscal Forecasts'!D$143,D$509)</f>
        <v>76.433999999999997</v>
      </c>
      <c r="E72" s="15">
        <f>SUM('Fiscal Forecasts'!E$143,E$509)</f>
        <v>75.793000000000006</v>
      </c>
      <c r="F72" s="16">
        <f>SUM('Fiscal Forecasts'!F$143,F$509)</f>
        <v>80.343000000000004</v>
      </c>
      <c r="G72" s="16">
        <f>SUM('Fiscal Forecasts'!G$143,G$509)</f>
        <v>76.272999999999996</v>
      </c>
      <c r="H72" s="16">
        <f>SUM('Fiscal Forecasts'!H$143,H$509)</f>
        <v>77.998999999999995</v>
      </c>
      <c r="I72" s="16">
        <f>SUM('Fiscal Forecasts'!I$143,I$509)</f>
        <v>81.927999999999997</v>
      </c>
      <c r="J72" s="16">
        <f>SUM('Fiscal Forecasts'!J$143,J$509)</f>
        <v>82.801000000000002</v>
      </c>
      <c r="K72" s="7">
        <f ca="1">SUM(K$318,K$331,K$340,K$364,K$509)</f>
        <v>89.280215699603346</v>
      </c>
      <c r="L72" s="7">
        <f t="shared" ref="L72:T72" ca="1" si="42">SUM(L$318,L$331,L$340,L$364,L$509)</f>
        <v>96.265156885923318</v>
      </c>
      <c r="M72" s="7">
        <f t="shared" ca="1" si="42"/>
        <v>103.22261891427715</v>
      </c>
      <c r="N72" s="7">
        <f t="shared" ca="1" si="42"/>
        <v>110.13352457740299</v>
      </c>
      <c r="O72" s="7">
        <f t="shared" ca="1" si="42"/>
        <v>122.57385290650981</v>
      </c>
      <c r="P72" s="7">
        <f t="shared" ca="1" si="42"/>
        <v>135.2523642140676</v>
      </c>
      <c r="Q72" s="7">
        <f t="shared" ca="1" si="42"/>
        <v>147.74241821367937</v>
      </c>
      <c r="R72" s="7">
        <f t="shared" ca="1" si="42"/>
        <v>159.61848958107919</v>
      </c>
      <c r="S72" s="7">
        <f t="shared" ca="1" si="42"/>
        <v>170.54440647498669</v>
      </c>
      <c r="T72" s="7">
        <f t="shared" ca="1" si="42"/>
        <v>180.0350115315224</v>
      </c>
    </row>
    <row r="73" spans="1:20" ht="15" x14ac:dyDescent="0.25">
      <c r="A73" s="2" t="s">
        <v>248</v>
      </c>
      <c r="D73" s="35">
        <f>SUM(D$71,-D$72)</f>
        <v>16.722000000000008</v>
      </c>
      <c r="E73" s="35">
        <f>SUM(E$71,-E$72)</f>
        <v>17.489999999999995</v>
      </c>
      <c r="F73" s="34">
        <f>SUM(F$71,-F$72)</f>
        <v>12.698999999999998</v>
      </c>
      <c r="G73" s="34">
        <f t="shared" ref="G73:T73" si="43">SUM(G$71,-G$72)</f>
        <v>13.416000000000011</v>
      </c>
      <c r="H73" s="34">
        <f t="shared" si="43"/>
        <v>12.298000000000016</v>
      </c>
      <c r="I73" s="34">
        <f t="shared" si="43"/>
        <v>8.0220000000000056</v>
      </c>
      <c r="J73" s="34">
        <f t="shared" si="43"/>
        <v>1.9560000000000031</v>
      </c>
      <c r="K73" s="38">
        <f t="shared" ca="1" si="43"/>
        <v>-6.9266987115628638</v>
      </c>
      <c r="L73" s="38">
        <f t="shared" ca="1" si="43"/>
        <v>-15.454682923642977</v>
      </c>
      <c r="M73" s="38">
        <f t="shared" ca="1" si="43"/>
        <v>-24.28505809191131</v>
      </c>
      <c r="N73" s="38">
        <f t="shared" ca="1" si="43"/>
        <v>-33.349012878090491</v>
      </c>
      <c r="O73" s="38">
        <f t="shared" ca="1" si="43"/>
        <v>-42.604596986381978</v>
      </c>
      <c r="P73" s="38">
        <f t="shared" ca="1" si="43"/>
        <v>-51.850503818597176</v>
      </c>
      <c r="Q73" s="38">
        <f t="shared" ca="1" si="43"/>
        <v>-60.793558478886325</v>
      </c>
      <c r="R73" s="38">
        <f t="shared" ca="1" si="43"/>
        <v>-69.012190853352323</v>
      </c>
      <c r="S73" s="38">
        <f t="shared" ca="1" si="43"/>
        <v>-76.153627086754312</v>
      </c>
      <c r="T73" s="38">
        <f t="shared" ca="1" si="43"/>
        <v>-81.738586998363829</v>
      </c>
    </row>
    <row r="74" spans="1:20" x14ac:dyDescent="0.2">
      <c r="A74" s="1" t="s">
        <v>353</v>
      </c>
      <c r="B74" s="4" t="str">
        <f>$B$38</f>
        <v>From Fiscal</v>
      </c>
      <c r="D74" s="15">
        <f>'Fiscal Forecasts'!D$145</f>
        <v>14.14</v>
      </c>
      <c r="E74" s="15">
        <f>'Fiscal Forecasts'!E$145</f>
        <v>14.612</v>
      </c>
      <c r="F74" s="16">
        <f>'Fiscal Forecasts'!F$145</f>
        <v>12.04</v>
      </c>
      <c r="G74" s="16">
        <f>'Fiscal Forecasts'!G$145</f>
        <v>12.285</v>
      </c>
      <c r="H74" s="16">
        <f>'Fiscal Forecasts'!H$145</f>
        <v>12.433999999999999</v>
      </c>
      <c r="I74" s="16">
        <f>'Fiscal Forecasts'!I$145</f>
        <v>12.368</v>
      </c>
      <c r="J74" s="16">
        <f>'Fiscal Forecasts'!J$145</f>
        <v>12.292</v>
      </c>
      <c r="K74" s="7">
        <f t="shared" ref="K74:T74" ca="1" si="44">SUM(K$362,K$363)</f>
        <v>12.4265061641674</v>
      </c>
      <c r="L74" s="7">
        <f t="shared" ca="1" si="44"/>
        <v>12.596028097739417</v>
      </c>
      <c r="M74" s="7">
        <f t="shared" ca="1" si="44"/>
        <v>12.767539886318565</v>
      </c>
      <c r="N74" s="7">
        <f t="shared" ca="1" si="44"/>
        <v>12.939541499444214</v>
      </c>
      <c r="O74" s="7">
        <f t="shared" ca="1" si="44"/>
        <v>13.111481428996221</v>
      </c>
      <c r="P74" s="7">
        <f t="shared" ca="1" si="44"/>
        <v>13.296805225058339</v>
      </c>
      <c r="Q74" s="7">
        <f t="shared" ca="1" si="44"/>
        <v>13.484305115859907</v>
      </c>
      <c r="R74" s="7">
        <f t="shared" ca="1" si="44"/>
        <v>13.679767562496274</v>
      </c>
      <c r="S74" s="7">
        <f t="shared" ca="1" si="44"/>
        <v>13.879088895515146</v>
      </c>
      <c r="T74" s="7">
        <f t="shared" ca="1" si="44"/>
        <v>14.078951810112102</v>
      </c>
    </row>
    <row r="75" spans="1:20" x14ac:dyDescent="0.2">
      <c r="A75" s="1" t="s">
        <v>354</v>
      </c>
      <c r="B75" s="4" t="str">
        <f>$B$38</f>
        <v>From Fiscal</v>
      </c>
      <c r="D75" s="15">
        <f>'Fiscal Forecasts'!D$146</f>
        <v>29.768999999999998</v>
      </c>
      <c r="E75" s="15">
        <f>'Fiscal Forecasts'!E$146</f>
        <v>29.777999999999999</v>
      </c>
      <c r="F75" s="16">
        <f>'Fiscal Forecasts'!F$146</f>
        <v>35.820999999999998</v>
      </c>
      <c r="G75" s="16">
        <f>'Fiscal Forecasts'!G$146</f>
        <v>36.537999999999997</v>
      </c>
      <c r="H75" s="16">
        <f>'Fiscal Forecasts'!H$146</f>
        <v>38.981999999999999</v>
      </c>
      <c r="I75" s="16">
        <f>'Fiscal Forecasts'!I$146</f>
        <v>41.588000000000001</v>
      </c>
      <c r="J75" s="16">
        <f>'Fiscal Forecasts'!J$146</f>
        <v>46.558999999999997</v>
      </c>
      <c r="K75" s="7">
        <f t="shared" ref="K75:T75" ca="1" si="45">SUM(K$316,K$329,K$338,K$361)</f>
        <v>50.696808263139943</v>
      </c>
      <c r="L75" s="7">
        <f t="shared" ca="1" si="45"/>
        <v>55.378289439899319</v>
      </c>
      <c r="M75" s="7">
        <f t="shared" ca="1" si="45"/>
        <v>60.155849623112928</v>
      </c>
      <c r="N75" s="7">
        <f t="shared" ca="1" si="45"/>
        <v>65.034922907467163</v>
      </c>
      <c r="O75" s="7">
        <f t="shared" ca="1" si="45"/>
        <v>69.981139267122956</v>
      </c>
      <c r="P75" s="7">
        <f t="shared" ca="1" si="45"/>
        <v>74.953493882661846</v>
      </c>
      <c r="Q75" s="7">
        <f t="shared" ca="1" si="45"/>
        <v>79.867864819902564</v>
      </c>
      <c r="R75" s="7">
        <f t="shared" ca="1" si="45"/>
        <v>84.721501459717217</v>
      </c>
      <c r="S75" s="7">
        <f t="shared" ca="1" si="45"/>
        <v>89.549919926233656</v>
      </c>
      <c r="T75" s="7">
        <f t="shared" ca="1" si="45"/>
        <v>94.35452217208676</v>
      </c>
    </row>
    <row r="76" spans="1:20" ht="15" x14ac:dyDescent="0.25">
      <c r="A76" s="2" t="s">
        <v>355</v>
      </c>
      <c r="D76" s="35">
        <f t="shared" ref="D76:T76" si="46">SUM(D$73:D$75)</f>
        <v>60.631000000000007</v>
      </c>
      <c r="E76" s="35">
        <f t="shared" si="46"/>
        <v>61.879999999999995</v>
      </c>
      <c r="F76" s="34">
        <f t="shared" si="46"/>
        <v>60.559999999999995</v>
      </c>
      <c r="G76" s="34">
        <f t="shared" si="46"/>
        <v>62.239000000000004</v>
      </c>
      <c r="H76" s="34">
        <f t="shared" si="46"/>
        <v>63.714000000000013</v>
      </c>
      <c r="I76" s="34">
        <f t="shared" si="46"/>
        <v>61.978000000000009</v>
      </c>
      <c r="J76" s="34">
        <f t="shared" si="46"/>
        <v>60.807000000000002</v>
      </c>
      <c r="K76" s="38">
        <f t="shared" ca="1" si="46"/>
        <v>56.196615715744478</v>
      </c>
      <c r="L76" s="38">
        <f t="shared" ca="1" si="46"/>
        <v>52.519634613995763</v>
      </c>
      <c r="M76" s="38">
        <f t="shared" ca="1" si="46"/>
        <v>48.638331417520185</v>
      </c>
      <c r="N76" s="38">
        <f t="shared" ca="1" si="46"/>
        <v>44.625451528820889</v>
      </c>
      <c r="O76" s="38">
        <f t="shared" ca="1" si="46"/>
        <v>40.488023709737199</v>
      </c>
      <c r="P76" s="38">
        <f t="shared" ca="1" si="46"/>
        <v>36.399795289123006</v>
      </c>
      <c r="Q76" s="38">
        <f t="shared" ca="1" si="46"/>
        <v>32.55861145687615</v>
      </c>
      <c r="R76" s="38">
        <f t="shared" ca="1" si="46"/>
        <v>29.389078168861168</v>
      </c>
      <c r="S76" s="38">
        <f t="shared" ca="1" si="46"/>
        <v>27.27538173499449</v>
      </c>
      <c r="T76" s="38">
        <f t="shared" ca="1" si="46"/>
        <v>26.694886983835033</v>
      </c>
    </row>
    <row r="77" spans="1:20" ht="15" x14ac:dyDescent="0.25">
      <c r="A77" s="27" t="s">
        <v>1301</v>
      </c>
      <c r="B77" s="4" t="str">
        <f>$B$58</f>
        <v>History &amp; Forecast only</v>
      </c>
      <c r="D77" s="6" t="str">
        <f>IF(ROUND('Fiscal Forecasts'!D$147-D$76,3)=0,"OK","ERROR")</f>
        <v>OK</v>
      </c>
      <c r="E77" s="6" t="str">
        <f>IF(ROUND('Fiscal Forecasts'!E$147-E$76,3)=0,"OK","ERROR")</f>
        <v>OK</v>
      </c>
      <c r="F77" s="6" t="str">
        <f>IF(ROUND('Fiscal Forecasts'!F$147-F$76 +IF($C$2="Yes",'Fiscal Forecast Adjuster'!C$37/1000,0) +IF($C$3="Yes",'NZS Fund Adjuster'!M$11,0),3)=0,"OK","ERROR")</f>
        <v>OK</v>
      </c>
      <c r="G77" s="6" t="str">
        <f>IF(ROUND('Fiscal Forecasts'!G$147-G$76 +IF($C$2="Yes",'Fiscal Forecast Adjuster'!D$37/1000,0) +IF($C$3="Yes",'NZS Fund Adjuster'!N$11,0),3)=0,"OK","ERROR")</f>
        <v>OK</v>
      </c>
      <c r="H77" s="6" t="str">
        <f>IF(ROUND('Fiscal Forecasts'!H$147-H$76 +IF($C$2="Yes",'Fiscal Forecast Adjuster'!E$37/1000,0) +IF($C$3="Yes",'NZS Fund Adjuster'!O$11,0),3)=0,"OK","ERROR")</f>
        <v>OK</v>
      </c>
      <c r="I77" s="6" t="str">
        <f>IF(ROUND('Fiscal Forecasts'!I$147-I$76 +IF($C$2="Yes",'Fiscal Forecast Adjuster'!F$37/1000,0) +IF($C$3="Yes",'NZS Fund Adjuster'!P$11,0),3)=0,"OK","ERROR")</f>
        <v>OK</v>
      </c>
      <c r="J77" s="6" t="str">
        <f>IF(ROUND('Fiscal Forecasts'!J$147-J$76 +IF($C$2="Yes",'Fiscal Forecast Adjuster'!G$37/1000,0) +IF($C$3="Yes",'NZS Fund Adjuster'!Q$11,0),3)=0,"OK","ERROR")</f>
        <v>OK</v>
      </c>
    </row>
    <row r="78" spans="1:20" ht="15" x14ac:dyDescent="0.25">
      <c r="A78" s="27"/>
      <c r="B78" s="4"/>
      <c r="D78" s="6"/>
      <c r="E78" s="6"/>
      <c r="F78" s="6"/>
      <c r="G78" s="6"/>
      <c r="H78" s="6"/>
      <c r="I78" s="6"/>
      <c r="J78" s="6"/>
    </row>
    <row r="79" spans="1:20" x14ac:dyDescent="0.2">
      <c r="A79" s="19" t="s">
        <v>180</v>
      </c>
    </row>
    <row r="80" spans="1:20" x14ac:dyDescent="0.2">
      <c r="A80" s="1" t="s">
        <v>181</v>
      </c>
      <c r="B80" s="4" t="str">
        <f>$B$38</f>
        <v>From Fiscal</v>
      </c>
      <c r="D80" s="15">
        <f>'Fiscal Forecasts'!D$70</f>
        <v>64.944999999999993</v>
      </c>
      <c r="E80" s="15">
        <f>'Fiscal Forecasts'!E$70</f>
        <v>69.027000000000001</v>
      </c>
      <c r="F80" s="16">
        <f>'Fiscal Forecasts'!F$70 +IF($C$2="Yes",SUM('Fiscal Forecast Adjuster'!C$8:C$12)/1000,0)</f>
        <v>73.177999999999997</v>
      </c>
      <c r="G80" s="16">
        <f>'Fiscal Forecasts'!G$70 +IF($C$2="Yes",SUM('Fiscal Forecast Adjuster'!D$8:D$12)/1000,0)</f>
        <v>76.364000000000004</v>
      </c>
      <c r="H80" s="16">
        <f>'Fiscal Forecasts'!H$70 +IF($C$2="Yes",SUM('Fiscal Forecast Adjuster'!E$8:E$12)/1000,0)</f>
        <v>79.557000000000002</v>
      </c>
      <c r="I80" s="16">
        <f>'Fiscal Forecasts'!I$70 +IF($C$2="Yes",SUM('Fiscal Forecast Adjuster'!F$8:F$12)/1000,0)</f>
        <v>84.019000000000005</v>
      </c>
      <c r="J80" s="16">
        <f>'Fiscal Forecasts'!J$70 +IF($C$2="Yes",SUM('Fiscal Forecast Adjuster'!G$8:G$12)/1000,0)</f>
        <v>87.903999999999996</v>
      </c>
      <c r="K80" s="7">
        <f t="shared" ref="K80:T80" ca="1" si="47">SUM(K$455-K$348,K$130)</f>
        <v>92.194179779019819</v>
      </c>
      <c r="L80" s="7">
        <f t="shared" ca="1" si="47"/>
        <v>96.759470156637775</v>
      </c>
      <c r="M80" s="7">
        <f t="shared" ca="1" si="47"/>
        <v>101.40080871292959</v>
      </c>
      <c r="N80" s="7">
        <f t="shared" ca="1" si="47"/>
        <v>106.08188279350539</v>
      </c>
      <c r="O80" s="7">
        <f t="shared" ca="1" si="47"/>
        <v>110.86388603815099</v>
      </c>
      <c r="P80" s="7">
        <f t="shared" ca="1" si="47"/>
        <v>115.82848983119915</v>
      </c>
      <c r="Q80" s="7">
        <f t="shared" ca="1" si="47"/>
        <v>120.9691942710834</v>
      </c>
      <c r="R80" s="7">
        <f t="shared" ca="1" si="47"/>
        <v>126.07735188400598</v>
      </c>
      <c r="S80" s="7">
        <f t="shared" ca="1" si="47"/>
        <v>131.34340188971885</v>
      </c>
      <c r="T80" s="7">
        <f t="shared" ca="1" si="47"/>
        <v>136.7780505199496</v>
      </c>
    </row>
    <row r="81" spans="1:20" x14ac:dyDescent="0.2">
      <c r="A81" s="1" t="s">
        <v>182</v>
      </c>
      <c r="B81" s="4" t="str">
        <f t="shared" ref="B81:B87" si="48">$B$38</f>
        <v>From Fiscal</v>
      </c>
      <c r="D81" s="15">
        <f>'Fiscal Forecasts'!D$71</f>
        <v>4.7309999999999999</v>
      </c>
      <c r="E81" s="15">
        <f>'Fiscal Forecasts'!E$71</f>
        <v>4.6849999999999996</v>
      </c>
      <c r="F81" s="16">
        <f>'Fiscal Forecasts'!F$71</f>
        <v>4.4800000000000004</v>
      </c>
      <c r="G81" s="16">
        <f>'Fiscal Forecasts'!G$71</f>
        <v>4.431</v>
      </c>
      <c r="H81" s="16">
        <f>'Fiscal Forecasts'!H$71</f>
        <v>4.5410000000000004</v>
      </c>
      <c r="I81" s="16">
        <f>'Fiscal Forecasts'!I$71</f>
        <v>5.0590000000000002</v>
      </c>
      <c r="J81" s="16">
        <f>'Fiscal Forecasts'!J$71</f>
        <v>5.2050000000000001</v>
      </c>
      <c r="K81" s="7">
        <f ca="1">SUM(K$456,IF(K$6=OFFSET(Assumptions!$B$8,0,$C$1),AVERAGE((H$81-H$456)/SUM(H$135,H$136),(I$81-I$456)/SUM(I$135,I$136),(J$81-J$456)/SUM(J$135,J$136)),(J$81-J$456)/SUM(J$135,J$136))*SUM(K$135,K$136))</f>
        <v>5.4834820713986421</v>
      </c>
      <c r="L81" s="7">
        <f ca="1">SUM(L$456,IF(L$6=OFFSET(Assumptions!$B$8,0,$C$1),AVERAGE((I$81-I$456)/SUM(I$135,I$136),(J$81-J$456)/SUM(J$135,J$136),(K$81-K$456)/SUM(K$135,K$136)),(K$81-K$456)/SUM(K$135,K$136))*SUM(L$135,L$136))</f>
        <v>5.7386730714173853</v>
      </c>
      <c r="M81" s="7">
        <f ca="1">SUM(M$456,IF(M$6=OFFSET(Assumptions!$B$8,0,$C$1),AVERAGE((J$81-J$456)/SUM(J$135,J$136),(K$81-K$456)/SUM(K$135,K$136),(L$81-L$456)/SUM(L$135,L$136)),(L$81-L$456)/SUM(L$135,L$136))*SUM(M$135,M$136))</f>
        <v>5.9931182320678582</v>
      </c>
      <c r="N81" s="7">
        <f ca="1">SUM(N$456,IF(N$6=OFFSET(Assumptions!$B$8,0,$C$1),AVERAGE((K$81-K$456)/SUM(K$135,K$136),(L$81-L$456)/SUM(L$135,L$136),(M$81-M$456)/SUM(M$135,M$136)),(M$81-M$456)/SUM(M$135,M$136))*SUM(N$135,N$136))</f>
        <v>6.2608662671189004</v>
      </c>
      <c r="O81" s="7">
        <f ca="1">SUM(O$456,IF(O$6=OFFSET(Assumptions!$B$8,0,$C$1),AVERAGE((L$81-L$456)/SUM(L$135,L$136),(M$81-M$456)/SUM(M$135,M$136),(N$81-N$456)/SUM(N$135,N$136)),(N$81-N$456)/SUM(N$135,N$136))*SUM(O$135,O$136))</f>
        <v>6.538303755104228</v>
      </c>
      <c r="P81" s="7">
        <f ca="1">SUM(P$456,IF(P$6=OFFSET(Assumptions!$B$8,0,$C$1),AVERAGE((M$81-M$456)/SUM(M$135,M$136),(N$81-N$456)/SUM(N$135,N$136),(O$81-O$456)/SUM(O$135,O$136)),(O$81-O$456)/SUM(O$135,O$136))*SUM(P$135,P$136))</f>
        <v>6.832434270577612</v>
      </c>
      <c r="Q81" s="7">
        <f ca="1">SUM(Q$456,IF(Q$6=OFFSET(Assumptions!$B$8,0,$C$1),AVERAGE((N$81-N$456)/SUM(N$135,N$136),(O$81-O$456)/SUM(O$135,O$136),(P$81-P$456)/SUM(P$135,P$136)),(P$81-P$456)/SUM(P$135,P$136))*SUM(Q$135,Q$136))</f>
        <v>7.1181397877274337</v>
      </c>
      <c r="R81" s="7">
        <f ca="1">SUM(R$456,IF(R$6=OFFSET(Assumptions!$B$8,0,$C$1),AVERAGE((O$81-O$456)/SUM(O$135,O$136),(P$81-P$456)/SUM(P$135,P$136),(Q$81-Q$456)/SUM(Q$135,Q$136)),(Q$81-Q$456)/SUM(Q$135,Q$136))*SUM(R$135,R$136))</f>
        <v>7.4246511557374824</v>
      </c>
      <c r="S81" s="7">
        <f ca="1">SUM(S$456,IF(S$6=OFFSET(Assumptions!$B$8,0,$C$1),AVERAGE((P$81-P$456)/SUM(P$135,P$136),(Q$81-Q$456)/SUM(Q$135,Q$136),(R$81-R$456)/SUM(R$135,R$136)),(R$81-R$456)/SUM(R$135,R$136))*SUM(S$135,S$136))</f>
        <v>7.7336447407068292</v>
      </c>
      <c r="T81" s="7">
        <f ca="1">SUM(T$456,IF(T$6=OFFSET(Assumptions!$B$8,0,$C$1),AVERAGE((Q$81-Q$456)/SUM(Q$135,Q$136),(R$81-R$456)/SUM(R$135,R$136),(S$81-S$456)/SUM(S$135,S$136)),(S$81-S$456)/SUM(S$135,S$136))*SUM(T$135,T$136))</f>
        <v>8.0685820202312204</v>
      </c>
    </row>
    <row r="82" spans="1:20" x14ac:dyDescent="0.2">
      <c r="A82" s="1" t="s">
        <v>145</v>
      </c>
      <c r="B82" s="4" t="str">
        <f t="shared" si="48"/>
        <v>From Fiscal</v>
      </c>
      <c r="D82" s="15">
        <f>'Fiscal Forecasts'!D$72</f>
        <v>17.231999999999999</v>
      </c>
      <c r="E82" s="15">
        <f>'Fiscal Forecasts'!E$72</f>
        <v>17.074000000000002</v>
      </c>
      <c r="F82" s="16">
        <f>'Fiscal Forecasts'!F$72</f>
        <v>16.54</v>
      </c>
      <c r="G82" s="16">
        <f>'Fiscal Forecasts'!G$72</f>
        <v>17.666</v>
      </c>
      <c r="H82" s="16">
        <f>'Fiscal Forecasts'!H$72</f>
        <v>18.298999999999999</v>
      </c>
      <c r="I82" s="16">
        <f>'Fiscal Forecasts'!I$72</f>
        <v>18.863</v>
      </c>
      <c r="J82" s="16">
        <f>'Fiscal Forecasts'!J$72</f>
        <v>19.268000000000001</v>
      </c>
      <c r="K82" s="7">
        <f ca="1">IF(K$6=OFFSET(Assumptions!$B$8,0,$C$1),AVERAGE(H$82/SUM(H$82,H$84),I$82/SUM(I$82,I$84),J$82/SUM(J$82,J$84)),J$82/SUM(J$82,J$84))*SUM(K$457,IF(K$6=OFFSET(Assumptions!$B$8,0,$C$1),AVERAGE(SUM(H$82,H$84,-H$457)/SUM(H$141-H$140,H$155-H$154),SUM(I$82,I$84,-I$457)/SUM(I$141-I$140,I$155-I$154),SUM(J$82,J$84,-J$457)/SUM(J$141-J$140,J$155-J$154)),SUM(J$82,J$84,-J$457)/SUM(J$141-J$140,J$155-J$154))*SUM(K$141-K$140,K$155-K$154))</f>
        <v>20.456233693756538</v>
      </c>
      <c r="L82" s="7">
        <f ca="1">IF(L$6=OFFSET(Assumptions!$B$8,0,$C$1),AVERAGE(I$82/SUM(I$82,I$84),J$82/SUM(J$82,J$84),K$82/SUM(K$82,K$84)),K$82/SUM(K$82,K$84))*SUM(L$457,IF(L$6=OFFSET(Assumptions!$B$8,0,$C$1),AVERAGE(SUM(I$82,I$84,-I$457)/SUM(I$141-I$140,I$155-I$154),SUM(J$82,J$84,-J$457)/SUM(J$141-J$140,J$155-J$154),SUM(K$82,K$84,-K$457)/SUM(K$141-K$140,K$155-K$154)),SUM(K$82,K$84,-K$457)/SUM(K$141-K$140,K$155-K$154))*SUM(L$141-L$140,L$155-L$154))</f>
        <v>21.353718841077956</v>
      </c>
      <c r="M82" s="7">
        <f ca="1">IF(M$6=OFFSET(Assumptions!$B$8,0,$C$1),AVERAGE(J$82/SUM(J$82,J$84),K$82/SUM(K$82,K$84),L$82/SUM(L$82,L$84)),L$82/SUM(L$82,L$84))*SUM(M$457,IF(M$6=OFFSET(Assumptions!$B$8,0,$C$1),AVERAGE(SUM(J$82,J$84,-J$457)/SUM(J$141-J$140,J$155-J$154),SUM(K$82,K$84,-K$457)/SUM(K$141-K$140,K$155-K$154),SUM(L$82,L$84,-L$457)/SUM(L$141-L$140,L$155-L$154)),SUM(L$82,L$84,-L$457)/SUM(L$141-L$140,L$155-L$154))*SUM(M$141-M$140,M$155-M$154))</f>
        <v>22.286872016454723</v>
      </c>
      <c r="N82" s="7">
        <f ca="1">IF(N$6=OFFSET(Assumptions!$B$8,0,$C$1),AVERAGE(K$82/SUM(K$82,K$84),L$82/SUM(L$82,L$84),M$82/SUM(M$82,M$84)),M$82/SUM(M$82,M$84))*SUM(N$457,IF(N$6=OFFSET(Assumptions!$B$8,0,$C$1),AVERAGE(SUM(K$82,K$84,-K$457)/SUM(K$141-K$140,K$155-K$154),SUM(L$82,L$84,-L$457)/SUM(L$141-L$140,L$155-L$154),SUM(M$82,M$84,-M$457)/SUM(M$141-M$140,M$155-M$154)),SUM(M$82,M$84,-M$457)/SUM(M$141-M$140,M$155-M$154))*SUM(N$141-N$140,N$155-N$154))</f>
        <v>23.259750115324916</v>
      </c>
      <c r="O82" s="7">
        <f ca="1">IF(O$6=OFFSET(Assumptions!$B$8,0,$C$1),AVERAGE(L$82/SUM(L$82,L$84),M$82/SUM(M$82,M$84),N$82/SUM(N$82,N$84)),N$82/SUM(N$82,N$84))*SUM(O$457,IF(O$6=OFFSET(Assumptions!$B$8,0,$C$1),AVERAGE(SUM(L$82,L$84,-L$457)/SUM(L$141-L$140,L$155-L$154),SUM(M$82,M$84,-M$457)/SUM(M$141-M$140,M$155-M$154),SUM(N$82,N$84,-N$457)/SUM(N$141-N$140,N$155-N$154)),SUM(N$82,N$84,-N$457)/SUM(N$141-N$140,N$155-N$154))*SUM(O$141-O$140,O$155-O$154))</f>
        <v>24.264979726634127</v>
      </c>
      <c r="P82" s="7">
        <f ca="1">IF(P$6=OFFSET(Assumptions!$B$8,0,$C$1),AVERAGE(M$82/SUM(M$82,M$84),N$82/SUM(N$82,N$84),O$82/SUM(O$82,O$84)),O$82/SUM(O$82,O$84))*SUM(P$457,IF(P$6=OFFSET(Assumptions!$B$8,0,$C$1),AVERAGE(SUM(M$82,M$84,-M$457)/SUM(M$141-M$140,M$155-M$154),SUM(N$82,N$84,-N$457)/SUM(N$141-N$140,N$155-N$154),SUM(O$82,O$84,-O$457)/SUM(O$141-O$140,O$155-O$154)),SUM(O$82,O$84,-O$457)/SUM(O$141-O$140,O$155-O$154))*SUM(P$141-P$140,P$155-P$154))</f>
        <v>25.306530970863939</v>
      </c>
      <c r="Q82" s="7">
        <f ca="1">IF(Q$6=OFFSET(Assumptions!$B$8,0,$C$1),AVERAGE(N$82/SUM(N$82,N$84),O$82/SUM(O$82,O$84),P$82/SUM(P$82,P$84)),P$82/SUM(P$82,P$84))*SUM(Q$457,IF(Q$6=OFFSET(Assumptions!$B$8,0,$C$1),AVERAGE(SUM(N$82,N$84,-N$457)/SUM(N$141-N$140,N$155-N$154),SUM(O$82,O$84,-O$457)/SUM(O$141-O$140,O$155-O$154),SUM(P$82,P$84,-P$457)/SUM(P$141-P$140,P$155-P$154)),SUM(P$82,P$84,-P$457)/SUM(P$141-P$140,P$155-P$154))*SUM(Q$141-Q$140,Q$155-Q$154))</f>
        <v>26.382792917642728</v>
      </c>
      <c r="R82" s="7">
        <f ca="1">IF(R$6=OFFSET(Assumptions!$B$8,0,$C$1),AVERAGE(O$82/SUM(O$82,O$84),P$82/SUM(P$82,P$84),Q$82/SUM(Q$82,Q$84)),Q$82/SUM(Q$82,Q$84))*SUM(R$457,IF(R$6=OFFSET(Assumptions!$B$8,0,$C$1),AVERAGE(SUM(O$82,O$84,-O$457)/SUM(O$141-O$140,O$155-O$154),SUM(P$82,P$84,-P$457)/SUM(P$141-P$140,P$155-P$154),SUM(Q$82,Q$84,-Q$457)/SUM(Q$141-Q$140,Q$155-Q$154)),SUM(Q$82,Q$84,-Q$457)/SUM(Q$141-Q$140,Q$155-Q$154))*SUM(R$141-R$140,R$155-R$154))</f>
        <v>27.492565442018595</v>
      </c>
      <c r="S82" s="7">
        <f ca="1">IF(S$6=OFFSET(Assumptions!$B$8,0,$C$1),AVERAGE(P$82/SUM(P$82,P$84),Q$82/SUM(Q$82,Q$84),R$82/SUM(R$82,R$84)),R$82/SUM(R$82,R$84))*SUM(S$457,IF(S$6=OFFSET(Assumptions!$B$8,0,$C$1),AVERAGE(SUM(P$82,P$84,-P$457)/SUM(P$141-P$140,P$155-P$154),SUM(Q$82,Q$84,-Q$457)/SUM(Q$141-Q$140,Q$155-Q$154),SUM(R$82,R$84,-R$457)/SUM(R$141-R$140,R$155-R$154)),SUM(R$82,R$84,-R$457)/SUM(R$141-R$140,R$155-R$154))*SUM(S$141-S$140,S$155-S$154))</f>
        <v>28.640886074071549</v>
      </c>
      <c r="T82" s="7">
        <f ca="1">IF(T$6=OFFSET(Assumptions!$B$8,0,$C$1),AVERAGE(Q$82/SUM(Q$82,Q$84),R$82/SUM(R$82,R$84),S$82/SUM(S$82,S$84)),S$82/SUM(S$82,S$84))*SUM(T$457,IF(T$6=OFFSET(Assumptions!$B$8,0,$C$1),AVERAGE(SUM(Q$82,Q$84,-Q$457)/SUM(Q$141-Q$140,Q$155-Q$154),SUM(R$82,R$84,-R$457)/SUM(R$141-R$140,R$155-R$154),SUM(S$82,S$84,-S$457)/SUM(S$141-S$140,S$155-S$154)),SUM(S$82,S$84,-S$457)/SUM(S$141-S$140,S$155-S$154))*SUM(T$141-T$140,T$155-T$154))</f>
        <v>29.825971506849815</v>
      </c>
    </row>
    <row r="83" spans="1:20" x14ac:dyDescent="0.2">
      <c r="A83" s="1" t="s">
        <v>183</v>
      </c>
      <c r="B83" s="4" t="str">
        <f t="shared" si="48"/>
        <v>From Fiscal</v>
      </c>
      <c r="D83" s="15">
        <f>'Fiscal Forecasts'!D$73</f>
        <v>3.3639999999999999</v>
      </c>
      <c r="E83" s="15">
        <f>'Fiscal Forecasts'!E$73</f>
        <v>3.43</v>
      </c>
      <c r="F83" s="16">
        <f>'Fiscal Forecasts'!F$73</f>
        <v>3.3130000000000002</v>
      </c>
      <c r="G83" s="16">
        <f>'Fiscal Forecasts'!G$73</f>
        <v>3.2879999999999998</v>
      </c>
      <c r="H83" s="16">
        <f>'Fiscal Forecasts'!H$73</f>
        <v>3.47</v>
      </c>
      <c r="I83" s="16">
        <f>'Fiscal Forecasts'!I$73</f>
        <v>3.7</v>
      </c>
      <c r="J83" s="16">
        <f>'Fiscal Forecasts'!J$73</f>
        <v>3.9279999999999999</v>
      </c>
      <c r="K83" s="7">
        <f ca="1">SUM(K$458,K$145-(K$322-J$322),IF(K$6=OFFSET(Assumptions!$B$8,0,$C$1),AVERAGE((H$83-SUM(H$458,H$145-(H$322-G$322)))/SUM(H$148:H$150),(I$83-SUM(I$458,I$145-(I$322-H$322)))/SUM(I$148:I$150),(J$83-SUM(J$458,J$145-(J$322-I$322)))/SUM(J$148:J$150)),(J$83-SUM(J$458,J$145-(J$322-I$322)))/SUM(J$148:J$150))*SUM(K$148:K$150))</f>
        <v>3.6366289709335859</v>
      </c>
      <c r="L83" s="7">
        <f ca="1">SUM(L$458,L$145-(L$322-K$322),IF(L$6=OFFSET(Assumptions!$B$8,0,$C$1),AVERAGE((I$83-SUM(I$458,I$145-(I$322-H$322)))/SUM(I$148:I$150),(J$83-SUM(J$458,J$145-(J$322-I$322)))/SUM(J$148:J$150),(K$83-SUM(K$458,K$145-(K$322-J$322)))/SUM(K$148:K$150)),(K$83-SUM(K$458,K$145-(K$322-J$322)))/SUM(K$148:K$150))*SUM(L$148:L$150))</f>
        <v>4.0097672143755894</v>
      </c>
      <c r="M83" s="7">
        <f ca="1">SUM(M$458,M$145-(M$322-L$322),IF(M$6=OFFSET(Assumptions!$B$8,0,$C$1),AVERAGE((J$83-SUM(J$458,J$145-(J$322-I$322)))/SUM(J$148:J$150),(K$83-SUM(K$458,K$145-(K$322-J$322)))/SUM(K$148:K$150),(L$83-SUM(L$458,L$145-(L$322-K$322)))/SUM(L$148:L$150)),(L$83-SUM(L$458,L$145-(L$322-K$322)))/SUM(L$148:L$150))*SUM(M$148:M$150))</f>
        <v>4.4038236323151736</v>
      </c>
      <c r="N83" s="7">
        <f ca="1">SUM(N$458,N$145-(N$322-M$322),IF(N$6=OFFSET(Assumptions!$B$8,0,$C$1),AVERAGE((K$83-SUM(K$458,K$145-(K$322-J$322)))/SUM(K$148:K$150),(L$83-SUM(L$458,L$145-(L$322-K$322)))/SUM(L$148:L$150),(M$83-SUM(M$458,M$145-(M$322-L$322)))/SUM(M$148:M$150)),(M$83-SUM(M$458,M$145-(M$322-L$322)))/SUM(M$148:M$150))*SUM(N$148:N$150))</f>
        <v>4.8123760841881289</v>
      </c>
      <c r="O83" s="7">
        <f ca="1">SUM(O$458,O$145-(O$322-N$322),IF(O$6=OFFSET(Assumptions!$B$8,0,$C$1),AVERAGE((L$83-SUM(L$458,L$145-(L$322-K$322)))/SUM(L$148:L$150),(M$83-SUM(M$458,M$145-(M$322-L$322)))/SUM(M$148:M$150),(N$83-SUM(N$458,N$145-(N$322-M$322)))/SUM(N$148:N$150)),(N$83-SUM(N$458,N$145-(N$322-M$322)))/SUM(N$148:N$150))*SUM(O$148:O$150))</f>
        <v>5.2339989454628197</v>
      </c>
      <c r="P83" s="7">
        <f ca="1">SUM(P$458,P$145-(P$322-O$322),IF(P$6=OFFSET(Assumptions!$B$8,0,$C$1),AVERAGE((M$83-SUM(M$458,M$145-(M$322-L$322)))/SUM(M$148:M$150),(N$83-SUM(N$458,N$145-(N$322-M$322)))/SUM(N$148:N$150),(O$83-SUM(O$458,O$145-(O$322-N$322)))/SUM(O$148:O$150)),(O$83-SUM(O$458,O$145-(O$322-N$322)))/SUM(O$148:O$150))*SUM(P$148:P$150))</f>
        <v>5.6603748319371432</v>
      </c>
      <c r="Q83" s="7">
        <f ca="1">SUM(Q$458,Q$145-(Q$322-P$322),IF(Q$6=OFFSET(Assumptions!$B$8,0,$C$1),AVERAGE((N$83-SUM(N$458,N$145-(N$322-M$322)))/SUM(N$148:N$150),(O$83-SUM(O$458,O$145-(O$322-N$322)))/SUM(O$148:O$150),(P$83-SUM(P$458,P$145-(P$322-O$322)))/SUM(P$148:P$150)),(P$83-SUM(P$458,P$145-(P$322-O$322)))/SUM(P$148:P$150))*SUM(Q$148:Q$150))</f>
        <v>6.080043313447475</v>
      </c>
      <c r="R83" s="7">
        <f ca="1">SUM(R$458,R$145-(R$322-Q$322),IF(R$6=OFFSET(Assumptions!$B$8,0,$C$1),AVERAGE((O$83-SUM(O$458,O$145-(O$322-N$322)))/SUM(O$148:O$150),(P$83-SUM(P$458,P$145-(P$322-O$322)))/SUM(P$148:P$150),(Q$83-SUM(Q$458,Q$145-(Q$322-P$322)))/SUM(Q$148:Q$150)),(Q$83-SUM(Q$458,Q$145-(Q$322-P$322)))/SUM(Q$148:Q$150))*SUM(R$148:R$150))</f>
        <v>6.3659334143949851</v>
      </c>
      <c r="S83" s="7">
        <f ca="1">SUM(S$458,S$145-(S$322-R$322),IF(S$6=OFFSET(Assumptions!$B$8,0,$C$1),AVERAGE((P$83-SUM(P$458,P$145-(P$322-O$322)))/SUM(P$148:P$150),(Q$83-SUM(Q$458,Q$145-(Q$322-P$322)))/SUM(Q$148:Q$150),(R$83-SUM(R$458,R$145-(R$322-Q$322)))/SUM(R$148:R$150)),(R$83-SUM(R$458,R$145-(R$322-Q$322)))/SUM(R$148:R$150))*SUM(S$148:S$150))</f>
        <v>6.6585207575551619</v>
      </c>
      <c r="T83" s="7">
        <f ca="1">SUM(T$458,T$145-(T$322-S$322),IF(T$6=OFFSET(Assumptions!$B$8,0,$C$1),AVERAGE((Q$83-SUM(Q$458,Q$145-(Q$322-P$322)))/SUM(Q$148:Q$150),(R$83-SUM(R$458,R$145-(R$322-Q$322)))/SUM(R$148:R$150),(S$83-SUM(S$458,S$145-(S$322-R$322)))/SUM(S$148:S$150)),(S$83-SUM(S$458,S$145-(S$322-R$322)))/SUM(S$148:S$150))*SUM(T$148:T$150))</f>
        <v>6.9585497010486748</v>
      </c>
    </row>
    <row r="84" spans="1:20" x14ac:dyDescent="0.2">
      <c r="A84" s="1" t="s">
        <v>184</v>
      </c>
      <c r="B84" s="4" t="str">
        <f t="shared" si="48"/>
        <v>From Fiscal</v>
      </c>
      <c r="D84" s="15">
        <f>'Fiscal Forecasts'!D$74</f>
        <v>3.823</v>
      </c>
      <c r="E84" s="15">
        <f>'Fiscal Forecasts'!E$74</f>
        <v>4.1310000000000002</v>
      </c>
      <c r="F84" s="16">
        <f>'Fiscal Forecasts'!F$74</f>
        <v>3.8759999999999999</v>
      </c>
      <c r="G84" s="16">
        <f>'Fiscal Forecasts'!G$74</f>
        <v>3.8319999999999999</v>
      </c>
      <c r="H84" s="16">
        <f>'Fiscal Forecasts'!H$74</f>
        <v>3.7370000000000001</v>
      </c>
      <c r="I84" s="16">
        <f>'Fiscal Forecasts'!I$74</f>
        <v>3.7989999999999999</v>
      </c>
      <c r="J84" s="16">
        <f>'Fiscal Forecasts'!J$74</f>
        <v>3.8439999999999999</v>
      </c>
      <c r="K84" s="7">
        <f ca="1">SUM(-K$82,K$457,IF(K$6=OFFSET(Assumptions!$B$8,0,$C$1),AVERAGE(SUM(H$82,H$84,-H$457)/SUM(H$141-H$140,H$155-H$154),SUM(I$82,I$84,-I$457)/SUM(I$141-I$140,I$155-I$154),SUM(J$82,J$84,-J$457)/SUM(J$141-J$140,J$155-J$154)),SUM(J$82,J$84,-J$457)/SUM(J$141-J$140,J$155-J$154))*SUM(K$141-K$140,K$155-K$154))</f>
        <v>4.1260957570347863</v>
      </c>
      <c r="L84" s="7">
        <f ca="1">SUM(-L$82,L$457,IF(L$6=OFFSET(Assumptions!$B$8,0,$C$1),AVERAGE(SUM(I$82,I$84,-I$457)/SUM(I$141-I$140,I$155-I$154),SUM(J$82,J$84,-J$457)/SUM(J$141-J$140,J$155-J$154),SUM(K$82,K$84,-K$457)/SUM(K$141-K$140,K$155-K$154)),SUM(K$82,K$84,-K$457)/SUM(K$141-K$140,K$155-K$154))*SUM(L$141-L$140,L$155-L$154))</f>
        <v>4.3071217324808373</v>
      </c>
      <c r="M84" s="7">
        <f ca="1">SUM(-M$82,M$457,IF(M$6=OFFSET(Assumptions!$B$8,0,$C$1),AVERAGE(SUM(J$82,J$84,-J$457)/SUM(J$141-J$140,J$155-J$154),SUM(K$82,K$84,-K$457)/SUM(K$141-K$140,K$155-K$154),SUM(L$82,L$84,-L$457)/SUM(L$141-L$140,L$155-L$154)),SUM(L$82,L$84,-L$457)/SUM(L$141-L$140,L$155-L$154))*SUM(M$141-M$140,M$155-M$154))</f>
        <v>4.4953420772044517</v>
      </c>
      <c r="N84" s="7">
        <f ca="1">SUM(-N$82,N$457,IF(N$6=OFFSET(Assumptions!$B$8,0,$C$1),AVERAGE(SUM(K$82,K$84,-K$457)/SUM(K$141-K$140,K$155-K$154),SUM(L$82,L$84,-L$457)/SUM(L$141-L$140,L$155-L$154),SUM(M$82,M$84,-M$457)/SUM(M$141-M$140,M$155-M$154)),SUM(M$82,M$84,-M$457)/SUM(M$141-M$140,M$155-M$154))*SUM(N$141-N$140,N$155-N$154))</f>
        <v>4.6915750815763957</v>
      </c>
      <c r="O84" s="7">
        <f ca="1">SUM(-O$82,O$457,IF(O$6=OFFSET(Assumptions!$B$8,0,$C$1),AVERAGE(SUM(L$82,L$84,-L$457)/SUM(L$141-L$140,L$155-L$154),SUM(M$82,M$84,-M$457)/SUM(M$141-M$140,M$155-M$154),SUM(N$82,N$84,-N$457)/SUM(N$141-N$140,N$155-N$154)),SUM(N$82,N$84,-N$457)/SUM(N$141-N$140,N$155-N$154))*SUM(O$141-O$140,O$155-O$154))</f>
        <v>4.894333502122528</v>
      </c>
      <c r="P84" s="7">
        <f ca="1">SUM(-P$82,P$457,IF(P$6=OFFSET(Assumptions!$B$8,0,$C$1),AVERAGE(SUM(M$82,M$84,-M$457)/SUM(M$141-M$140,M$155-M$154),SUM(N$82,N$84,-N$457)/SUM(N$141-N$140,N$155-N$154),SUM(O$82,O$84,-O$457)/SUM(O$141-O$140,O$155-O$154)),SUM(O$82,O$84,-O$457)/SUM(O$141-O$140,O$155-O$154))*SUM(P$141-P$140,P$155-P$154))</f>
        <v>5.1044181263934476</v>
      </c>
      <c r="Q84" s="7">
        <f ca="1">SUM(-Q$82,Q$457,IF(Q$6=OFFSET(Assumptions!$B$8,0,$C$1),AVERAGE(SUM(N$82,N$84,-N$457)/SUM(N$141-N$140,N$155-N$154),SUM(O$82,O$84,-O$457)/SUM(O$141-O$140,O$155-O$154),SUM(P$82,P$84,-P$457)/SUM(P$141-P$140,P$155-P$154)),SUM(P$82,P$84,-P$457)/SUM(P$141-P$140,P$155-P$154))*SUM(Q$141-Q$140,Q$155-Q$154))</f>
        <v>5.3215040239512845</v>
      </c>
      <c r="R84" s="7">
        <f ca="1">SUM(-R$82,R$457,IF(R$6=OFFSET(Assumptions!$B$8,0,$C$1),AVERAGE(SUM(O$82,O$84,-O$457)/SUM(O$141-O$140,O$155-O$154),SUM(P$82,P$84,-P$457)/SUM(P$141-P$140,P$155-P$154),SUM(Q$82,Q$84,-Q$457)/SUM(Q$141-Q$140,Q$155-Q$154)),SUM(Q$82,Q$84,-Q$457)/SUM(Q$141-Q$140,Q$155-Q$154))*SUM(R$141-R$140,R$155-R$154))</f>
        <v>5.5453491252857852</v>
      </c>
      <c r="S84" s="7">
        <f ca="1">SUM(-S$82,S$457,IF(S$6=OFFSET(Assumptions!$B$8,0,$C$1),AVERAGE(SUM(P$82,P$84,-P$457)/SUM(P$141-P$140,P$155-P$154),SUM(Q$82,Q$84,-Q$457)/SUM(Q$141-Q$140,Q$155-Q$154),SUM(R$82,R$84,-R$457)/SUM(R$141-R$140,R$155-R$154)),SUM(R$82,R$84,-R$457)/SUM(R$141-R$140,R$155-R$154))*SUM(S$141-S$140,S$155-S$154))</f>
        <v>5.7769695182946599</v>
      </c>
      <c r="T84" s="7">
        <f ca="1">SUM(-T$82,T$457,IF(T$6=OFFSET(Assumptions!$B$8,0,$C$1),AVERAGE(SUM(Q$82,Q$84,-Q$457)/SUM(Q$141-Q$140,Q$155-Q$154),SUM(R$82,R$84,-R$457)/SUM(R$141-R$140,R$155-R$154),SUM(S$82,S$84,-S$457)/SUM(S$141-S$140,S$155-S$154)),SUM(S$82,S$84,-S$457)/SUM(S$141-S$140,S$155-S$154))*SUM(T$141-T$140,T$155-T$154))</f>
        <v>6.0160055035651361</v>
      </c>
    </row>
    <row r="85" spans="1:20" ht="15" x14ac:dyDescent="0.25">
      <c r="A85" s="2" t="s">
        <v>185</v>
      </c>
      <c r="D85" s="35">
        <f t="shared" ref="D85:T85" si="49">SUM(D$80:D$84)</f>
        <v>94.094999999999985</v>
      </c>
      <c r="E85" s="35">
        <f t="shared" si="49"/>
        <v>98.347000000000008</v>
      </c>
      <c r="F85" s="34">
        <f t="shared" si="49"/>
        <v>101.38700000000001</v>
      </c>
      <c r="G85" s="34">
        <f t="shared" si="49"/>
        <v>105.58099999999999</v>
      </c>
      <c r="H85" s="34">
        <f t="shared" si="49"/>
        <v>109.60399999999998</v>
      </c>
      <c r="I85" s="34">
        <f t="shared" si="49"/>
        <v>115.44000000000001</v>
      </c>
      <c r="J85" s="34">
        <f t="shared" si="49"/>
        <v>120.14899999999999</v>
      </c>
      <c r="K85" s="38">
        <f t="shared" ca="1" si="49"/>
        <v>125.89662027214338</v>
      </c>
      <c r="L85" s="38">
        <f t="shared" ca="1" si="49"/>
        <v>132.16875101598953</v>
      </c>
      <c r="M85" s="38">
        <f t="shared" ca="1" si="49"/>
        <v>138.5799646709718</v>
      </c>
      <c r="N85" s="38">
        <f t="shared" ca="1" si="49"/>
        <v>145.1064503417137</v>
      </c>
      <c r="O85" s="38">
        <f t="shared" ca="1" si="49"/>
        <v>151.79550196747468</v>
      </c>
      <c r="P85" s="38">
        <f t="shared" ca="1" si="49"/>
        <v>158.73224803097128</v>
      </c>
      <c r="Q85" s="38">
        <f t="shared" ca="1" si="49"/>
        <v>165.87167431385231</v>
      </c>
      <c r="R85" s="38">
        <f t="shared" ca="1" si="49"/>
        <v>172.90585102144283</v>
      </c>
      <c r="S85" s="38">
        <f t="shared" ca="1" si="49"/>
        <v>180.15342298034705</v>
      </c>
      <c r="T85" s="38">
        <f t="shared" ca="1" si="49"/>
        <v>187.64715925164444</v>
      </c>
    </row>
    <row r="86" spans="1:20" x14ac:dyDescent="0.2">
      <c r="A86" s="1" t="s">
        <v>149</v>
      </c>
      <c r="B86" s="4" t="str">
        <f t="shared" si="48"/>
        <v>From Fiscal</v>
      </c>
      <c r="D86" s="15">
        <f>'Fiscal Forecasts'!D$76</f>
        <v>23.896000000000001</v>
      </c>
      <c r="E86" s="15">
        <f>'Fiscal Forecasts'!E$76</f>
        <v>24.338000000000001</v>
      </c>
      <c r="F86" s="16">
        <f>'Fiscal Forecasts'!F$76 +IF($C$2="Yes",SUM('Fiscal Forecast Adjuster'!C$15:C$22)/1000,0)</f>
        <v>25.31</v>
      </c>
      <c r="G86" s="16">
        <f>'Fiscal Forecasts'!G$76 +IF($C$2="Yes",SUM('Fiscal Forecast Adjuster'!D$15:D$22)/1000,0)</f>
        <v>26.442</v>
      </c>
      <c r="H86" s="16">
        <f>'Fiscal Forecasts'!H$76 +IF($C$2="Yes",SUM('Fiscal Forecast Adjuster'!E$15:E$22)/1000,0)</f>
        <v>27.596</v>
      </c>
      <c r="I86" s="16">
        <f>'Fiscal Forecasts'!I$76 +IF($C$2="Yes",SUM('Fiscal Forecast Adjuster'!F$15:F$22)/1000,0)</f>
        <v>28.518000000000001</v>
      </c>
      <c r="J86" s="16">
        <f>'Fiscal Forecasts'!J$76 +IF($C$2="Yes",SUM('Fiscal Forecast Adjuster'!G$15:G$22)/1000,0)</f>
        <v>29.484000000000002</v>
      </c>
      <c r="K86" s="7">
        <f t="shared" ref="K86:T86" ca="1" si="50">K$169</f>
        <v>30.816114100763969</v>
      </c>
      <c r="L86" s="7">
        <f t="shared" ca="1" si="50"/>
        <v>32.406834186018116</v>
      </c>
      <c r="M86" s="7">
        <f t="shared" ca="1" si="50"/>
        <v>34.127520653997721</v>
      </c>
      <c r="N86" s="7">
        <f t="shared" ca="1" si="50"/>
        <v>35.939083599751754</v>
      </c>
      <c r="O86" s="7">
        <f t="shared" ca="1" si="50"/>
        <v>37.871092159947054</v>
      </c>
      <c r="P86" s="7">
        <f t="shared" ca="1" si="50"/>
        <v>39.901614631739051</v>
      </c>
      <c r="Q86" s="7">
        <f t="shared" ca="1" si="50"/>
        <v>42.014076392276316</v>
      </c>
      <c r="R86" s="7">
        <f t="shared" ca="1" si="50"/>
        <v>44.180343719805514</v>
      </c>
      <c r="S86" s="7">
        <f t="shared" ca="1" si="50"/>
        <v>46.368714833000674</v>
      </c>
      <c r="T86" s="7">
        <f t="shared" ca="1" si="50"/>
        <v>48.621555198314354</v>
      </c>
    </row>
    <row r="87" spans="1:20" x14ac:dyDescent="0.2">
      <c r="A87" s="1" t="s">
        <v>186</v>
      </c>
      <c r="B87" s="4" t="str">
        <f t="shared" si="48"/>
        <v>From Fiscal</v>
      </c>
      <c r="D87" s="15">
        <f>'Fiscal Forecasts'!D$77</f>
        <v>60.009</v>
      </c>
      <c r="E87" s="15">
        <f>'Fiscal Forecasts'!E$77</f>
        <v>61.16</v>
      </c>
      <c r="F87" s="16">
        <f ca="1">'Fiscal Forecasts'!F$77 +IF(OFFSET(Assumptions!$B$57,0,$C$1)="Yes",SUM(Allocate!C$14:C$24) +IF($C$2="Yes",'Fiscal Forecast Adjuster'!C$26/1000,0),0)</f>
        <v>62.875999999999998</v>
      </c>
      <c r="G87" s="16">
        <f ca="1">'Fiscal Forecasts'!G$77 +IF(OFFSET(Assumptions!$B$57,0,$C$1)="Yes",SUM(Allocate!D$14:D$24) +IF($C$2="Yes",'Fiscal Forecast Adjuster'!D$26/1000,0),0)</f>
        <v>67.986000000000004</v>
      </c>
      <c r="H87" s="16">
        <f ca="1">'Fiscal Forecasts'!H$77 +IF(OFFSET(Assumptions!$B$57,0,$C$1)="Yes",SUM(Allocate!E$14:E$24) +IF($C$2="Yes",'Fiscal Forecast Adjuster'!E$26/1000,0),0)</f>
        <v>67.132000000000005</v>
      </c>
      <c r="I87" s="16">
        <f ca="1">'Fiscal Forecasts'!I$77 +IF(OFFSET(Assumptions!$B$57,0,$C$1)="Yes",SUM(Allocate!F$14:F$24) +IF($C$2="Yes",'Fiscal Forecast Adjuster'!F$26/1000,0),0)</f>
        <v>67.350999999999999</v>
      </c>
      <c r="J87" s="16">
        <f ca="1">'Fiscal Forecasts'!J$77 +IF(OFFSET(Assumptions!$B$57,0,$C$1)="Yes",SUM(Allocate!G$14:G$24) +IF($C$2="Yes",'Fiscal Forecast Adjuster'!G$26/1000,0),0)</f>
        <v>67.756</v>
      </c>
      <c r="K87" s="7">
        <f t="shared" ref="K87:T87" ca="1" si="51">SUM(K$187,K$200-(K$137-K$81),K$214)-SUM(K$237,K$247)+SUM(K$380-J$380,K$384-J$384)-SUM(K$433-K$430-(J$433-J$430),K$443-J$443,K$448-J$448,K$452-J$452)</f>
        <v>67.170511795030279</v>
      </c>
      <c r="L87" s="7">
        <f t="shared" ca="1" si="51"/>
        <v>68.31053994960071</v>
      </c>
      <c r="M87" s="7">
        <f t="shared" ca="1" si="51"/>
        <v>69.436541953127815</v>
      </c>
      <c r="N87" s="7">
        <f t="shared" ca="1" si="51"/>
        <v>70.462998370723909</v>
      </c>
      <c r="O87" s="7">
        <f t="shared" ca="1" si="51"/>
        <v>71.600185283101865</v>
      </c>
      <c r="P87" s="7">
        <f t="shared" ca="1" si="51"/>
        <v>72.670897565512206</v>
      </c>
      <c r="Q87" s="7">
        <f t="shared" ca="1" si="51"/>
        <v>73.709700669918689</v>
      </c>
      <c r="R87" s="7">
        <f t="shared" ca="1" si="51"/>
        <v>74.735307717781879</v>
      </c>
      <c r="S87" s="7">
        <f t="shared" ca="1" si="51"/>
        <v>75.71451891146279</v>
      </c>
      <c r="T87" s="7">
        <f t="shared" ca="1" si="51"/>
        <v>76.659352215505308</v>
      </c>
    </row>
    <row r="88" spans="1:20" x14ac:dyDescent="0.2">
      <c r="A88" s="1" t="s">
        <v>187</v>
      </c>
      <c r="B88" s="4"/>
      <c r="D88" s="15">
        <f>D$514</f>
        <v>4.5979999999999999</v>
      </c>
      <c r="E88" s="15">
        <f>E$514</f>
        <v>4.3330000000000002</v>
      </c>
      <c r="F88" s="16">
        <f>F$514</f>
        <v>4.218</v>
      </c>
      <c r="G88" s="16">
        <f t="shared" ref="G88:T88" si="52">G$514</f>
        <v>4.09</v>
      </c>
      <c r="H88" s="16">
        <f t="shared" si="52"/>
        <v>4.077</v>
      </c>
      <c r="I88" s="16">
        <f t="shared" si="52"/>
        <v>4.0860000000000003</v>
      </c>
      <c r="J88" s="16">
        <f t="shared" si="52"/>
        <v>4.1459999999999999</v>
      </c>
      <c r="K88" s="7">
        <f t="shared" ca="1" si="52"/>
        <v>4.4115048236214838</v>
      </c>
      <c r="L88" s="7">
        <f t="shared" ca="1" si="52"/>
        <v>4.5907935921854977</v>
      </c>
      <c r="M88" s="7">
        <f t="shared" ca="1" si="52"/>
        <v>4.7886578648221469</v>
      </c>
      <c r="N88" s="7">
        <f t="shared" ca="1" si="52"/>
        <v>4.9725633223018368</v>
      </c>
      <c r="O88" s="7">
        <f t="shared" ca="1" si="52"/>
        <v>5.1434688466853382</v>
      </c>
      <c r="P88" s="7">
        <f t="shared" ca="1" si="52"/>
        <v>5.3031202344891346</v>
      </c>
      <c r="Q88" s="7">
        <f t="shared" ca="1" si="52"/>
        <v>5.4638039629653008</v>
      </c>
      <c r="R88" s="7">
        <f t="shared" ca="1" si="52"/>
        <v>5.438428055602726</v>
      </c>
      <c r="S88" s="7">
        <f t="shared" ca="1" si="52"/>
        <v>5.462061272228742</v>
      </c>
      <c r="T88" s="7">
        <f t="shared" ca="1" si="52"/>
        <v>5.5567016970271093</v>
      </c>
    </row>
    <row r="89" spans="1:20" x14ac:dyDescent="0.2">
      <c r="A89" s="1" t="s">
        <v>705</v>
      </c>
      <c r="B89" s="4"/>
      <c r="D89" s="15">
        <f t="shared" ref="D89:T89" si="53">SUM(D$219,D$222)</f>
        <v>0</v>
      </c>
      <c r="E89" s="15">
        <f t="shared" si="53"/>
        <v>0</v>
      </c>
      <c r="F89" s="16">
        <f t="shared" ca="1" si="53"/>
        <v>0</v>
      </c>
      <c r="G89" s="16">
        <f t="shared" ca="1" si="53"/>
        <v>-0.68300000000000005</v>
      </c>
      <c r="H89" s="16">
        <f t="shared" ca="1" si="53"/>
        <v>1.464</v>
      </c>
      <c r="I89" s="16">
        <f t="shared" ca="1" si="53"/>
        <v>3.2210000000000001</v>
      </c>
      <c r="J89" s="16">
        <f t="shared" ca="1" si="53"/>
        <v>4.9950000000000001</v>
      </c>
      <c r="K89" s="7">
        <f t="shared" ca="1" si="53"/>
        <v>6.9749999999999996</v>
      </c>
      <c r="L89" s="7">
        <f t="shared" ca="1" si="53"/>
        <v>9.0341999999999985</v>
      </c>
      <c r="M89" s="7">
        <f t="shared" ca="1" si="53"/>
        <v>11.175768</v>
      </c>
      <c r="N89" s="7">
        <f t="shared" ca="1" si="53"/>
        <v>13.402998719999999</v>
      </c>
      <c r="O89" s="7">
        <f t="shared" ca="1" si="53"/>
        <v>15.7193186688</v>
      </c>
      <c r="P89" s="7">
        <f t="shared" ca="1" si="53"/>
        <v>18.128291415551999</v>
      </c>
      <c r="Q89" s="7">
        <f t="shared" ca="1" si="53"/>
        <v>20.633623072174082</v>
      </c>
      <c r="R89" s="7">
        <f t="shared" ca="1" si="53"/>
        <v>23.239167995061049</v>
      </c>
      <c r="S89" s="7">
        <f t="shared" ca="1" si="53"/>
        <v>25.948934714863491</v>
      </c>
      <c r="T89" s="7">
        <f t="shared" ca="1" si="53"/>
        <v>28.76709210345803</v>
      </c>
    </row>
    <row r="90" spans="1:20" ht="15" x14ac:dyDescent="0.25">
      <c r="A90" s="2" t="s">
        <v>707</v>
      </c>
      <c r="D90" s="35">
        <f t="shared" ref="D90:T90" si="54">SUM(D$86:D$89)</f>
        <v>88.503</v>
      </c>
      <c r="E90" s="35">
        <f t="shared" si="54"/>
        <v>89.830999999999989</v>
      </c>
      <c r="F90" s="34">
        <f t="shared" ca="1" si="54"/>
        <v>92.403999999999996</v>
      </c>
      <c r="G90" s="34">
        <f t="shared" ca="1" si="54"/>
        <v>97.834999999999994</v>
      </c>
      <c r="H90" s="34">
        <f t="shared" ca="1" si="54"/>
        <v>100.26900000000001</v>
      </c>
      <c r="I90" s="34">
        <f t="shared" ca="1" si="54"/>
        <v>103.176</v>
      </c>
      <c r="J90" s="34">
        <f t="shared" ca="1" si="54"/>
        <v>106.38100000000001</v>
      </c>
      <c r="K90" s="38">
        <f t="shared" ca="1" si="54"/>
        <v>109.37313071941573</v>
      </c>
      <c r="L90" s="38">
        <f t="shared" ca="1" si="54"/>
        <v>114.34236772780432</v>
      </c>
      <c r="M90" s="38">
        <f t="shared" ca="1" si="54"/>
        <v>119.52848847194768</v>
      </c>
      <c r="N90" s="38">
        <f t="shared" ca="1" si="54"/>
        <v>124.7776440127775</v>
      </c>
      <c r="O90" s="38">
        <f t="shared" ca="1" si="54"/>
        <v>130.33406495853427</v>
      </c>
      <c r="P90" s="38">
        <f t="shared" ca="1" si="54"/>
        <v>136.00392384729238</v>
      </c>
      <c r="Q90" s="38">
        <f t="shared" ca="1" si="54"/>
        <v>141.8212040973344</v>
      </c>
      <c r="R90" s="38">
        <f t="shared" ca="1" si="54"/>
        <v>147.59324748825117</v>
      </c>
      <c r="S90" s="38">
        <f t="shared" ca="1" si="54"/>
        <v>153.49422973155569</v>
      </c>
      <c r="T90" s="38">
        <f t="shared" ca="1" si="54"/>
        <v>159.60470121430481</v>
      </c>
    </row>
    <row r="91" spans="1:20" ht="15" x14ac:dyDescent="0.25">
      <c r="A91" s="2" t="s">
        <v>356</v>
      </c>
      <c r="D91" s="36">
        <f>SUM(D$85,-D$90)</f>
        <v>5.5919999999999845</v>
      </c>
      <c r="E91" s="36">
        <f>SUM(E$85,-E$90)</f>
        <v>8.5160000000000196</v>
      </c>
      <c r="F91" s="37">
        <f ca="1">SUM(F$85,-F$90)</f>
        <v>8.9830000000000183</v>
      </c>
      <c r="G91" s="37">
        <f t="shared" ref="G91:T91" ca="1" si="55">SUM(G$85,-G$90)</f>
        <v>7.7459999999999951</v>
      </c>
      <c r="H91" s="37">
        <f t="shared" ca="1" si="55"/>
        <v>9.3349999999999795</v>
      </c>
      <c r="I91" s="37">
        <f t="shared" ca="1" si="55"/>
        <v>12.26400000000001</v>
      </c>
      <c r="J91" s="37">
        <f t="shared" ca="1" si="55"/>
        <v>13.767999999999972</v>
      </c>
      <c r="K91" s="28">
        <f t="shared" ca="1" si="55"/>
        <v>16.523489552727654</v>
      </c>
      <c r="L91" s="28">
        <f t="shared" ca="1" si="55"/>
        <v>17.826383288185212</v>
      </c>
      <c r="M91" s="28">
        <f t="shared" ca="1" si="55"/>
        <v>19.051476199024123</v>
      </c>
      <c r="N91" s="28">
        <f t="shared" ca="1" si="55"/>
        <v>20.328806328936196</v>
      </c>
      <c r="O91" s="28">
        <f t="shared" ca="1" si="55"/>
        <v>21.461437008940408</v>
      </c>
      <c r="P91" s="28">
        <f t="shared" ca="1" si="55"/>
        <v>22.728324183678893</v>
      </c>
      <c r="Q91" s="28">
        <f t="shared" ca="1" si="55"/>
        <v>24.050470216517908</v>
      </c>
      <c r="R91" s="28">
        <f t="shared" ca="1" si="55"/>
        <v>25.312603533191663</v>
      </c>
      <c r="S91" s="28">
        <f t="shared" ca="1" si="55"/>
        <v>26.659193248791354</v>
      </c>
      <c r="T91" s="28">
        <f t="shared" ca="1" si="55"/>
        <v>28.042458037339628</v>
      </c>
    </row>
    <row r="92" spans="1:20" x14ac:dyDescent="0.2">
      <c r="A92" s="1" t="s">
        <v>716</v>
      </c>
      <c r="B92" s="4" t="str">
        <f t="shared" ref="B92:B101" si="56">$B$38</f>
        <v>From Fiscal</v>
      </c>
      <c r="D92" s="15">
        <f>-'Fiscal Forecasts'!D$81</f>
        <v>6.1769999999999996</v>
      </c>
      <c r="E92" s="15">
        <f>-'Fiscal Forecasts'!E$81</f>
        <v>6.1980000000000004</v>
      </c>
      <c r="F92" s="16">
        <f ca="1">-'Fiscal Forecasts'!F$81 +IF(OFFSET(Assumptions!$B$64,0,$C$1)="Yes",SUM(F$420,F$423-E$423),0)</f>
        <v>6.89</v>
      </c>
      <c r="G92" s="16">
        <f ca="1">-'Fiscal Forecasts'!G$81 +IF(OFFSET(Assumptions!$B$64,0,$C$1)="Yes",SUM(G$420,G$423-F$423),0)</f>
        <v>8.6609999999999996</v>
      </c>
      <c r="H92" s="16">
        <f ca="1">-'Fiscal Forecasts'!H$81 +IF(OFFSET(Assumptions!$B$64,0,$C$1)="Yes",SUM(H$420,H$423-G$423),0)</f>
        <v>8.2479999999999993</v>
      </c>
      <c r="I92" s="16">
        <f ca="1">-'Fiscal Forecasts'!I$81 +IF(OFFSET(Assumptions!$B$64,0,$C$1)="Yes",SUM(I$420,I$423-H$423),0)</f>
        <v>7.0640000000000001</v>
      </c>
      <c r="J92" s="16">
        <f ca="1">-'Fiscal Forecasts'!J$81 +IF(OFFSET(Assumptions!$B$64,0,$C$1)="Yes",SUM(J$420,J$423-I$423),0)</f>
        <v>6.55</v>
      </c>
      <c r="K92" s="7">
        <f ca="1">SUM(K$387-J$387,IF(K$6=OFFSET(Assumptions!$B$8,0,$C$1),AVERAGE(SUM(H$92,-(H$387-G$387))/SUM(H$92,-(H$387-G$387),H$94),SUM(I$92,-(I$387-H$387))/SUM(I$92,-(I$387-H$387),I$94),SUM(J$92,-(J$387-I$387))/SUM(J$92,-(J$387-I$387),J$94)),SUM(J$92,-(J$387-I$387))/SUM(J$92,-(J$387-I$387),J$94))*SUM(K$464,K$390-J$390,K$391-J$391,K$408-J$408,K$409-J$409,K$193-K$190,K$41))</f>
        <v>7.0837172980738252</v>
      </c>
      <c r="L92" s="7">
        <f ca="1">SUM(L$387-K$387,IF(L$6=OFFSET(Assumptions!$B$8,0,$C$1),AVERAGE(SUM(I$92,-(I$387-H$387))/SUM(I$92,-(I$387-H$387),I$94),SUM(J$92,-(J$387-I$387))/SUM(J$92,-(J$387-I$387),J$94),SUM(K$92,-(K$387-J$387))/SUM(K$92,-(K$387-J$387),K$94)),SUM(K$92,-(K$387-J$387))/SUM(K$92,-(K$387-J$387),K$94))*SUM(L$464,L$390-K$390,L$391-K$391,L$408-K$408,L$409-K$409,L$193-L$190,L$41))</f>
        <v>7.3017240841647721</v>
      </c>
      <c r="M92" s="7">
        <f ca="1">SUM(M$387-L$387,IF(M$6=OFFSET(Assumptions!$B$8,0,$C$1),AVERAGE(SUM(J$92,-(J$387-I$387))/SUM(J$92,-(J$387-I$387),J$94),SUM(K$92,-(K$387-J$387))/SUM(K$92,-(K$387-J$387),K$94),SUM(L$92,-(L$387-K$387))/SUM(L$92,-(L$387-K$387),L$94)),SUM(L$92,-(L$387-K$387))/SUM(L$92,-(L$387-K$387),L$94))*SUM(M$464,M$390-L$390,M$391-L$391,M$408-L$408,M$409-L$409,M$193-M$190,M$41))</f>
        <v>7.5597420427304858</v>
      </c>
      <c r="N92" s="7">
        <f ca="1">SUM(N$387-M$387,IF(N$6=OFFSET(Assumptions!$B$8,0,$C$1),AVERAGE(SUM(K$92,-(K$387-J$387))/SUM(K$92,-(K$387-J$387),K$94),SUM(L$92,-(L$387-K$387))/SUM(L$92,-(L$387-K$387),L$94),SUM(M$92,-(M$387-L$387))/SUM(M$92,-(M$387-L$387),M$94)),SUM(M$92,-(M$387-L$387))/SUM(M$92,-(M$387-L$387),M$94))*SUM(N$464,N$390-M$390,N$391-M$391,N$408-M$408,N$409-M$409,N$193-N$190,N$41))</f>
        <v>7.8412923672535726</v>
      </c>
      <c r="O92" s="7">
        <f ca="1">SUM(O$387-N$387,IF(O$6=OFFSET(Assumptions!$B$8,0,$C$1),AVERAGE(SUM(L$92,-(L$387-K$387))/SUM(L$92,-(L$387-K$387),L$94),SUM(M$92,-(M$387-L$387))/SUM(M$92,-(M$387-L$387),M$94),SUM(N$92,-(N$387-M$387))/SUM(N$92,-(N$387-M$387),N$94)),SUM(N$92,-(N$387-M$387))/SUM(N$92,-(N$387-M$387),N$94))*SUM(O$464,O$390-N$390,O$391-N$391,O$408-N$408,O$409-N$409,O$193-O$190,O$41))</f>
        <v>8.159540529503893</v>
      </c>
      <c r="P92" s="7">
        <f ca="1">SUM(P$387-O$387,IF(P$6=OFFSET(Assumptions!$B$8,0,$C$1),AVERAGE(SUM(M$92,-(M$387-L$387))/SUM(M$92,-(M$387-L$387),M$94),SUM(N$92,-(N$387-M$387))/SUM(N$92,-(N$387-M$387),N$94),SUM(O$92,-(O$387-N$387))/SUM(O$92,-(O$387-N$387),O$94)),SUM(O$92,-(O$387-N$387))/SUM(O$92,-(O$387-N$387),O$94))*SUM(P$464,P$390-O$390,P$391-O$391,P$408-O$408,P$409-O$409,P$193-P$190,P$41))</f>
        <v>8.5163944561349769</v>
      </c>
      <c r="Q92" s="7">
        <f ca="1">SUM(Q$387-P$387,IF(Q$6=OFFSET(Assumptions!$B$8,0,$C$1),AVERAGE(SUM(N$92,-(N$387-M$387))/SUM(N$92,-(N$387-M$387),N$94),SUM(O$92,-(O$387-N$387))/SUM(O$92,-(O$387-N$387),O$94),SUM(P$92,-(P$387-O$387))/SUM(P$92,-(P$387-O$387),P$94)),SUM(P$92,-(P$387-O$387))/SUM(P$92,-(P$387-O$387),P$94))*SUM(Q$464,Q$390-P$390,Q$391-P$391,Q$408-P$408,Q$409-P$409,Q$193-Q$190,Q$41))</f>
        <v>8.9379369598174474</v>
      </c>
      <c r="R92" s="7">
        <f ca="1">SUM(R$387-Q$387,IF(R$6=OFFSET(Assumptions!$B$8,0,$C$1),AVERAGE(SUM(O$92,-(O$387-N$387))/SUM(O$92,-(O$387-N$387),O$94),SUM(P$92,-(P$387-O$387))/SUM(P$92,-(P$387-O$387),P$94),SUM(Q$92,-(Q$387-P$387))/SUM(Q$92,-(Q$387-P$387),Q$94)),SUM(Q$92,-(Q$387-P$387))/SUM(Q$92,-(Q$387-P$387),Q$94))*SUM(R$464,R$390-Q$390,R$391-Q$391,R$408-Q$408,R$409-Q$409,R$193-R$190,R$41))</f>
        <v>9.4149246532186552</v>
      </c>
      <c r="S92" s="7">
        <f ca="1">SUM(S$387-R$387,IF(S$6=OFFSET(Assumptions!$B$8,0,$C$1),AVERAGE(SUM(P$92,-(P$387-O$387))/SUM(P$92,-(P$387-O$387),P$94),SUM(Q$92,-(Q$387-P$387))/SUM(Q$92,-(Q$387-P$387),Q$94),SUM(R$92,-(R$387-Q$387))/SUM(R$92,-(R$387-Q$387),R$94)),SUM(R$92,-(R$387-Q$387))/SUM(R$92,-(R$387-Q$387),R$94))*SUM(S$464,S$390-R$390,S$391-R$391,S$408-R$408,S$409-R$409,S$193-S$190,S$41))</f>
        <v>9.9595167013198171</v>
      </c>
      <c r="T92" s="7">
        <f ca="1">SUM(T$387-S$387,IF(T$6=OFFSET(Assumptions!$B$8,0,$C$1),AVERAGE(SUM(Q$92,-(Q$387-P$387))/SUM(Q$92,-(Q$387-P$387),Q$94),SUM(R$92,-(R$387-Q$387))/SUM(R$92,-(R$387-Q$387),R$94),SUM(S$92,-(S$387-R$387))/SUM(S$92,-(S$387-R$387),S$94)),SUM(S$92,-(S$387-R$387))/SUM(S$92,-(S$387-R$387),S$94))*SUM(T$464,T$390-S$390,T$391-S$391,T$408-S$408,T$409-S$409,T$193-T$190,T$41))</f>
        <v>10.581965653942824</v>
      </c>
    </row>
    <row r="93" spans="1:20" x14ac:dyDescent="0.2">
      <c r="A93" s="1" t="s">
        <v>717</v>
      </c>
      <c r="B93" s="4" t="str">
        <f t="shared" si="56"/>
        <v>From Fiscal</v>
      </c>
      <c r="D93" s="15">
        <f>-'Fiscal Forecasts'!D$82</f>
        <v>4.9119999999999999</v>
      </c>
      <c r="E93" s="15">
        <f>-'Fiscal Forecasts'!E$82</f>
        <v>-1.41</v>
      </c>
      <c r="F93" s="16">
        <f>-'Fiscal Forecasts'!F$82</f>
        <v>-1.7230000000000001</v>
      </c>
      <c r="G93" s="16">
        <f>-'Fiscal Forecasts'!G$82</f>
        <v>-2.1970000000000001</v>
      </c>
      <c r="H93" s="16">
        <f>-'Fiscal Forecasts'!H$82</f>
        <v>0.24199999999999999</v>
      </c>
      <c r="I93" s="16">
        <f>-'Fiscal Forecasts'!I$82</f>
        <v>2.5590000000000002</v>
      </c>
      <c r="J93" s="16">
        <f>-'Fiscal Forecasts'!J$82</f>
        <v>-0.65300000000000002</v>
      </c>
      <c r="K93" s="7">
        <f t="shared" ref="K93:T93" ca="1" si="57">SUM(K$335-J$335,K$344-J$344)-SUM(K$309,K$151-K$144-(K$322-J$322)-K$83)</f>
        <v>4.1851763571335088</v>
      </c>
      <c r="L93" s="7">
        <f t="shared" ca="1" si="57"/>
        <v>3.831153387075108</v>
      </c>
      <c r="M93" s="7">
        <f t="shared" ca="1" si="57"/>
        <v>3.5127832737803777</v>
      </c>
      <c r="N93" s="7">
        <f t="shared" ca="1" si="57"/>
        <v>3.1822942055006056</v>
      </c>
      <c r="O93" s="7">
        <f t="shared" ca="1" si="57"/>
        <v>2.8054313409739455</v>
      </c>
      <c r="P93" s="7">
        <f t="shared" ca="1" si="57"/>
        <v>2.3253725484020844</v>
      </c>
      <c r="Q93" s="7">
        <f t="shared" ca="1" si="57"/>
        <v>2.0591350973476974</v>
      </c>
      <c r="R93" s="7">
        <f t="shared" ca="1" si="57"/>
        <v>1.7824724387575888</v>
      </c>
      <c r="S93" s="7">
        <f t="shared" ca="1" si="57"/>
        <v>1.5405074376935142</v>
      </c>
      <c r="T93" s="7">
        <f t="shared" ca="1" si="57"/>
        <v>1.3092185337265025</v>
      </c>
    </row>
    <row r="94" spans="1:20" x14ac:dyDescent="0.2">
      <c r="A94" s="1" t="s">
        <v>718</v>
      </c>
      <c r="B94" s="4" t="str">
        <f t="shared" si="56"/>
        <v>From Fiscal</v>
      </c>
      <c r="D94" s="15">
        <f>-'Fiscal Forecasts'!D$83</f>
        <v>0.63100000000000001</v>
      </c>
      <c r="E94" s="15">
        <f>-'Fiscal Forecasts'!E$83</f>
        <v>0.68700000000000006</v>
      </c>
      <c r="F94" s="16">
        <f>-'Fiscal Forecasts'!F$83</f>
        <v>0.72</v>
      </c>
      <c r="G94" s="16">
        <f>-'Fiscal Forecasts'!G$83</f>
        <v>0.84</v>
      </c>
      <c r="H94" s="16">
        <f>-'Fiscal Forecasts'!H$83</f>
        <v>0.64200000000000002</v>
      </c>
      <c r="I94" s="16">
        <f>-'Fiscal Forecasts'!I$83</f>
        <v>0.57399999999999995</v>
      </c>
      <c r="J94" s="16">
        <f>-'Fiscal Forecasts'!J$83</f>
        <v>0.52100000000000002</v>
      </c>
      <c r="K94" s="7">
        <f ca="1">IF(K$6=OFFSET(Assumptions!$B$8,0,$C$1),AVERAGE(H$94/SUM(H$92,-(H$387-G$387),H$94),I$94/SUM(I$92,-(I$387-H$387),I$94),J$94/SUM(J$92,-(J$387-I$387),J$94)),J$94/SUM(J$92,-(J$387-I$387),J$94))*SUM(K$464,K$390-J$390,K$391-J$391,K$408-J$408,K$409-J$409,K$193-K$190,K$41)</f>
        <v>0.56237413370427003</v>
      </c>
      <c r="L94" s="7">
        <f ca="1">IF(L$6=OFFSET(Assumptions!$B$8,0,$C$1),AVERAGE(I$94/SUM(I$92,-(I$387-H$387),I$94),J$94/SUM(J$92,-(J$387-I$387),J$94),K$94/SUM(K$92,-(K$387-J$387),K$94)),K$94/SUM(K$92,-(K$387-J$387),K$94))*SUM(L$464,L$390-K$390,L$391-K$391,L$408-K$408,L$409-K$409,L$193-L$190,L$41)</f>
        <v>0.57979535571037033</v>
      </c>
      <c r="M94" s="7">
        <f ca="1">IF(M$6=OFFSET(Assumptions!$B$8,0,$C$1),AVERAGE(J$94/SUM(J$92,-(J$387-I$387),J$94),K$94/SUM(K$92,-(K$387-J$387),K$94),L$94/SUM(L$92,-(L$387-K$387),L$94)),L$94/SUM(L$92,-(L$387-K$387),L$94))*SUM(M$464,M$390-L$390,M$391-L$391,M$408-L$408,M$409-L$409,M$193-M$190,M$41)</f>
        <v>0.60033990101006962</v>
      </c>
      <c r="N94" s="7">
        <f ca="1">IF(N$6=OFFSET(Assumptions!$B$8,0,$C$1),AVERAGE(K$94/SUM(K$92,-(K$387-J$387),K$94),L$94/SUM(L$92,-(L$387-K$387),L$94),M$94/SUM(M$92,-(M$387-L$387),M$94)),M$94/SUM(M$92,-(M$387-L$387),M$94))*SUM(N$464,N$390-M$390,N$391-M$391,N$408-M$408,N$409-M$409,N$193-N$190,N$41)</f>
        <v>0.62276091356024732</v>
      </c>
      <c r="O94" s="7">
        <f ca="1">IF(O$6=OFFSET(Assumptions!$B$8,0,$C$1),AVERAGE(L$94/SUM(L$92,-(L$387-K$387),L$94),M$94/SUM(M$92,-(M$387-L$387),M$94),N$94/SUM(N$92,-(N$387-M$387),N$94)),N$94/SUM(N$92,-(N$387-M$387),N$94))*SUM(O$464,O$390-N$390,O$391-N$391,O$408-N$408,O$409-N$409,O$193-O$190,O$41)</f>
        <v>0.64814314959439412</v>
      </c>
      <c r="P94" s="7">
        <f ca="1">IF(P$6=OFFSET(Assumptions!$B$8,0,$C$1),AVERAGE(M$94/SUM(M$92,-(M$387-L$387),M$94),N$94/SUM(N$92,-(N$387-M$387),N$94),O$94/SUM(O$92,-(O$387-N$387),O$94)),O$94/SUM(O$92,-(O$387-N$387),O$94))*SUM(P$464,P$390-O$390,P$391-O$391,P$408-O$408,P$409-O$409,P$193-P$190,P$41)</f>
        <v>0.67664451752003962</v>
      </c>
      <c r="Q94" s="7">
        <f ca="1">IF(Q$6=OFFSET(Assumptions!$B$8,0,$C$1),AVERAGE(N$94/SUM(N$92,-(N$387-M$387),N$94),O$94/SUM(O$92,-(O$387-N$387),O$94),P$94/SUM(P$92,-(P$387-O$387),P$94)),P$94/SUM(P$92,-(P$387-O$387),P$94))*SUM(Q$464,Q$390-P$390,Q$391-P$391,Q$408-P$408,Q$409-P$409,Q$193-Q$190,Q$41)</f>
        <v>0.71038493522150004</v>
      </c>
      <c r="R94" s="7">
        <f ca="1">IF(R$6=OFFSET(Assumptions!$B$8,0,$C$1),AVERAGE(O$94/SUM(O$92,-(O$387-N$387),O$94),P$94/SUM(P$92,-(P$387-O$387),P$94),Q$94/SUM(Q$92,-(Q$387-P$387),Q$94)),Q$94/SUM(Q$92,-(Q$387-P$387),Q$94))*SUM(R$464,R$390-Q$390,R$391-Q$391,R$408-Q$408,R$409-Q$409,R$193-R$190,R$41)</f>
        <v>0.74855922960744314</v>
      </c>
      <c r="S94" s="7">
        <f ca="1">IF(S$6=OFFSET(Assumptions!$B$8,0,$C$1),AVERAGE(P$94/SUM(P$92,-(P$387-O$387),P$94),Q$94/SUM(Q$92,-(Q$387-P$387),Q$94),R$94/SUM(R$92,-(R$387-Q$387),R$94)),R$94/SUM(R$92,-(R$387-Q$387),R$94))*SUM(S$464,S$390-R$390,S$391-R$391,S$408-R$408,S$409-R$409,S$193-S$190,S$41)</f>
        <v>0.79210805053236832</v>
      </c>
      <c r="T94" s="7">
        <f ca="1">IF(T$6=OFFSET(Assumptions!$B$8,0,$C$1),AVERAGE(Q$94/SUM(Q$92,-(Q$387-P$387),Q$94),R$94/SUM(R$92,-(R$387-Q$387),R$94),S$94/SUM(S$92,-(S$387-R$387),S$94)),S$94/SUM(S$92,-(S$387-R$387),S$94))*SUM(T$464,T$390-S$390,T$391-S$391,T$408-S$408,T$409-S$409,T$193-T$190,T$41)</f>
        <v>0.8418786889832155</v>
      </c>
    </row>
    <row r="95" spans="1:20" x14ac:dyDescent="0.2">
      <c r="A95" s="1" t="s">
        <v>719</v>
      </c>
      <c r="B95" s="4" t="str">
        <f t="shared" si="56"/>
        <v>From Fiscal</v>
      </c>
      <c r="D95" s="15">
        <f>-'Fiscal Forecasts'!D$84</f>
        <v>1.6859999999999999</v>
      </c>
      <c r="E95" s="15">
        <f>-'Fiscal Forecasts'!E$84</f>
        <v>1.702</v>
      </c>
      <c r="F95" s="16">
        <f>-'Fiscal Forecasts'!F$84</f>
        <v>0.91100000000000003</v>
      </c>
      <c r="G95" s="16">
        <f>-'Fiscal Forecasts'!G$84</f>
        <v>1.319</v>
      </c>
      <c r="H95" s="16">
        <f>-'Fiscal Forecasts'!H$84</f>
        <v>1.143</v>
      </c>
      <c r="I95" s="16">
        <f>-'Fiscal Forecasts'!I$84</f>
        <v>0.97099999999999997</v>
      </c>
      <c r="J95" s="16">
        <f>-'Fiscal Forecasts'!J$84</f>
        <v>0.95199999999999996</v>
      </c>
      <c r="K95" s="7">
        <f t="shared" ref="K95:T95" ca="1" si="58">SUM(K$367-J$367,-(K$144-K$237))</f>
        <v>0.86023164971343757</v>
      </c>
      <c r="L95" s="7">
        <f t="shared" ca="1" si="58"/>
        <v>1.2748988110428083</v>
      </c>
      <c r="M95" s="7">
        <f t="shared" ca="1" si="58"/>
        <v>1.3286750344780032</v>
      </c>
      <c r="N95" s="7">
        <f t="shared" ca="1" si="58"/>
        <v>1.3862932011101607</v>
      </c>
      <c r="O95" s="7">
        <f t="shared" ca="1" si="58"/>
        <v>1.4323728927725854</v>
      </c>
      <c r="P95" s="7">
        <f t="shared" ca="1" si="58"/>
        <v>1.4982293856401427</v>
      </c>
      <c r="Q95" s="7">
        <f t="shared" ca="1" si="58"/>
        <v>1.5482287011782632</v>
      </c>
      <c r="R95" s="7">
        <f t="shared" ca="1" si="58"/>
        <v>1.5977479884431345</v>
      </c>
      <c r="S95" s="7">
        <f t="shared" ca="1" si="58"/>
        <v>1.649968892866096</v>
      </c>
      <c r="T95" s="7">
        <f t="shared" ca="1" si="58"/>
        <v>1.6991025966941504</v>
      </c>
    </row>
    <row r="96" spans="1:20" x14ac:dyDescent="0.2">
      <c r="A96" s="1" t="s">
        <v>720</v>
      </c>
      <c r="B96" s="4" t="str">
        <f t="shared" si="56"/>
        <v>From Fiscal</v>
      </c>
      <c r="D96" s="15">
        <f>-'Fiscal Forecasts'!D$85</f>
        <v>-0.73199999999999998</v>
      </c>
      <c r="E96" s="15">
        <f>-'Fiscal Forecasts'!E$85</f>
        <v>-0.113</v>
      </c>
      <c r="F96" s="16">
        <f>-'Fiscal Forecasts'!F$85</f>
        <v>1.4999999999999999E-2</v>
      </c>
      <c r="G96" s="16">
        <f>-'Fiscal Forecasts'!G$85</f>
        <v>-5.0000000000000001E-3</v>
      </c>
      <c r="H96" s="16">
        <f>-'Fiscal Forecasts'!H$85</f>
        <v>-0.02</v>
      </c>
      <c r="I96" s="16">
        <f>-'Fiscal Forecasts'!I$85</f>
        <v>-5.5E-2</v>
      </c>
      <c r="J96" s="16">
        <f>-'Fiscal Forecasts'!J$85</f>
        <v>-0.245</v>
      </c>
      <c r="K96" s="7">
        <f ca="1">SUM(K$404-J$404,-K$313)</f>
        <v>0.48688118570851679</v>
      </c>
      <c r="L96" s="7">
        <f t="shared" ref="L96:T96" ca="1" si="59">SUM(L$404-K$404,-L$313)</f>
        <v>0.16698066159820069</v>
      </c>
      <c r="M96" s="7">
        <f t="shared" ca="1" si="59"/>
        <v>0.17966926215815393</v>
      </c>
      <c r="N96" s="7">
        <f t="shared" ca="1" si="59"/>
        <v>0.18751227799567427</v>
      </c>
      <c r="O96" s="7">
        <f t="shared" ca="1" si="59"/>
        <v>0.19561610083945635</v>
      </c>
      <c r="P96" s="7">
        <f t="shared" ca="1" si="59"/>
        <v>0.20401273646479468</v>
      </c>
      <c r="Q96" s="7">
        <f t="shared" ca="1" si="59"/>
        <v>0.21268919809313985</v>
      </c>
      <c r="R96" s="7">
        <f t="shared" ca="1" si="59"/>
        <v>0.22163581072100291</v>
      </c>
      <c r="S96" s="7">
        <f t="shared" ca="1" si="59"/>
        <v>0.23089318522064889</v>
      </c>
      <c r="T96" s="7">
        <f t="shared" ca="1" si="59"/>
        <v>0.24044694517154747</v>
      </c>
    </row>
    <row r="97" spans="1:20" x14ac:dyDescent="0.2">
      <c r="A97" s="1" t="s">
        <v>703</v>
      </c>
      <c r="B97" s="4"/>
      <c r="D97" s="15">
        <f>SUM(D$422-C$422,D$423-C$423)</f>
        <v>0</v>
      </c>
      <c r="E97" s="15">
        <f>SUM(E$422-D$422,E$423-D$423)</f>
        <v>0</v>
      </c>
      <c r="F97" s="16">
        <f ca="1">IF(OFFSET(Assumptions!$B$64,0,$C$1)="Yes",0,SUM(F$422-E$422,F$423-E$423))</f>
        <v>0</v>
      </c>
      <c r="G97" s="16">
        <f ca="1">IF(OFFSET(Assumptions!$B$64,0,$C$1)="Yes",0,SUM(G$422-F$422,G$423-F$423))</f>
        <v>-0.64400000000000002</v>
      </c>
      <c r="H97" s="16">
        <f ca="1">IF(OFFSET(Assumptions!$B$64,0,$C$1)="Yes",0,SUM(H$422-G$422,H$423-G$423))</f>
        <v>1.2030000000000003</v>
      </c>
      <c r="I97" s="16">
        <f ca="1">IF(OFFSET(Assumptions!$B$64,0,$C$1)="Yes",0,SUM(I$422-H$422,I$423-H$423))</f>
        <v>1.3449999999999998</v>
      </c>
      <c r="J97" s="16">
        <f ca="1">IF(OFFSET(Assumptions!$B$64,0,$C$1)="Yes",0,SUM(J$422-I$422,J$423-I$423))</f>
        <v>1.7350000000000003</v>
      </c>
      <c r="K97" s="7">
        <f ca="1">IF(OFFSET(Assumptions!$B$64,0,$C$1)="Yes",0,SUM(K$422-J$422,K$423-J$423))</f>
        <v>0.83566666666666634</v>
      </c>
      <c r="L97" s="7">
        <f ca="1">IF(OFFSET(Assumptions!$B$64,0,$C$1)="Yes",0,SUM(L$422-K$422,L$423-K$423))</f>
        <v>2.9504666666666663</v>
      </c>
      <c r="M97" s="7">
        <f ca="1">IF(OFFSET(Assumptions!$B$64,0,$C$1)="Yes",0,SUM(M$422-L$422,M$423-L$423))</f>
        <v>3.9002266666666667</v>
      </c>
      <c r="N97" s="7">
        <f ca="1">IF(OFFSET(Assumptions!$B$64,0,$C$1)="Yes",0,SUM(N$422-M$422,N$423-M$423))</f>
        <v>4.8910720000000003</v>
      </c>
      <c r="O97" s="7">
        <f ca="1">IF(OFFSET(Assumptions!$B$64,0,$C$1)="Yes",0,SUM(O$422-N$422,O$423-N$423))</f>
        <v>5.8692863999999982</v>
      </c>
      <c r="P97" s="7">
        <f ca="1">IF(OFFSET(Assumptions!$B$64,0,$C$1)="Yes",0,SUM(P$422-O$422,P$423-O$423))</f>
        <v>7.04314368</v>
      </c>
      <c r="Q97" s="7">
        <f ca="1">IF(OFFSET(Assumptions!$B$64,0,$C$1)="Yes",0,SUM(Q$422-P$422,Q$423-P$423))</f>
        <v>8.4517724159999972</v>
      </c>
      <c r="R97" s="7">
        <f ca="1">IF(OFFSET(Assumptions!$B$64,0,$C$1)="Yes",0,SUM(R$422-Q$422,R$423-Q$423))</f>
        <v>10.142126899199997</v>
      </c>
      <c r="S97" s="7">
        <f ca="1">IF(OFFSET(Assumptions!$B$64,0,$C$1)="Yes",0,SUM(S$422-R$422,S$423-R$423))</f>
        <v>12.170552279040006</v>
      </c>
      <c r="T97" s="7">
        <f ca="1">IF(OFFSET(Assumptions!$B$64,0,$C$1)="Yes",0,SUM(T$422-S$422,T$423-S$423))</f>
        <v>14.604662734847995</v>
      </c>
    </row>
    <row r="98" spans="1:20" ht="15" x14ac:dyDescent="0.25">
      <c r="A98" s="2" t="s">
        <v>708</v>
      </c>
      <c r="D98" s="35">
        <f t="shared" ref="D98:T98" si="60">-SUM(D$92:D$97)</f>
        <v>-12.673999999999999</v>
      </c>
      <c r="E98" s="35">
        <f t="shared" si="60"/>
        <v>-7.0640000000000001</v>
      </c>
      <c r="F98" s="34">
        <f t="shared" ca="1" si="60"/>
        <v>-6.8129999999999997</v>
      </c>
      <c r="G98" s="34">
        <f t="shared" ca="1" si="60"/>
        <v>-7.9739999999999984</v>
      </c>
      <c r="H98" s="34">
        <f t="shared" ca="1" si="60"/>
        <v>-11.457999999999998</v>
      </c>
      <c r="I98" s="34">
        <f t="shared" ca="1" si="60"/>
        <v>-12.458000000000002</v>
      </c>
      <c r="J98" s="34">
        <f t="shared" ca="1" si="60"/>
        <v>-8.86</v>
      </c>
      <c r="K98" s="38">
        <f t="shared" ca="1" si="60"/>
        <v>-14.014047291000225</v>
      </c>
      <c r="L98" s="38">
        <f t="shared" ca="1" si="60"/>
        <v>-16.105018966257926</v>
      </c>
      <c r="M98" s="38">
        <f t="shared" ca="1" si="60"/>
        <v>-17.081436180823758</v>
      </c>
      <c r="N98" s="38">
        <f t="shared" ca="1" si="60"/>
        <v>-18.111224965420259</v>
      </c>
      <c r="O98" s="38">
        <f t="shared" ca="1" si="60"/>
        <v>-19.110390413684275</v>
      </c>
      <c r="P98" s="38">
        <f t="shared" ca="1" si="60"/>
        <v>-20.263797324162038</v>
      </c>
      <c r="Q98" s="38">
        <f t="shared" ca="1" si="60"/>
        <v>-21.920147307658045</v>
      </c>
      <c r="R98" s="38">
        <f t="shared" ca="1" si="60"/>
        <v>-23.907467019947823</v>
      </c>
      <c r="S98" s="38">
        <f t="shared" ca="1" si="60"/>
        <v>-26.343546546672449</v>
      </c>
      <c r="T98" s="38">
        <f t="shared" ca="1" si="60"/>
        <v>-29.277275153366233</v>
      </c>
    </row>
    <row r="99" spans="1:20" x14ac:dyDescent="0.2">
      <c r="A99" s="1" t="s">
        <v>195</v>
      </c>
      <c r="B99" s="4" t="str">
        <f t="shared" si="56"/>
        <v>From Fiscal</v>
      </c>
      <c r="D99" s="15">
        <f>'Fiscal Forecasts'!D$88</f>
        <v>0.372</v>
      </c>
      <c r="E99" s="15">
        <f>'Fiscal Forecasts'!E$88</f>
        <v>0.378</v>
      </c>
      <c r="F99" s="16">
        <f>'Fiscal Forecasts'!F$88</f>
        <v>0.30199999999999999</v>
      </c>
      <c r="G99" s="16">
        <f>'Fiscal Forecasts'!G$88</f>
        <v>0.17799999999999999</v>
      </c>
      <c r="H99" s="16">
        <f>'Fiscal Forecasts'!H$88</f>
        <v>0.184</v>
      </c>
      <c r="I99" s="16">
        <f>'Fiscal Forecasts'!I$88</f>
        <v>0.189</v>
      </c>
      <c r="J99" s="16">
        <f>'Fiscal Forecasts'!J$88</f>
        <v>0.19400000000000001</v>
      </c>
      <c r="K99" s="7">
        <f ca="1">K$426-J$426</f>
        <v>0.32040733445139491</v>
      </c>
      <c r="L99" s="7">
        <f t="shared" ref="L99:T99" ca="1" si="61">L$426-K$426</f>
        <v>0.33644036907538499</v>
      </c>
      <c r="M99" s="7">
        <f t="shared" ca="1" si="61"/>
        <v>0.34432795445466802</v>
      </c>
      <c r="N99" s="7">
        <f t="shared" ca="1" si="61"/>
        <v>0.35288507743213948</v>
      </c>
      <c r="O99" s="7">
        <f t="shared" ca="1" si="61"/>
        <v>0.35806036851659684</v>
      </c>
      <c r="P99" s="7">
        <f t="shared" ca="1" si="61"/>
        <v>0.36374361235771424</v>
      </c>
      <c r="Q99" s="7">
        <f t="shared" ca="1" si="61"/>
        <v>0.37586572003372787</v>
      </c>
      <c r="R99" s="7">
        <f t="shared" ca="1" si="61"/>
        <v>0.38756870499474871</v>
      </c>
      <c r="S99" s="7">
        <f t="shared" ca="1" si="61"/>
        <v>0.40103095950569667</v>
      </c>
      <c r="T99" s="7">
        <f t="shared" ca="1" si="61"/>
        <v>0.41387042515611228</v>
      </c>
    </row>
    <row r="100" spans="1:20" x14ac:dyDescent="0.2">
      <c r="A100" s="1" t="s">
        <v>358</v>
      </c>
      <c r="B100" s="4" t="str">
        <f t="shared" si="56"/>
        <v>From Fiscal</v>
      </c>
      <c r="D100" s="15">
        <f>SUM('Fiscal Forecasts'!D$89:D$91)</f>
        <v>6.3040000000000003</v>
      </c>
      <c r="E100" s="15">
        <f>SUM('Fiscal Forecasts'!E$89:E$91)</f>
        <v>2.4990000000000006</v>
      </c>
      <c r="F100" s="16">
        <f>SUM('Fiscal Forecasts'!F$89:F$91) +IF($C$2="Yes",'Fiscal Forecast Adjuster'!C$36/1000,0)</f>
        <v>1.9510000000000001</v>
      </c>
      <c r="G100" s="16">
        <f>SUM('Fiscal Forecasts'!G$89:G$91) +IF($C$2="Yes",'Fiscal Forecast Adjuster'!D$36/1000,0)</f>
        <v>-1.9359999999999991</v>
      </c>
      <c r="H100" s="16">
        <f>SUM('Fiscal Forecasts'!H$89:H$91) +IF($C$2="Yes",'Fiscal Forecast Adjuster'!E$36/1000,0)</f>
        <v>2.387</v>
      </c>
      <c r="I100" s="16">
        <f>SUM('Fiscal Forecasts'!I$89:I$91) +IF($C$2="Yes",'Fiscal Forecast Adjuster'!F$36/1000,0)</f>
        <v>0.85799999999999998</v>
      </c>
      <c r="J100" s="16">
        <f>SUM('Fiscal Forecasts'!J$89:J$91) +IF($C$2="Yes",'Fiscal Forecast Adjuster'!G$36/1000,0)</f>
        <v>-4.1260000000000003</v>
      </c>
      <c r="K100" s="7">
        <f ca="1">SUM(K$319-J$319,K$101,-K$91,-K$98,-K$99)</f>
        <v>-1.6903725717990143</v>
      </c>
      <c r="L100" s="7">
        <f t="shared" ref="L100:T100" ca="1" si="62">SUM(L$319-K$319,L$101,-L$91,-L$98,-L$99)</f>
        <v>-0.41582264988696416</v>
      </c>
      <c r="M100" s="7">
        <f t="shared" ca="1" si="62"/>
        <v>-0.66568950859275411</v>
      </c>
      <c r="N100" s="7">
        <f t="shared" ca="1" si="62"/>
        <v>-0.91686749252060018</v>
      </c>
      <c r="O100" s="7">
        <f t="shared" ca="1" si="62"/>
        <v>-1.0639994902294738</v>
      </c>
      <c r="P100" s="7">
        <f t="shared" ca="1" si="62"/>
        <v>-1.1981991519008357</v>
      </c>
      <c r="Q100" s="7">
        <f t="shared" ca="1" si="62"/>
        <v>-0.84881664880859553</v>
      </c>
      <c r="R100" s="7">
        <f t="shared" ca="1" si="62"/>
        <v>-0.10876476109989852</v>
      </c>
      <c r="S100" s="7">
        <f t="shared" ca="1" si="62"/>
        <v>1.0005842564212628</v>
      </c>
      <c r="T100" s="7">
        <f t="shared" ca="1" si="62"/>
        <v>2.5707525284227657</v>
      </c>
    </row>
    <row r="101" spans="1:20" x14ac:dyDescent="0.2">
      <c r="A101" s="1" t="s">
        <v>1314</v>
      </c>
      <c r="B101" s="4" t="str">
        <f t="shared" si="56"/>
        <v>From Fiscal</v>
      </c>
      <c r="D101" s="15">
        <f>-'Fiscal Forecasts'!D$92</f>
        <v>0.47799999999999998</v>
      </c>
      <c r="E101" s="15">
        <f>-'Fiscal Forecasts'!E$92</f>
        <v>0.50900000000000001</v>
      </c>
      <c r="F101" s="16">
        <f>-'Fiscal Forecasts'!F$92</f>
        <v>0.64400000000000002</v>
      </c>
      <c r="G101" s="16">
        <f>-'Fiscal Forecasts'!G$92</f>
        <v>0.41499999999999998</v>
      </c>
      <c r="H101" s="16">
        <f>-'Fiscal Forecasts'!H$92</f>
        <v>0.50600000000000001</v>
      </c>
      <c r="I101" s="16">
        <f>-'Fiscal Forecasts'!I$92</f>
        <v>0.52900000000000003</v>
      </c>
      <c r="J101" s="16">
        <f>-'Fiscal Forecasts'!J$92</f>
        <v>0.54</v>
      </c>
      <c r="K101" s="7">
        <f t="shared" ref="K101:T101" ca="1" si="63">K$38</f>
        <v>0.46333419650311386</v>
      </c>
      <c r="L101" s="7">
        <f t="shared" ca="1" si="63"/>
        <v>0.46960239168159346</v>
      </c>
      <c r="M101" s="7">
        <f t="shared" ca="1" si="63"/>
        <v>0.4762151319194074</v>
      </c>
      <c r="N101" s="7">
        <f t="shared" ca="1" si="63"/>
        <v>0.48311653492452822</v>
      </c>
      <c r="O101" s="7">
        <f t="shared" ca="1" si="63"/>
        <v>0.49031619971775636</v>
      </c>
      <c r="P101" s="7">
        <f t="shared" ca="1" si="63"/>
        <v>0.49782490329477525</v>
      </c>
      <c r="Q101" s="7">
        <f t="shared" ca="1" si="63"/>
        <v>0.50565294467194111</v>
      </c>
      <c r="R101" s="7">
        <f t="shared" ca="1" si="63"/>
        <v>0.5138102667764044</v>
      </c>
      <c r="S101" s="7">
        <f t="shared" ca="1" si="63"/>
        <v>0.5223083072214173</v>
      </c>
      <c r="T101" s="7">
        <f t="shared" ca="1" si="63"/>
        <v>0.53115797449503099</v>
      </c>
    </row>
    <row r="102" spans="1:20" ht="15" x14ac:dyDescent="0.25">
      <c r="A102" s="2" t="s">
        <v>360</v>
      </c>
      <c r="D102" s="35">
        <f>SUM(D$99,D$100,-D$101)</f>
        <v>6.1980000000000004</v>
      </c>
      <c r="E102" s="35">
        <f>SUM(E$99,E$100,-E$101)</f>
        <v>2.3680000000000008</v>
      </c>
      <c r="F102" s="34">
        <f>SUM(F$99,F$100,-F$101)</f>
        <v>1.609</v>
      </c>
      <c r="G102" s="34">
        <f t="shared" ref="G102:T102" si="64">SUM(G$99,G$100,-G$101)</f>
        <v>-2.1729999999999992</v>
      </c>
      <c r="H102" s="34">
        <f t="shared" si="64"/>
        <v>2.0650000000000004</v>
      </c>
      <c r="I102" s="34">
        <f t="shared" si="64"/>
        <v>0.5179999999999999</v>
      </c>
      <c r="J102" s="34">
        <f t="shared" si="64"/>
        <v>-4.4720000000000004</v>
      </c>
      <c r="K102" s="38">
        <f t="shared" ca="1" si="64"/>
        <v>-1.8332994338507334</v>
      </c>
      <c r="L102" s="38">
        <f t="shared" ca="1" si="64"/>
        <v>-0.54898467249317262</v>
      </c>
      <c r="M102" s="38">
        <f t="shared" ca="1" si="64"/>
        <v>-0.79757668605749354</v>
      </c>
      <c r="N102" s="38">
        <f t="shared" ca="1" si="64"/>
        <v>-1.0470989500129888</v>
      </c>
      <c r="O102" s="38">
        <f t="shared" ca="1" si="64"/>
        <v>-1.1962553214306333</v>
      </c>
      <c r="P102" s="38">
        <f t="shared" ca="1" si="64"/>
        <v>-1.3322804428378967</v>
      </c>
      <c r="Q102" s="38">
        <f t="shared" ca="1" si="64"/>
        <v>-0.97860387344680877</v>
      </c>
      <c r="R102" s="38">
        <f t="shared" ca="1" si="64"/>
        <v>-0.23500632288155421</v>
      </c>
      <c r="S102" s="38">
        <f t="shared" ca="1" si="64"/>
        <v>0.87930690870554218</v>
      </c>
      <c r="T102" s="38">
        <f t="shared" ca="1" si="64"/>
        <v>2.4534649790838472</v>
      </c>
    </row>
    <row r="103" spans="1:20" ht="15" x14ac:dyDescent="0.25">
      <c r="A103" s="2" t="s">
        <v>201</v>
      </c>
      <c r="D103" s="36">
        <f t="shared" ref="D103:T103" si="65">SUM(D$91,D$98,D$102)</f>
        <v>-0.88400000000001455</v>
      </c>
      <c r="E103" s="36">
        <f t="shared" si="65"/>
        <v>3.8200000000000203</v>
      </c>
      <c r="F103" s="37">
        <f t="shared" ca="1" si="65"/>
        <v>3.7790000000000186</v>
      </c>
      <c r="G103" s="37">
        <f t="shared" ca="1" si="65"/>
        <v>-2.4010000000000025</v>
      </c>
      <c r="H103" s="37">
        <f t="shared" ca="1" si="65"/>
        <v>-5.8000000000018481E-2</v>
      </c>
      <c r="I103" s="37">
        <f t="shared" ca="1" si="65"/>
        <v>0.32400000000000795</v>
      </c>
      <c r="J103" s="37">
        <f t="shared" ca="1" si="65"/>
        <v>0.43599999999997241</v>
      </c>
      <c r="K103" s="28">
        <f t="shared" ca="1" si="65"/>
        <v>0.67614282787669566</v>
      </c>
      <c r="L103" s="28">
        <f t="shared" ca="1" si="65"/>
        <v>1.1723796494341134</v>
      </c>
      <c r="M103" s="28">
        <f t="shared" ca="1" si="65"/>
        <v>1.1724633321428712</v>
      </c>
      <c r="N103" s="28">
        <f t="shared" ca="1" si="65"/>
        <v>1.1704824135029477</v>
      </c>
      <c r="O103" s="28">
        <f t="shared" ca="1" si="65"/>
        <v>1.1547912738254993</v>
      </c>
      <c r="P103" s="28">
        <f t="shared" ca="1" si="65"/>
        <v>1.1322464166789585</v>
      </c>
      <c r="Q103" s="28">
        <f t="shared" ca="1" si="65"/>
        <v>1.1517190354130546</v>
      </c>
      <c r="R103" s="28">
        <f t="shared" ca="1" si="65"/>
        <v>1.1701301903622849</v>
      </c>
      <c r="S103" s="28">
        <f t="shared" ca="1" si="65"/>
        <v>1.1949536108244465</v>
      </c>
      <c r="T103" s="28">
        <f t="shared" ca="1" si="65"/>
        <v>1.2186478630572424</v>
      </c>
    </row>
    <row r="104" spans="1:20" x14ac:dyDescent="0.2">
      <c r="A104" s="19" t="s">
        <v>359</v>
      </c>
    </row>
    <row r="105" spans="1:20" ht="15" x14ac:dyDescent="0.25">
      <c r="A105" s="2" t="s">
        <v>712</v>
      </c>
      <c r="D105" s="35">
        <f t="shared" ref="D105:T105" si="66">SUM(D$309,-D$41)</f>
        <v>4.3289999999999997</v>
      </c>
      <c r="E105" s="35">
        <f t="shared" si="66"/>
        <v>-7.5069999999999997</v>
      </c>
      <c r="F105" s="34">
        <f t="shared" si="66"/>
        <v>7.258</v>
      </c>
      <c r="G105" s="34">
        <f t="shared" si="66"/>
        <v>2.5449999999999999</v>
      </c>
      <c r="H105" s="34">
        <f t="shared" si="66"/>
        <v>2.8380000000000001</v>
      </c>
      <c r="I105" s="34">
        <f t="shared" si="66"/>
        <v>3.1509999999999998</v>
      </c>
      <c r="J105" s="34">
        <f t="shared" si="66"/>
        <v>3.399</v>
      </c>
      <c r="K105" s="38">
        <f t="shared" ca="1" si="66"/>
        <v>3.0426670671989351</v>
      </c>
      <c r="L105" s="38">
        <f t="shared" ca="1" si="66"/>
        <v>3.3911375997657331</v>
      </c>
      <c r="M105" s="38">
        <f t="shared" ca="1" si="66"/>
        <v>3.7615140973850321</v>
      </c>
      <c r="N105" s="38">
        <f t="shared" ca="1" si="66"/>
        <v>4.1529902610146072</v>
      </c>
      <c r="O105" s="38">
        <f t="shared" ca="1" si="66"/>
        <v>4.5652429518073863</v>
      </c>
      <c r="P105" s="38">
        <f t="shared" ca="1" si="66"/>
        <v>4.9693014305896446</v>
      </c>
      <c r="Q105" s="38">
        <f t="shared" ca="1" si="66"/>
        <v>5.2969627511549557</v>
      </c>
      <c r="R105" s="38">
        <f t="shared" ca="1" si="66"/>
        <v>5.6220138644902065</v>
      </c>
      <c r="S105" s="38">
        <f t="shared" ca="1" si="66"/>
        <v>5.9457177286480078</v>
      </c>
      <c r="T105" s="38">
        <f t="shared" ca="1" si="66"/>
        <v>6.2692681841247868</v>
      </c>
    </row>
    <row r="106" spans="1:20" x14ac:dyDescent="0.2">
      <c r="A106" s="1" t="s">
        <v>706</v>
      </c>
      <c r="D106" s="54">
        <f t="shared" ref="D106:T106" si="67">D$193</f>
        <v>4.8420000000000005</v>
      </c>
      <c r="E106" s="54">
        <f t="shared" si="67"/>
        <v>4.875</v>
      </c>
      <c r="F106" s="44">
        <f t="shared" si="67"/>
        <v>5.1630000000000003</v>
      </c>
      <c r="G106" s="44">
        <f t="shared" si="67"/>
        <v>5.327</v>
      </c>
      <c r="H106" s="44">
        <f t="shared" si="67"/>
        <v>5.4909999999999997</v>
      </c>
      <c r="I106" s="44">
        <f t="shared" si="67"/>
        <v>5.5949999999999998</v>
      </c>
      <c r="J106" s="44">
        <f t="shared" si="67"/>
        <v>5.6840000000000002</v>
      </c>
      <c r="K106" s="45">
        <f t="shared" ca="1" si="67"/>
        <v>5.9052354225158226</v>
      </c>
      <c r="L106" s="45">
        <f t="shared" ca="1" si="67"/>
        <v>6.0167131545111614</v>
      </c>
      <c r="M106" s="45">
        <f t="shared" ca="1" si="67"/>
        <v>6.2142712907614115</v>
      </c>
      <c r="N106" s="45">
        <f t="shared" ca="1" si="67"/>
        <v>6.4523657076238079</v>
      </c>
      <c r="O106" s="45">
        <f t="shared" ca="1" si="67"/>
        <v>6.7318570279369405</v>
      </c>
      <c r="P106" s="45">
        <f t="shared" ca="1" si="67"/>
        <v>7.0524992456712923</v>
      </c>
      <c r="Q106" s="45">
        <f t="shared" ca="1" si="67"/>
        <v>7.4217951929001647</v>
      </c>
      <c r="R106" s="45">
        <f t="shared" ca="1" si="67"/>
        <v>7.8487607500116541</v>
      </c>
      <c r="S106" s="45">
        <f t="shared" ca="1" si="67"/>
        <v>8.3444740841012219</v>
      </c>
      <c r="T106" s="45">
        <f t="shared" ca="1" si="67"/>
        <v>8.9218915029806247</v>
      </c>
    </row>
    <row r="107" spans="1:20" x14ac:dyDescent="0.2">
      <c r="A107" s="1" t="s">
        <v>709</v>
      </c>
      <c r="B107" s="4" t="str">
        <f t="shared" ref="B107:B117" si="68">$B$38</f>
        <v>From Fiscal</v>
      </c>
      <c r="D107" s="15">
        <f>-SUM('Fiscal Forecasts'!D$100:D$101)</f>
        <v>1.0009999999999999</v>
      </c>
      <c r="E107" s="15">
        <f>-SUM('Fiscal Forecasts'!E$100:E$101)</f>
        <v>0.91600000000000004</v>
      </c>
      <c r="F107" s="16">
        <f>-SUM('Fiscal Forecasts'!F$100:F$101)</f>
        <v>0.71599999999999997</v>
      </c>
      <c r="G107" s="16">
        <f>-SUM('Fiscal Forecasts'!G$100:G$101)</f>
        <v>1.254</v>
      </c>
      <c r="H107" s="16">
        <f>-SUM('Fiscal Forecasts'!H$100:H$101)</f>
        <v>0.92500000000000004</v>
      </c>
      <c r="I107" s="16">
        <f>-SUM('Fiscal Forecasts'!I$100:I$101)</f>
        <v>0.86099999999999999</v>
      </c>
      <c r="J107" s="16">
        <f>-SUM('Fiscal Forecasts'!J$100:J$101)</f>
        <v>0.84699999999999998</v>
      </c>
      <c r="K107" s="7">
        <f>K$237</f>
        <v>0.66800000000000004</v>
      </c>
      <c r="L107" s="7">
        <f t="shared" ref="L107:T107" si="69">L$237</f>
        <v>0.68799999999999994</v>
      </c>
      <c r="M107" s="7">
        <f t="shared" si="69"/>
        <v>0.70699999999999996</v>
      </c>
      <c r="N107" s="7">
        <f t="shared" si="69"/>
        <v>0.72699999999999998</v>
      </c>
      <c r="O107" s="7">
        <f t="shared" si="69"/>
        <v>0.74399999999999999</v>
      </c>
      <c r="P107" s="7">
        <f t="shared" si="69"/>
        <v>0.76400000000000001</v>
      </c>
      <c r="Q107" s="7">
        <f t="shared" si="69"/>
        <v>0.78400000000000003</v>
      </c>
      <c r="R107" s="7">
        <f t="shared" si="69"/>
        <v>0.8</v>
      </c>
      <c r="S107" s="7">
        <f t="shared" si="69"/>
        <v>0.81599999999999995</v>
      </c>
      <c r="T107" s="7">
        <f t="shared" si="69"/>
        <v>0.83299999999999996</v>
      </c>
    </row>
    <row r="108" spans="1:20" x14ac:dyDescent="0.2">
      <c r="A108" s="1" t="s">
        <v>721</v>
      </c>
      <c r="B108" s="4" t="str">
        <f t="shared" si="68"/>
        <v>From Fiscal</v>
      </c>
      <c r="D108" s="15">
        <f>-'Fiscal Forecasts'!D$102</f>
        <v>-0.373</v>
      </c>
      <c r="E108" s="15">
        <f>-'Fiscal Forecasts'!E$102</f>
        <v>-0.42</v>
      </c>
      <c r="F108" s="16">
        <f>-'Fiscal Forecasts'!F$102</f>
        <v>-0.45500000000000002</v>
      </c>
      <c r="G108" s="16">
        <f>-'Fiscal Forecasts'!G$102</f>
        <v>-0.59</v>
      </c>
      <c r="H108" s="16">
        <f>-'Fiscal Forecasts'!H$102</f>
        <v>-0.54700000000000004</v>
      </c>
      <c r="I108" s="16">
        <f>-'Fiscal Forecasts'!I$102</f>
        <v>-0.53</v>
      </c>
      <c r="J108" s="16">
        <f>-'Fiscal Forecasts'!J$102</f>
        <v>-0.52100000000000002</v>
      </c>
      <c r="K108" s="45">
        <f ca="1">K$448-J$448</f>
        <v>-0.28483113924749581</v>
      </c>
      <c r="L108" s="45">
        <f t="shared" ref="L108:T108" ca="1" si="70">L$448-K$448</f>
        <v>-0.29159970024381643</v>
      </c>
      <c r="M108" s="45">
        <f t="shared" ca="1" si="70"/>
        <v>-0.28776286208271795</v>
      </c>
      <c r="N108" s="45">
        <f t="shared" ca="1" si="70"/>
        <v>-0.28296681438133486</v>
      </c>
      <c r="O108" s="45">
        <f t="shared" ca="1" si="70"/>
        <v>-0.27433392851885507</v>
      </c>
      <c r="P108" s="45">
        <f t="shared" ca="1" si="70"/>
        <v>-0.26857867127720159</v>
      </c>
      <c r="Q108" s="45">
        <f t="shared" ca="1" si="70"/>
        <v>-0.26570104265637262</v>
      </c>
      <c r="R108" s="45">
        <f t="shared" ca="1" si="70"/>
        <v>-0.2724155094383045</v>
      </c>
      <c r="S108" s="45">
        <f t="shared" ca="1" si="70"/>
        <v>-0.27721155713968049</v>
      </c>
      <c r="T108" s="45">
        <f t="shared" ca="1" si="70"/>
        <v>-0.28296681438133753</v>
      </c>
    </row>
    <row r="109" spans="1:20" x14ac:dyDescent="0.2">
      <c r="A109" s="1" t="s">
        <v>722</v>
      </c>
      <c r="B109" s="4" t="str">
        <f t="shared" si="68"/>
        <v>From Fiscal</v>
      </c>
      <c r="D109" s="15">
        <f>-'Fiscal Forecasts'!D$103</f>
        <v>-0.746</v>
      </c>
      <c r="E109" s="15">
        <f>-'Fiscal Forecasts'!E$103</f>
        <v>0.59699999999999998</v>
      </c>
      <c r="F109" s="16">
        <f>-'Fiscal Forecasts'!F$103</f>
        <v>1.1419999999999999</v>
      </c>
      <c r="G109" s="16">
        <f>-'Fiscal Forecasts'!G$103</f>
        <v>-0.125</v>
      </c>
      <c r="H109" s="16">
        <f>-'Fiscal Forecasts'!H$103</f>
        <v>1.0549999999999999</v>
      </c>
      <c r="I109" s="16">
        <f>-'Fiscal Forecasts'!I$103</f>
        <v>1.78</v>
      </c>
      <c r="J109" s="16">
        <f>-'Fiscal Forecasts'!J$103</f>
        <v>1.984</v>
      </c>
      <c r="K109" s="45">
        <f ca="1">K$443-J$443</f>
        <v>2.0272730426751551</v>
      </c>
      <c r="L109" s="45">
        <f t="shared" ref="L109:T109" ca="1" si="71">L$443-K$443</f>
        <v>2.1194430592496118</v>
      </c>
      <c r="M109" s="45">
        <f t="shared" ca="1" si="71"/>
        <v>2.1964272030134637</v>
      </c>
      <c r="N109" s="45">
        <f t="shared" ca="1" si="71"/>
        <v>2.3111650780644695</v>
      </c>
      <c r="O109" s="45">
        <f t="shared" ca="1" si="71"/>
        <v>2.3211558861589197</v>
      </c>
      <c r="P109" s="45">
        <f t="shared" ca="1" si="71"/>
        <v>2.398932720951791</v>
      </c>
      <c r="Q109" s="45">
        <f t="shared" ca="1" si="71"/>
        <v>2.4578152113235205</v>
      </c>
      <c r="R109" s="45">
        <f t="shared" ca="1" si="71"/>
        <v>2.5223030597079585</v>
      </c>
      <c r="S109" s="45">
        <f t="shared" ca="1" si="71"/>
        <v>2.6144506189422003</v>
      </c>
      <c r="T109" s="45">
        <f t="shared" ca="1" si="71"/>
        <v>2.7109247474952554</v>
      </c>
    </row>
    <row r="110" spans="1:20" x14ac:dyDescent="0.2">
      <c r="A110" s="1" t="s">
        <v>723</v>
      </c>
      <c r="B110" s="4" t="str">
        <f t="shared" si="68"/>
        <v>From Fiscal</v>
      </c>
      <c r="D110" s="15">
        <f>-'Fiscal Forecasts'!D$104</f>
        <v>-0.69899999999999995</v>
      </c>
      <c r="E110" s="15">
        <f>-'Fiscal Forecasts'!E$104</f>
        <v>8.5000000000000006E-2</v>
      </c>
      <c r="F110" s="16">
        <f>-'Fiscal Forecasts'!F$104</f>
        <v>-7.9000000000000001E-2</v>
      </c>
      <c r="G110" s="16">
        <f>-'Fiscal Forecasts'!G$104</f>
        <v>0.185</v>
      </c>
      <c r="H110" s="16">
        <f>-'Fiscal Forecasts'!H$104</f>
        <v>0.17799999999999999</v>
      </c>
      <c r="I110" s="16">
        <f>-'Fiscal Forecasts'!I$104</f>
        <v>0.18099999999999999</v>
      </c>
      <c r="J110" s="16">
        <f>-'Fiscal Forecasts'!J$104</f>
        <v>0.17799999999999999</v>
      </c>
      <c r="K110" s="45">
        <f ca="1">SUM(-K$313,K$38)</f>
        <v>0.16489652357158785</v>
      </c>
      <c r="L110" s="45">
        <f t="shared" ref="L110:T110" ca="1" si="72">SUM(-L$313,L$38)</f>
        <v>0.1580712342471523</v>
      </c>
      <c r="M110" s="45">
        <f t="shared" ca="1" si="72"/>
        <v>0.15107012619220334</v>
      </c>
      <c r="N110" s="45">
        <f t="shared" ca="1" si="72"/>
        <v>0.14377813073407308</v>
      </c>
      <c r="O110" s="45">
        <f t="shared" ca="1" si="72"/>
        <v>0.13631241819283396</v>
      </c>
      <c r="P110" s="45">
        <f t="shared" ca="1" si="72"/>
        <v>0.12862584515049391</v>
      </c>
      <c r="Q110" s="45">
        <f t="shared" ca="1" si="72"/>
        <v>0.12075221261886743</v>
      </c>
      <c r="R110" s="45">
        <f t="shared" ca="1" si="72"/>
        <v>0.11271897224656524</v>
      </c>
      <c r="S110" s="45">
        <f t="shared" ca="1" si="72"/>
        <v>0.10446406870689245</v>
      </c>
      <c r="T110" s="45">
        <f t="shared" ca="1" si="72"/>
        <v>9.602442729943933E-2</v>
      </c>
    </row>
    <row r="111" spans="1:20" ht="15" x14ac:dyDescent="0.25">
      <c r="A111" s="2" t="s">
        <v>711</v>
      </c>
      <c r="D111" s="35">
        <f t="shared" ref="D111:T111" si="73">-SUM(D$106:D$110)</f>
        <v>-4.0250000000000004</v>
      </c>
      <c r="E111" s="35">
        <f t="shared" si="73"/>
        <v>-6.0529999999999999</v>
      </c>
      <c r="F111" s="34">
        <f t="shared" si="73"/>
        <v>-6.487000000000001</v>
      </c>
      <c r="G111" s="34">
        <f t="shared" si="73"/>
        <v>-6.0509999999999993</v>
      </c>
      <c r="H111" s="34">
        <f t="shared" si="73"/>
        <v>-7.1019999999999994</v>
      </c>
      <c r="I111" s="34">
        <f t="shared" si="73"/>
        <v>-7.8869999999999996</v>
      </c>
      <c r="J111" s="34">
        <f t="shared" si="73"/>
        <v>-8.1720000000000006</v>
      </c>
      <c r="K111" s="38">
        <f t="shared" ca="1" si="73"/>
        <v>-8.4805738495150713</v>
      </c>
      <c r="L111" s="38">
        <f t="shared" ca="1" si="73"/>
        <v>-8.6906277477641094</v>
      </c>
      <c r="M111" s="38">
        <f t="shared" ca="1" si="73"/>
        <v>-8.9810057578843612</v>
      </c>
      <c r="N111" s="38">
        <f t="shared" ca="1" si="73"/>
        <v>-9.3513421020410163</v>
      </c>
      <c r="O111" s="38">
        <f t="shared" ca="1" si="73"/>
        <v>-9.6589914037698392</v>
      </c>
      <c r="P111" s="38">
        <f t="shared" ca="1" si="73"/>
        <v>-10.075479140496375</v>
      </c>
      <c r="Q111" s="38">
        <f t="shared" ca="1" si="73"/>
        <v>-10.518661574186181</v>
      </c>
      <c r="R111" s="38">
        <f t="shared" ca="1" si="73"/>
        <v>-11.011367272527874</v>
      </c>
      <c r="S111" s="38">
        <f t="shared" ca="1" si="73"/>
        <v>-11.602177214610634</v>
      </c>
      <c r="T111" s="38">
        <f t="shared" ca="1" si="73"/>
        <v>-12.278873863393983</v>
      </c>
    </row>
    <row r="112" spans="1:20" x14ac:dyDescent="0.2">
      <c r="A112" s="1" t="s">
        <v>208</v>
      </c>
      <c r="B112" s="4" t="str">
        <f t="shared" si="68"/>
        <v>From Fiscal</v>
      </c>
      <c r="D112" s="15">
        <f>'Fiscal Forecasts'!D$106</f>
        <v>0.14099999999999999</v>
      </c>
      <c r="E112" s="15">
        <f>'Fiscal Forecasts'!E$106</f>
        <v>-0.53200000000000003</v>
      </c>
      <c r="F112" s="16">
        <f>'Fiscal Forecasts'!F$106</f>
        <v>1.776</v>
      </c>
      <c r="G112" s="16">
        <f>'Fiscal Forecasts'!G$106</f>
        <v>0.22600000000000001</v>
      </c>
      <c r="H112" s="16">
        <f>'Fiscal Forecasts'!H$106</f>
        <v>0.82099999999999995</v>
      </c>
      <c r="I112" s="16">
        <f>'Fiscal Forecasts'!I$106</f>
        <v>0.53900000000000003</v>
      </c>
      <c r="J112" s="16">
        <f>'Fiscal Forecasts'!J$106</f>
        <v>0.751</v>
      </c>
      <c r="K112" s="45">
        <f ca="1">K$326-J$326</f>
        <v>0.87491074535620683</v>
      </c>
      <c r="L112" s="45">
        <f t="shared" ref="L112:T112" ca="1" si="74">L$326-K$326</f>
        <v>0.92699358069436855</v>
      </c>
      <c r="M112" s="45">
        <f t="shared" ca="1" si="74"/>
        <v>0.97748965340713312</v>
      </c>
      <c r="N112" s="45">
        <f t="shared" ca="1" si="74"/>
        <v>1.0293871641880052</v>
      </c>
      <c r="O112" s="45">
        <f t="shared" ca="1" si="74"/>
        <v>1.0816286100461348</v>
      </c>
      <c r="P112" s="45">
        <f t="shared" ca="1" si="74"/>
        <v>1.134407998945953</v>
      </c>
      <c r="Q112" s="45">
        <f t="shared" ca="1" si="74"/>
        <v>1.1890689074916914</v>
      </c>
      <c r="R112" s="45">
        <f t="shared" ca="1" si="74"/>
        <v>1.2433138359027041</v>
      </c>
      <c r="S112" s="45">
        <f t="shared" ca="1" si="74"/>
        <v>1.2990977427295931</v>
      </c>
      <c r="T112" s="45">
        <f t="shared" ca="1" si="74"/>
        <v>1.3557452697684944</v>
      </c>
    </row>
    <row r="113" spans="1:20" x14ac:dyDescent="0.2">
      <c r="A113" s="1" t="s">
        <v>209</v>
      </c>
      <c r="B113" s="4" t="str">
        <f t="shared" si="68"/>
        <v>From Fiscal</v>
      </c>
      <c r="D113" s="15">
        <f>'Fiscal Forecasts'!D$107</f>
        <v>0.19600000000000001</v>
      </c>
      <c r="E113" s="15">
        <f>'Fiscal Forecasts'!E$107</f>
        <v>0.16900000000000001</v>
      </c>
      <c r="F113" s="16">
        <f>'Fiscal Forecasts'!F$107</f>
        <v>0.34300000000000003</v>
      </c>
      <c r="G113" s="16">
        <f>'Fiscal Forecasts'!G$107</f>
        <v>0.35899999999999999</v>
      </c>
      <c r="H113" s="16">
        <f>'Fiscal Forecasts'!H$107</f>
        <v>0.4</v>
      </c>
      <c r="I113" s="16">
        <f>'Fiscal Forecasts'!I$107</f>
        <v>0.35</v>
      </c>
      <c r="J113" s="16">
        <f>'Fiscal Forecasts'!J$107</f>
        <v>0.42199999999999999</v>
      </c>
      <c r="K113" s="45">
        <f ca="1">SUM(K$151,-(K$322-J$322),-K$83)</f>
        <v>0.43275712522248977</v>
      </c>
      <c r="L113" s="45">
        <f t="shared" ref="L113:T113" ca="1" si="75">SUM(L$151,-(L$322-K$322),-L$83)</f>
        <v>0.40186549474252065</v>
      </c>
      <c r="M113" s="45">
        <f t="shared" ca="1" si="75"/>
        <v>0.37242131308627968</v>
      </c>
      <c r="N113" s="45">
        <f t="shared" ca="1" si="75"/>
        <v>0.34268524736086459</v>
      </c>
      <c r="O113" s="45">
        <f t="shared" ca="1" si="75"/>
        <v>0.31356985171156726</v>
      </c>
      <c r="P113" s="45">
        <f t="shared" ca="1" si="75"/>
        <v>0.28642672357591348</v>
      </c>
      <c r="Q113" s="45">
        <f t="shared" ca="1" si="75"/>
        <v>0.26018986362787988</v>
      </c>
      <c r="R113" s="45">
        <f t="shared" ca="1" si="75"/>
        <v>0.25217356375006172</v>
      </c>
      <c r="S113" s="45">
        <f t="shared" ca="1" si="75"/>
        <v>0.24279013901452728</v>
      </c>
      <c r="T113" s="45">
        <f t="shared" ca="1" si="75"/>
        <v>0.23203033464616851</v>
      </c>
    </row>
    <row r="114" spans="1:20" x14ac:dyDescent="0.2">
      <c r="A114" s="1" t="s">
        <v>210</v>
      </c>
      <c r="B114" s="4" t="str">
        <f t="shared" si="68"/>
        <v>From Fiscal</v>
      </c>
      <c r="D114" s="15">
        <f>'Fiscal Forecasts'!D$108</f>
        <v>-0.105</v>
      </c>
      <c r="E114" s="15">
        <f>'Fiscal Forecasts'!E$108</f>
        <v>0.115</v>
      </c>
      <c r="F114" s="16">
        <f>'Fiscal Forecasts'!F$108</f>
        <v>2.4E-2</v>
      </c>
      <c r="G114" s="16">
        <f>'Fiscal Forecasts'!G$108</f>
        <v>-0.108</v>
      </c>
      <c r="H114" s="16">
        <f>'Fiscal Forecasts'!H$108</f>
        <v>-8.9999999999999993E-3</v>
      </c>
      <c r="I114" s="16">
        <f>'Fiscal Forecasts'!I$108</f>
        <v>6.0000000000000001E-3</v>
      </c>
      <c r="J114" s="16">
        <f>'Fiscal Forecasts'!J$108</f>
        <v>2.3E-2</v>
      </c>
      <c r="K114" s="45">
        <f ca="1">K$380-J$380</f>
        <v>5.4296841405646168E-2</v>
      </c>
      <c r="L114" s="45">
        <f t="shared" ref="L114:T114" ca="1" si="76">L$380-K$380</f>
        <v>5.6195945632423472E-2</v>
      </c>
      <c r="M114" s="45">
        <f t="shared" ca="1" si="76"/>
        <v>5.6730401759984339E-2</v>
      </c>
      <c r="N114" s="45">
        <f t="shared" ca="1" si="76"/>
        <v>5.7255129776480951E-2</v>
      </c>
      <c r="O114" s="45">
        <f t="shared" ca="1" si="76"/>
        <v>5.712677106848818E-2</v>
      </c>
      <c r="P114" s="45">
        <f t="shared" ca="1" si="76"/>
        <v>5.6943265450275948E-2</v>
      </c>
      <c r="Q114" s="45">
        <f t="shared" ca="1" si="76"/>
        <v>5.8840954844016302E-2</v>
      </c>
      <c r="R114" s="45">
        <f t="shared" ca="1" si="76"/>
        <v>6.0673031495140251E-2</v>
      </c>
      <c r="S114" s="45">
        <f t="shared" ca="1" si="76"/>
        <v>6.278051793925199E-2</v>
      </c>
      <c r="T114" s="45">
        <f t="shared" ca="1" si="76"/>
        <v>6.4790508151952642E-2</v>
      </c>
    </row>
    <row r="115" spans="1:20" x14ac:dyDescent="0.2">
      <c r="A115" s="1" t="s">
        <v>211</v>
      </c>
      <c r="B115" s="4" t="str">
        <f t="shared" si="68"/>
        <v>From Fiscal</v>
      </c>
      <c r="D115" s="15">
        <f>'Fiscal Forecasts'!D$109</f>
        <v>-1.2E-2</v>
      </c>
      <c r="E115" s="15">
        <f>'Fiscal Forecasts'!E$109</f>
        <v>7.0000000000000007E-2</v>
      </c>
      <c r="F115" s="16">
        <f>'Fiscal Forecasts'!F$109</f>
        <v>-1.7000000000000001E-2</v>
      </c>
      <c r="G115" s="16">
        <f>'Fiscal Forecasts'!G$109</f>
        <v>-1.7000000000000001E-2</v>
      </c>
      <c r="H115" s="16">
        <f>'Fiscal Forecasts'!H$109</f>
        <v>8.0000000000000002E-3</v>
      </c>
      <c r="I115" s="16">
        <f>'Fiscal Forecasts'!I$109</f>
        <v>2E-3</v>
      </c>
      <c r="J115" s="16">
        <f>'Fiscal Forecasts'!J$109</f>
        <v>4.3999999999999997E-2</v>
      </c>
      <c r="K115" s="45">
        <f ca="1">K$384-J$384</f>
        <v>0.1327463514954661</v>
      </c>
      <c r="L115" s="45">
        <f t="shared" ref="L115:T115" ca="1" si="77">L$384-K$384</f>
        <v>0.13767430151981408</v>
      </c>
      <c r="M115" s="45">
        <f t="shared" ca="1" si="77"/>
        <v>0.1392604552167076</v>
      </c>
      <c r="N115" s="45">
        <f t="shared" ca="1" si="77"/>
        <v>0.14086574734503632</v>
      </c>
      <c r="O115" s="45">
        <f t="shared" ca="1" si="77"/>
        <v>0.14090222791253559</v>
      </c>
      <c r="P115" s="45">
        <f t="shared" ca="1" si="77"/>
        <v>0.14085309010309333</v>
      </c>
      <c r="Q115" s="45">
        <f t="shared" ca="1" si="77"/>
        <v>0.14554715555667341</v>
      </c>
      <c r="R115" s="45">
        <f t="shared" ca="1" si="77"/>
        <v>0.15007892337111084</v>
      </c>
      <c r="S115" s="45">
        <f t="shared" ca="1" si="77"/>
        <v>0.15529193628240456</v>
      </c>
      <c r="T115" s="45">
        <f t="shared" ca="1" si="77"/>
        <v>0.16026378554846232</v>
      </c>
    </row>
    <row r="116" spans="1:20" x14ac:dyDescent="0.2">
      <c r="A116" s="1" t="s">
        <v>724</v>
      </c>
      <c r="B116" s="4" t="str">
        <f t="shared" si="68"/>
        <v>From Fiscal</v>
      </c>
      <c r="D116" s="15">
        <f>-'Fiscal Forecasts'!D$110</f>
        <v>0.14899999999999999</v>
      </c>
      <c r="E116" s="15">
        <f>-'Fiscal Forecasts'!E$110</f>
        <v>6.6000000000000003E-2</v>
      </c>
      <c r="F116" s="16">
        <f>-'Fiscal Forecasts'!F$110</f>
        <v>-0.11899999999999999</v>
      </c>
      <c r="G116" s="16">
        <f>-'Fiscal Forecasts'!G$110</f>
        <v>4.8000000000000001E-2</v>
      </c>
      <c r="H116" s="16">
        <f>-'Fiscal Forecasts'!H$110</f>
        <v>7.3999999999999996E-2</v>
      </c>
      <c r="I116" s="16">
        <f>-'Fiscal Forecasts'!I$110</f>
        <v>5.0000000000000001E-3</v>
      </c>
      <c r="J116" s="16">
        <f>-'Fiscal Forecasts'!J$110</f>
        <v>4.3999999999999997E-2</v>
      </c>
      <c r="K116" s="45">
        <f ca="1">K$437-J$437</f>
        <v>0.11778062113662013</v>
      </c>
      <c r="L116" s="45">
        <f t="shared" ref="L116:T116" ca="1" si="78">L$437-K$437</f>
        <v>0.12159365688124302</v>
      </c>
      <c r="M116" s="45">
        <f t="shared" ca="1" si="78"/>
        <v>0.12245238191517638</v>
      </c>
      <c r="N116" s="45">
        <f t="shared" ca="1" si="78"/>
        <v>0.12324384020488832</v>
      </c>
      <c r="O116" s="45">
        <f t="shared" ca="1" si="78"/>
        <v>0.12258864609861941</v>
      </c>
      <c r="P116" s="45">
        <f t="shared" ca="1" si="78"/>
        <v>0.12176090384182592</v>
      </c>
      <c r="Q116" s="45">
        <f t="shared" ca="1" si="78"/>
        <v>0.12581870372326476</v>
      </c>
      <c r="R116" s="45">
        <f t="shared" ca="1" si="78"/>
        <v>0.12973620489191751</v>
      </c>
      <c r="S116" s="45">
        <f t="shared" ca="1" si="78"/>
        <v>0.13424261056149644</v>
      </c>
      <c r="T116" s="45">
        <f t="shared" ca="1" si="78"/>
        <v>0.13854054154730111</v>
      </c>
    </row>
    <row r="117" spans="1:20" x14ac:dyDescent="0.2">
      <c r="A117" s="1" t="s">
        <v>725</v>
      </c>
      <c r="B117" s="4" t="str">
        <f t="shared" si="68"/>
        <v>From Fiscal</v>
      </c>
      <c r="D117" s="15">
        <f>-'Fiscal Forecasts'!D$111</f>
        <v>0.19600000000000001</v>
      </c>
      <c r="E117" s="15">
        <f>-'Fiscal Forecasts'!E$111</f>
        <v>8.1000000000000003E-2</v>
      </c>
      <c r="F117" s="16">
        <f>-'Fiscal Forecasts'!F$111</f>
        <v>0.52300000000000002</v>
      </c>
      <c r="G117" s="16">
        <f>-'Fiscal Forecasts'!G$111</f>
        <v>-0.96799999999999997</v>
      </c>
      <c r="H117" s="16">
        <f>-'Fiscal Forecasts'!H$111</f>
        <v>-0.38100000000000001</v>
      </c>
      <c r="I117" s="16">
        <f>-'Fiscal Forecasts'!I$111</f>
        <v>-0.75800000000000001</v>
      </c>
      <c r="J117" s="16">
        <f>-'Fiscal Forecasts'!J$111</f>
        <v>5.2999999999999999E-2</v>
      </c>
      <c r="K117" s="45">
        <f ca="1">SUM(K$433-J$433,K$452-J$452)</f>
        <v>1.0074604850344882</v>
      </c>
      <c r="L117" s="45">
        <f t="shared" ref="L117:T117" ca="1" si="79">SUM(L$433-K$433,L$452-K$452)</f>
        <v>1.0808495688845383</v>
      </c>
      <c r="M117" s="45">
        <f t="shared" ca="1" si="79"/>
        <v>1.0751492833009149</v>
      </c>
      <c r="N117" s="45">
        <f t="shared" ca="1" si="79"/>
        <v>1.0749804711131254</v>
      </c>
      <c r="O117" s="45">
        <f t="shared" ca="1" si="79"/>
        <v>1.0706861563765688</v>
      </c>
      <c r="P117" s="45">
        <f t="shared" ca="1" si="79"/>
        <v>1.0617607209292501</v>
      </c>
      <c r="Q117" s="45">
        <f t="shared" ca="1" si="79"/>
        <v>1.1037844001254573</v>
      </c>
      <c r="R117" s="45">
        <f t="shared" ca="1" si="79"/>
        <v>1.1446330787525252</v>
      </c>
      <c r="S117" s="45">
        <f t="shared" ca="1" si="79"/>
        <v>1.1879788332901846</v>
      </c>
      <c r="T117" s="45">
        <f t="shared" ca="1" si="79"/>
        <v>1.2301855087387157</v>
      </c>
    </row>
    <row r="118" spans="1:20" ht="15" x14ac:dyDescent="0.25">
      <c r="A118" s="2" t="s">
        <v>214</v>
      </c>
      <c r="D118" s="35">
        <f>SUM(D$112:D$115,-D$116,-D$117)</f>
        <v>-0.12500000000000003</v>
      </c>
      <c r="E118" s="35">
        <f>SUM(E$112:E$115,-E$116,-E$117)</f>
        <v>-0.32500000000000001</v>
      </c>
      <c r="F118" s="34">
        <f>SUM(F$112:F$115,-F$116,-F$117)</f>
        <v>1.722</v>
      </c>
      <c r="G118" s="34">
        <f t="shared" ref="G118:T118" si="80">SUM(G$112:G$115,-G$116,-G$117)</f>
        <v>1.38</v>
      </c>
      <c r="H118" s="34">
        <f t="shared" si="80"/>
        <v>1.5270000000000001</v>
      </c>
      <c r="I118" s="34">
        <f t="shared" si="80"/>
        <v>1.65</v>
      </c>
      <c r="J118" s="34">
        <f t="shared" si="80"/>
        <v>1.143</v>
      </c>
      <c r="K118" s="38">
        <f t="shared" ca="1" si="80"/>
        <v>0.36946995730870058</v>
      </c>
      <c r="L118" s="38">
        <f t="shared" ca="1" si="80"/>
        <v>0.32028609682334541</v>
      </c>
      <c r="M118" s="38">
        <f t="shared" ca="1" si="80"/>
        <v>0.3483001582540135</v>
      </c>
      <c r="N118" s="38">
        <f t="shared" ca="1" si="80"/>
        <v>0.37196897735237333</v>
      </c>
      <c r="O118" s="38">
        <f t="shared" ca="1" si="80"/>
        <v>0.39995265826353754</v>
      </c>
      <c r="P118" s="38">
        <f t="shared" ca="1" si="80"/>
        <v>0.43510945330415973</v>
      </c>
      <c r="Q118" s="38">
        <f t="shared" ca="1" si="80"/>
        <v>0.42404377767153889</v>
      </c>
      <c r="R118" s="38">
        <f t="shared" ca="1" si="80"/>
        <v>0.43187007087457419</v>
      </c>
      <c r="S118" s="38">
        <f t="shared" ca="1" si="80"/>
        <v>0.43773889211409589</v>
      </c>
      <c r="T118" s="38">
        <f t="shared" ca="1" si="80"/>
        <v>0.44410384782906109</v>
      </c>
    </row>
    <row r="119" spans="1:20" ht="15" x14ac:dyDescent="0.25">
      <c r="A119" s="2" t="s">
        <v>1342</v>
      </c>
      <c r="D119" s="36">
        <f t="shared" ref="D119:T119" si="81">SUM(D$91,D$105,D$111,D$118)</f>
        <v>5.7709999999999848</v>
      </c>
      <c r="E119" s="36">
        <f t="shared" si="81"/>
        <v>-5.3689999999999802</v>
      </c>
      <c r="F119" s="37">
        <f t="shared" ca="1" si="81"/>
        <v>11.476000000000015</v>
      </c>
      <c r="G119" s="37">
        <f t="shared" ca="1" si="81"/>
        <v>5.6199999999999957</v>
      </c>
      <c r="H119" s="37">
        <f t="shared" ca="1" si="81"/>
        <v>6.5979999999999812</v>
      </c>
      <c r="I119" s="37">
        <f t="shared" ca="1" si="81"/>
        <v>9.1780000000000097</v>
      </c>
      <c r="J119" s="37">
        <f t="shared" ca="1" si="81"/>
        <v>10.137999999999973</v>
      </c>
      <c r="K119" s="28">
        <f t="shared" ca="1" si="81"/>
        <v>11.455052727720217</v>
      </c>
      <c r="L119" s="28">
        <f t="shared" ca="1" si="81"/>
        <v>12.847179237010183</v>
      </c>
      <c r="M119" s="28">
        <f t="shared" ca="1" si="81"/>
        <v>14.180284696778806</v>
      </c>
      <c r="N119" s="28">
        <f t="shared" ca="1" si="81"/>
        <v>15.502423465262162</v>
      </c>
      <c r="O119" s="28">
        <f t="shared" ca="1" si="81"/>
        <v>16.76764121524149</v>
      </c>
      <c r="P119" s="28">
        <f t="shared" ca="1" si="81"/>
        <v>18.057255927076323</v>
      </c>
      <c r="Q119" s="28">
        <f t="shared" ca="1" si="81"/>
        <v>19.252815171158222</v>
      </c>
      <c r="R119" s="28">
        <f t="shared" ca="1" si="81"/>
        <v>20.355120196028569</v>
      </c>
      <c r="S119" s="28">
        <f t="shared" ca="1" si="81"/>
        <v>21.440472654942823</v>
      </c>
      <c r="T119" s="28">
        <f t="shared" ca="1" si="81"/>
        <v>22.476956205899491</v>
      </c>
    </row>
    <row r="120" spans="1:20" ht="15" x14ac:dyDescent="0.25">
      <c r="A120" s="27" t="s">
        <v>361</v>
      </c>
      <c r="D120" s="6" t="str">
        <f t="shared" ref="D120:T120" si="82">IF(ROUND(D$43-D$119,3)=0,"OK","ERROR")</f>
        <v>OK</v>
      </c>
      <c r="E120" s="6" t="str">
        <f t="shared" si="82"/>
        <v>OK</v>
      </c>
      <c r="F120" s="6" t="str">
        <f t="shared" ca="1" si="82"/>
        <v>OK</v>
      </c>
      <c r="G120" s="6" t="str">
        <f t="shared" ca="1" si="82"/>
        <v>OK</v>
      </c>
      <c r="H120" s="6" t="str">
        <f t="shared" ca="1" si="82"/>
        <v>OK</v>
      </c>
      <c r="I120" s="6" t="str">
        <f t="shared" ca="1" si="82"/>
        <v>OK</v>
      </c>
      <c r="J120" s="6" t="str">
        <f t="shared" ca="1" si="82"/>
        <v>OK</v>
      </c>
      <c r="K120" s="6" t="str">
        <f t="shared" ca="1" si="82"/>
        <v>OK</v>
      </c>
      <c r="L120" s="6" t="str">
        <f t="shared" ca="1" si="82"/>
        <v>OK</v>
      </c>
      <c r="M120" s="6" t="str">
        <f t="shared" ca="1" si="82"/>
        <v>OK</v>
      </c>
      <c r="N120" s="6" t="str">
        <f t="shared" ca="1" si="82"/>
        <v>OK</v>
      </c>
      <c r="O120" s="6" t="str">
        <f t="shared" ca="1" si="82"/>
        <v>OK</v>
      </c>
      <c r="P120" s="6" t="str">
        <f t="shared" ca="1" si="82"/>
        <v>OK</v>
      </c>
      <c r="Q120" s="6" t="str">
        <f t="shared" ca="1" si="82"/>
        <v>OK</v>
      </c>
      <c r="R120" s="6" t="str">
        <f t="shared" ca="1" si="82"/>
        <v>OK</v>
      </c>
      <c r="S120" s="6" t="str">
        <f t="shared" ca="1" si="82"/>
        <v>OK</v>
      </c>
      <c r="T120" s="6" t="str">
        <f t="shared" ca="1" si="82"/>
        <v>OK</v>
      </c>
    </row>
    <row r="121" spans="1:20" ht="15" x14ac:dyDescent="0.25">
      <c r="A121" s="27"/>
      <c r="D121" s="6"/>
      <c r="E121" s="6"/>
      <c r="F121" s="6"/>
      <c r="G121" s="6"/>
      <c r="H121" s="6"/>
      <c r="I121" s="6"/>
      <c r="J121" s="6"/>
      <c r="K121" s="6"/>
      <c r="L121" s="6"/>
      <c r="M121" s="6"/>
      <c r="N121" s="6"/>
      <c r="O121" s="6"/>
      <c r="P121" s="6"/>
      <c r="Q121" s="6"/>
      <c r="R121" s="6"/>
      <c r="S121" s="6"/>
      <c r="T121" s="6"/>
    </row>
    <row r="122" spans="1:20" x14ac:dyDescent="0.2">
      <c r="A122" s="19" t="s">
        <v>255</v>
      </c>
    </row>
    <row r="123" spans="1:20" x14ac:dyDescent="0.2">
      <c r="A123" s="19" t="s">
        <v>256</v>
      </c>
    </row>
    <row r="124" spans="1:20" x14ac:dyDescent="0.2">
      <c r="A124" s="1" t="s">
        <v>427</v>
      </c>
      <c r="B124" s="4" t="str">
        <f t="shared" ref="B124:B130" si="83">$B$38</f>
        <v>From Fiscal</v>
      </c>
      <c r="D124" s="15">
        <f>'Fiscal Forecasts'!D$209</f>
        <v>25.309000000000001</v>
      </c>
      <c r="E124" s="15">
        <f>'Fiscal Forecasts'!E$209</f>
        <v>27.018999999999998</v>
      </c>
      <c r="F124" s="16">
        <f>'Fiscal Forecasts'!F$209 +IF($C$2="Yes",'Fiscal Forecast Adjuster'!C$8/1000,0)</f>
        <v>28.649000000000001</v>
      </c>
      <c r="G124" s="16">
        <f>'Fiscal Forecasts'!G$209 +IF($C$2="Yes",'Fiscal Forecast Adjuster'!D$8/1000,0)</f>
        <v>29.623999999999999</v>
      </c>
      <c r="H124" s="16">
        <f>'Fiscal Forecasts'!H$209 +IF($C$2="Yes",'Fiscal Forecast Adjuster'!E$8/1000,0)</f>
        <v>30.108000000000001</v>
      </c>
      <c r="I124" s="16">
        <f>'Fiscal Forecasts'!I$209 +IF($C$2="Yes",'Fiscal Forecast Adjuster'!F$8/1000,0)</f>
        <v>31.733000000000001</v>
      </c>
      <c r="J124" s="16">
        <f>'Fiscal Forecasts'!J$209 +IF($C$2="Yes",'Fiscal Forecast Adjuster'!G$8/1000,0)</f>
        <v>33.259</v>
      </c>
      <c r="K124" s="7">
        <f ca="1">IF(OFFSET(Assumptions!$B$30,0,$C$1)="Yes",J$124*(1+K$18)*(1+OFFSET(Assumptions!$B$31,0,$C$1)*K$28),(J$124/J$13+MIN(ABS(OFFSET(Assumptions!$B$32,0,$C$1)-J$124/J$13),OFFSET(Assumptions!$B$38,0,$C$1))*SIGN(OFFSET(Assumptions!$B$32,0,$C$1)-J$124/J$13))*K$13)</f>
        <v>34.852040290821044</v>
      </c>
      <c r="L124" s="7">
        <f ca="1">IF(OFFSET(Assumptions!$B$30,0,$C$1)="Yes",K$124*(1+L$18)*(1+OFFSET(Assumptions!$B$31,0,$C$1)*L$28),(K$124/K$13+MIN(ABS(OFFSET(Assumptions!$B$32,0,$C$1)-K$124/K$13),OFFSET(Assumptions!$B$38,0,$C$1))*SIGN(OFFSET(Assumptions!$B$32,0,$C$1)-K$124/K$13))*L$13)</f>
        <v>36.557055643249271</v>
      </c>
      <c r="M124" s="7">
        <f ca="1">IF(OFFSET(Assumptions!$B$30,0,$C$1)="Yes",L$124*(1+M$18)*(1+OFFSET(Assumptions!$B$31,0,$C$1)*M$28),(L$124/L$13+MIN(ABS(OFFSET(Assumptions!$B$32,0,$C$1)-L$124/L$13),OFFSET(Assumptions!$B$38,0,$C$1))*SIGN(OFFSET(Assumptions!$B$32,0,$C$1)-L$124/L$13))*M$13)</f>
        <v>38.338216734932168</v>
      </c>
      <c r="N124" s="7">
        <f ca="1">IF(OFFSET(Assumptions!$B$30,0,$C$1)="Yes",M$124*(1+N$18)*(1+OFFSET(Assumptions!$B$31,0,$C$1)*N$28),(M$124/M$13+MIN(ABS(OFFSET(Assumptions!$B$32,0,$C$1)-M$124/M$13),OFFSET(Assumptions!$B$38,0,$C$1))*SIGN(OFFSET(Assumptions!$B$32,0,$C$1)-M$124/M$13))*N$13)</f>
        <v>40.20341734879041</v>
      </c>
      <c r="O124" s="7">
        <f ca="1">IF(OFFSET(Assumptions!$B$30,0,$C$1)="Yes",N$124*(1+O$18)*(1+OFFSET(Assumptions!$B$31,0,$C$1)*O$28),(N$124/N$13+MIN(ABS(OFFSET(Assumptions!$B$32,0,$C$1)-N$124/N$13),OFFSET(Assumptions!$B$38,0,$C$1))*SIGN(OFFSET(Assumptions!$B$32,0,$C$1)-N$124/N$13))*O$13)</f>
        <v>42.140834029770247</v>
      </c>
      <c r="P124" s="7">
        <f ca="1">IF(OFFSET(Assumptions!$B$30,0,$C$1)="Yes",O$124*(1+P$18)*(1+OFFSET(Assumptions!$B$31,0,$C$1)*P$28),(O$124/O$13+MIN(ABS(OFFSET(Assumptions!$B$32,0,$C$1)-O$124/O$13),OFFSET(Assumptions!$B$38,0,$C$1))*SIGN(OFFSET(Assumptions!$B$32,0,$C$1)-O$124/O$13))*P$13)</f>
        <v>44.158194019237193</v>
      </c>
      <c r="Q124" s="7">
        <f ca="1">IF(OFFSET(Assumptions!$B$30,0,$C$1)="Yes",P$124*(1+Q$18)*(1+OFFSET(Assumptions!$B$31,0,$C$1)*Q$28),(P$124/P$13+MIN(ABS(OFFSET(Assumptions!$B$32,0,$C$1)-P$124/P$13),OFFSET(Assumptions!$B$38,0,$C$1))*SIGN(OFFSET(Assumptions!$B$32,0,$C$1)-P$124/P$13))*Q$13)</f>
        <v>46.253570858987786</v>
      </c>
      <c r="R124" s="7">
        <f ca="1">IF(OFFSET(Assumptions!$B$30,0,$C$1)="Yes",Q$124*(1+R$18)*(1+OFFSET(Assumptions!$B$31,0,$C$1)*R$28),(Q$124/Q$13+MIN(ABS(OFFSET(Assumptions!$B$32,0,$C$1)-Q$124/Q$13),OFFSET(Assumptions!$B$38,0,$C$1))*SIGN(OFFSET(Assumptions!$B$32,0,$C$1)-Q$124/Q$13))*R$13)</f>
        <v>48.425708597148706</v>
      </c>
      <c r="S124" s="7">
        <f ca="1">IF(OFFSET(Assumptions!$B$30,0,$C$1)="Yes",R$124*(1+S$18)*(1+OFFSET(Assumptions!$B$31,0,$C$1)*S$28),(R$124/R$13+MIN(ABS(OFFSET(Assumptions!$B$32,0,$C$1)-R$124/R$13),OFFSET(Assumptions!$B$38,0,$C$1))*SIGN(OFFSET(Assumptions!$B$32,0,$C$1)-R$124/R$13))*S$13)</f>
        <v>50.684350197310913</v>
      </c>
      <c r="T124" s="7">
        <f ca="1">IF(OFFSET(Assumptions!$B$30,0,$C$1)="Yes",S$124*(1+T$18)*(1+OFFSET(Assumptions!$B$31,0,$C$1)*T$28),(S$124/S$13+MIN(ABS(OFFSET(Assumptions!$B$32,0,$C$1)-S$124/S$13),OFFSET(Assumptions!$B$38,0,$C$1))*SIGN(OFFSET(Assumptions!$B$32,0,$C$1)-S$124/S$13))*T$13)</f>
        <v>53.02727794949282</v>
      </c>
    </row>
    <row r="125" spans="1:20" x14ac:dyDescent="0.2">
      <c r="A125" s="1" t="s">
        <v>428</v>
      </c>
      <c r="B125" s="4" t="str">
        <f t="shared" si="83"/>
        <v>From Fiscal</v>
      </c>
      <c r="D125" s="15">
        <f>'Fiscal Forecasts'!D$210</f>
        <v>10.295999999999999</v>
      </c>
      <c r="E125" s="15">
        <f>'Fiscal Forecasts'!E$210</f>
        <v>11.054</v>
      </c>
      <c r="F125" s="16">
        <f>'Fiscal Forecasts'!F$210 +IF($C$2="Yes",'Fiscal Forecast Adjuster'!C$9/1000,0)</f>
        <v>12.686999999999999</v>
      </c>
      <c r="G125" s="16">
        <f>'Fiscal Forecasts'!G$210 +IF($C$2="Yes",'Fiscal Forecast Adjuster'!D$9/1000,0)</f>
        <v>13.045</v>
      </c>
      <c r="H125" s="16">
        <f>'Fiscal Forecasts'!H$210 +IF($C$2="Yes",'Fiscal Forecast Adjuster'!E$9/1000,0)</f>
        <v>13.925000000000001</v>
      </c>
      <c r="I125" s="16">
        <f>'Fiscal Forecasts'!I$210 +IF($C$2="Yes",'Fiscal Forecast Adjuster'!F$9/1000,0)</f>
        <v>14.78</v>
      </c>
      <c r="J125" s="16">
        <f>'Fiscal Forecasts'!J$210 +IF($C$2="Yes",'Fiscal Forecast Adjuster'!G$9/1000,0)</f>
        <v>15.513999999999999</v>
      </c>
      <c r="K125" s="7">
        <f ca="1">(J$125/J$13+MIN(ABS(OFFSET(Assumptions!$B$33,0,$C$1)-J$125/J$13),OFFSET(Assumptions!$B$38,0,$C$1))*SIGN(OFFSET(Assumptions!$B$33,0,$C$1)-J$125/J$13))*K$13</f>
        <v>16.009929388503121</v>
      </c>
      <c r="L125" s="7">
        <f ca="1">(K$125/K$13+MIN(ABS(OFFSET(Assumptions!$B$33,0,$C$1)-K$125/K$13),OFFSET(Assumptions!$B$38,0,$C$1))*SIGN(OFFSET(Assumptions!$B$33,0,$C$1)-K$125/K$13))*L$13</f>
        <v>16.536403128059511</v>
      </c>
      <c r="M125" s="7">
        <f ca="1">(L$125/L$13+MIN(ABS(OFFSET(Assumptions!$B$33,0,$C$1)-L$125/L$13),OFFSET(Assumptions!$B$38,0,$C$1))*SIGN(OFFSET(Assumptions!$B$33,0,$C$1)-L$125/L$13))*M$13</f>
        <v>17.075415398820361</v>
      </c>
      <c r="N125" s="7">
        <f ca="1">(M$125/M$13+MIN(ABS(OFFSET(Assumptions!$B$33,0,$C$1)-M$125/M$13),OFFSET(Assumptions!$B$38,0,$C$1))*SIGN(OFFSET(Assumptions!$B$33,0,$C$1)-M$125/M$13))*N$13</f>
        <v>17.629159401415006</v>
      </c>
      <c r="O125" s="7">
        <f ca="1">(N$125/N$13+MIN(ABS(OFFSET(Assumptions!$B$33,0,$C$1)-N$125/N$13),OFFSET(Assumptions!$B$38,0,$C$1))*SIGN(OFFSET(Assumptions!$B$33,0,$C$1)-N$125/N$13))*O$13</f>
        <v>18.191125489354782</v>
      </c>
      <c r="P125" s="7">
        <f ca="1">(O$125/O$13+MIN(ABS(OFFSET(Assumptions!$B$33,0,$C$1)-O$125/O$13),OFFSET(Assumptions!$B$38,0,$C$1))*SIGN(OFFSET(Assumptions!$B$33,0,$C$1)-O$125/O$13))*P$13</f>
        <v>18.763457649310613</v>
      </c>
      <c r="Q125" s="7">
        <f ca="1">(P$125/P$13+MIN(ABS(OFFSET(Assumptions!$B$33,0,$C$1)-P$125/P$13),OFFSET(Assumptions!$B$38,0,$C$1))*SIGN(OFFSET(Assumptions!$B$33,0,$C$1)-P$125/P$13))*Q$13</f>
        <v>19.344076954479931</v>
      </c>
      <c r="R125" s="7">
        <f ca="1">(Q$125/Q$13+MIN(ABS(OFFSET(Assumptions!$B$33,0,$C$1)-Q$125/Q$13),OFFSET(Assumptions!$B$38,0,$C$1))*SIGN(OFFSET(Assumptions!$B$33,0,$C$1)-Q$125/Q$13))*R$13</f>
        <v>19.931255390096414</v>
      </c>
      <c r="S125" s="7">
        <f ca="1">(R$125/R$13+MIN(ABS(OFFSET(Assumptions!$B$33,0,$C$1)-R$125/R$13),OFFSET(Assumptions!$B$38,0,$C$1))*SIGN(OFFSET(Assumptions!$B$33,0,$C$1)-R$125/R$13))*S$13</f>
        <v>20.527775206448805</v>
      </c>
      <c r="T125" s="7">
        <f ca="1">(S$125/S$13+MIN(ABS(OFFSET(Assumptions!$B$33,0,$C$1)-S$125/S$13),OFFSET(Assumptions!$B$38,0,$C$1))*SIGN(OFFSET(Assumptions!$B$33,0,$C$1)-S$125/S$13))*T$13</f>
        <v>21.131420134836826</v>
      </c>
    </row>
    <row r="126" spans="1:20" x14ac:dyDescent="0.2">
      <c r="A126" s="1" t="s">
        <v>429</v>
      </c>
      <c r="B126" s="4" t="str">
        <f t="shared" si="83"/>
        <v>From Fiscal</v>
      </c>
      <c r="D126" s="15">
        <f>'Fiscal Forecasts'!D$211</f>
        <v>17.169</v>
      </c>
      <c r="E126" s="15">
        <f>'Fiscal Forecasts'!E$211</f>
        <v>18.207999999999998</v>
      </c>
      <c r="F126" s="16">
        <f>'Fiscal Forecasts'!F$211 +IF($C$2="Yes",'Fiscal Forecast Adjuster'!C$10/1000,0)</f>
        <v>19.663</v>
      </c>
      <c r="G126" s="16">
        <f>'Fiscal Forecasts'!G$211 +IF($C$2="Yes",'Fiscal Forecast Adjuster'!D$10/1000,0)</f>
        <v>20.405000000000001</v>
      </c>
      <c r="H126" s="16">
        <f>'Fiscal Forecasts'!H$211 +IF($C$2="Yes",'Fiscal Forecast Adjuster'!E$10/1000,0)</f>
        <v>21.530999999999999</v>
      </c>
      <c r="I126" s="16">
        <f>'Fiscal Forecasts'!I$211 +IF($C$2="Yes",'Fiscal Forecast Adjuster'!F$10/1000,0)</f>
        <v>22.481999999999999</v>
      </c>
      <c r="J126" s="16">
        <f>'Fiscal Forecasts'!J$211 +IF($C$2="Yes",'Fiscal Forecast Adjuster'!G$10/1000,0)</f>
        <v>23.379000000000001</v>
      </c>
      <c r="K126" s="7">
        <f ca="1">(J$126/J$13+MIN(ABS(OFFSET(Assumptions!$B$34,0,$C$1)-J$126/J$13),OFFSET(Assumptions!$B$38,0,$C$1))*SIGN(OFFSET(Assumptions!$B$34,0,$C$1)-J$126/J$13))*K$13</f>
        <v>24.548875416162467</v>
      </c>
      <c r="L126" s="7">
        <f ca="1">(K$126/K$13+MIN(ABS(OFFSET(Assumptions!$B$34,0,$C$1)-K$126/K$13),OFFSET(Assumptions!$B$38,0,$C$1))*SIGN(OFFSET(Assumptions!$B$34,0,$C$1)-K$126/K$13))*L$13</f>
        <v>25.801855580498756</v>
      </c>
      <c r="M126" s="7">
        <f ca="1">(L$126/L$13+MIN(ABS(OFFSET(Assumptions!$B$34,0,$C$1)-L$126/L$13),OFFSET(Assumptions!$B$38,0,$C$1))*SIGN(OFFSET(Assumptions!$B$34,0,$C$1)-L$126/L$13))*M$13</f>
        <v>27.113016614343422</v>
      </c>
      <c r="N126" s="7">
        <f ca="1">(M$126/M$13+MIN(ABS(OFFSET(Assumptions!$B$34,0,$C$1)-M$126/M$13),OFFSET(Assumptions!$B$38,0,$C$1))*SIGN(OFFSET(Assumptions!$B$34,0,$C$1)-M$126/M$13))*N$13</f>
        <v>28.362851496657854</v>
      </c>
      <c r="O126" s="7">
        <f ca="1">(N$126/N$13+MIN(ABS(OFFSET(Assumptions!$B$34,0,$C$1)-N$126/N$13),OFFSET(Assumptions!$B$38,0,$C$1))*SIGN(OFFSET(Assumptions!$B$34,0,$C$1)-N$126/N$13))*O$13</f>
        <v>29.588624690447297</v>
      </c>
      <c r="P126" s="7">
        <f ca="1">(O$126/O$13+MIN(ABS(OFFSET(Assumptions!$B$34,0,$C$1)-O$126/O$13),OFFSET(Assumptions!$B$38,0,$C$1))*SIGN(OFFSET(Assumptions!$B$34,0,$C$1)-O$126/O$13))*P$13</f>
        <v>30.858688346324055</v>
      </c>
      <c r="Q126" s="7">
        <f ca="1">(P$126/P$13+MIN(ABS(OFFSET(Assumptions!$B$34,0,$C$1)-P$126/P$13),OFFSET(Assumptions!$B$38,0,$C$1))*SIGN(OFFSET(Assumptions!$B$34,0,$C$1)-P$126/P$13))*Q$13</f>
        <v>32.171078101873427</v>
      </c>
      <c r="R126" s="7">
        <f ca="1">(Q$126/Q$13+MIN(ABS(OFFSET(Assumptions!$B$34,0,$C$1)-Q$126/Q$13),OFFSET(Assumptions!$B$38,0,$C$1))*SIGN(OFFSET(Assumptions!$B$34,0,$C$1)-Q$126/Q$13))*R$13</f>
        <v>33.524330529258933</v>
      </c>
      <c r="S126" s="7">
        <f ca="1">(R$126/R$13+MIN(ABS(OFFSET(Assumptions!$B$34,0,$C$1)-R$126/R$13),OFFSET(Assumptions!$B$38,0,$C$1))*SIGN(OFFSET(Assumptions!$B$34,0,$C$1)-R$126/R$13))*S$13</f>
        <v>34.924588373645982</v>
      </c>
      <c r="T126" s="7">
        <f ca="1">(S$126/S$13+MIN(ABS(OFFSET(Assumptions!$B$34,0,$C$1)-S$126/S$13),OFFSET(Assumptions!$B$38,0,$C$1))*SIGN(OFFSET(Assumptions!$B$34,0,$C$1)-S$126/S$13))*T$13</f>
        <v>36.369677077268669</v>
      </c>
    </row>
    <row r="127" spans="1:20" x14ac:dyDescent="0.2">
      <c r="A127" s="1" t="s">
        <v>433</v>
      </c>
      <c r="B127" s="4" t="str">
        <f t="shared" si="83"/>
        <v>From Fiscal</v>
      </c>
      <c r="D127" s="15">
        <f>'Fiscal Forecasts'!D$212</f>
        <v>3.2029999999999998</v>
      </c>
      <c r="E127" s="15">
        <f>'Fiscal Forecasts'!E$212</f>
        <v>3.4710000000000001</v>
      </c>
      <c r="F127" s="16">
        <f>'Fiscal Forecasts'!F$212 +IF($C$2="Yes",'Fiscal Forecast Adjuster'!C$11/1000,0)</f>
        <v>3.5990000000000002</v>
      </c>
      <c r="G127" s="16">
        <f>'Fiscal Forecasts'!G$212 +IF($C$2="Yes",'Fiscal Forecast Adjuster'!D$11/1000,0)</f>
        <v>3.6389999999999998</v>
      </c>
      <c r="H127" s="16">
        <f>'Fiscal Forecasts'!H$212 +IF($C$2="Yes",'Fiscal Forecast Adjuster'!E$11/1000,0)</f>
        <v>3.7029999999999998</v>
      </c>
      <c r="I127" s="16">
        <f>'Fiscal Forecasts'!I$212 +IF($C$2="Yes",'Fiscal Forecast Adjuster'!F$11/1000,0)</f>
        <v>3.7690000000000001</v>
      </c>
      <c r="J127" s="16">
        <f>'Fiscal Forecasts'!J$212 +IF($C$2="Yes",'Fiscal Forecast Adjuster'!G$11/1000,0)</f>
        <v>3.8340000000000001</v>
      </c>
      <c r="K127" s="7">
        <f ca="1">(J$127/J$13+MIN(ABS(OFFSET(Assumptions!$B$35,0,$C$1)-J$127/J$13),OFFSET(Assumptions!$B$38,0,$C$1))*SIGN(OFFSET(Assumptions!$B$35,0,$C$1)-J$127/J$13))*K$13</f>
        <v>4.1667542142189573</v>
      </c>
      <c r="L127" s="7">
        <f ca="1">(K$127/K$13+MIN(ABS(OFFSET(Assumptions!$B$35,0,$C$1)-K$127/K$13),OFFSET(Assumptions!$B$38,0,$C$1))*SIGN(OFFSET(Assumptions!$B$35,0,$C$1)-K$127/K$13))*L$13</f>
        <v>4.5255008004928081</v>
      </c>
      <c r="M127" s="7">
        <f ca="1">(L$127/L$13+MIN(ABS(OFFSET(Assumptions!$B$35,0,$C$1)-L$127/L$13),OFFSET(Assumptions!$B$38,0,$C$1))*SIGN(OFFSET(Assumptions!$B$35,0,$C$1)-L$127/L$13))*M$13</f>
        <v>4.7742548512882985</v>
      </c>
      <c r="N127" s="7">
        <f ca="1">(M$127/M$13+MIN(ABS(OFFSET(Assumptions!$B$35,0,$C$1)-M$127/M$13),OFFSET(Assumptions!$B$38,0,$C$1))*SIGN(OFFSET(Assumptions!$B$35,0,$C$1)-M$127/M$13))*N$13</f>
        <v>4.982663100764217</v>
      </c>
      <c r="O127" s="7">
        <f ca="1">(N$127/N$13+MIN(ABS(OFFSET(Assumptions!$B$35,0,$C$1)-N$127/N$13),OFFSET(Assumptions!$B$38,0,$C$1))*SIGN(OFFSET(Assumptions!$B$35,0,$C$1)-N$127/N$13))*O$13</f>
        <v>5.1980016348083087</v>
      </c>
      <c r="P127" s="7">
        <f ca="1">(O$127/O$13+MIN(ABS(OFFSET(Assumptions!$B$35,0,$C$1)-O$127/O$13),OFFSET(Assumptions!$B$38,0,$C$1))*SIGN(OFFSET(Assumptions!$B$35,0,$C$1)-O$127/O$13))*P$13</f>
        <v>5.4211209257055772</v>
      </c>
      <c r="Q127" s="7">
        <f ca="1">(P$127/P$13+MIN(ABS(OFFSET(Assumptions!$B$35,0,$C$1)-P$127/P$13),OFFSET(Assumptions!$B$38,0,$C$1))*SIGN(OFFSET(Assumptions!$B$35,0,$C$1)-P$127/P$13))*Q$13</f>
        <v>5.6516758827615474</v>
      </c>
      <c r="R127" s="7">
        <f ca="1">(Q$127/Q$13+MIN(ABS(OFFSET(Assumptions!$B$35,0,$C$1)-Q$127/Q$13),OFFSET(Assumptions!$B$38,0,$C$1))*SIGN(OFFSET(Assumptions!$B$35,0,$C$1)-Q$127/Q$13))*R$13</f>
        <v>5.8894094173022458</v>
      </c>
      <c r="S127" s="7">
        <f ca="1">(R$127/R$13+MIN(ABS(OFFSET(Assumptions!$B$35,0,$C$1)-R$127/R$13),OFFSET(Assumptions!$B$38,0,$C$1))*SIGN(OFFSET(Assumptions!$B$35,0,$C$1)-R$127/R$13))*S$13</f>
        <v>6.1354006602351046</v>
      </c>
      <c r="T127" s="7">
        <f ca="1">(S$127/S$13+MIN(ABS(OFFSET(Assumptions!$B$35,0,$C$1)-S$127/S$13),OFFSET(Assumptions!$B$38,0,$C$1))*SIGN(OFFSET(Assumptions!$B$35,0,$C$1)-S$127/S$13))*T$13</f>
        <v>6.3892675946553066</v>
      </c>
    </row>
    <row r="128" spans="1:20" x14ac:dyDescent="0.2">
      <c r="A128" s="1" t="s">
        <v>261</v>
      </c>
      <c r="B128" s="4" t="str">
        <f t="shared" si="83"/>
        <v>From Fiscal</v>
      </c>
      <c r="D128" s="15">
        <f>'Fiscal Forecasts'!D$213</f>
        <v>10.078000000000001</v>
      </c>
      <c r="E128" s="15">
        <f>'Fiscal Forecasts'!E$213</f>
        <v>9.9160000000000004</v>
      </c>
      <c r="F128" s="16">
        <f>'Fiscal Forecasts'!F$213 +IF($C$2="Yes",'Fiscal Forecast Adjuster'!C$12/1000,0)</f>
        <v>10.414</v>
      </c>
      <c r="G128" s="16">
        <f>'Fiscal Forecasts'!G$213 +IF($C$2="Yes",'Fiscal Forecast Adjuster'!D$12/1000,0)</f>
        <v>10.873000000000001</v>
      </c>
      <c r="H128" s="16">
        <f>'Fiscal Forecasts'!H$213 +IF($C$2="Yes",'Fiscal Forecast Adjuster'!E$12/1000,0)</f>
        <v>11.39</v>
      </c>
      <c r="I128" s="16">
        <f>'Fiscal Forecasts'!I$213 +IF($C$2="Yes",'Fiscal Forecast Adjuster'!F$12/1000,0)</f>
        <v>12.299000000000001</v>
      </c>
      <c r="J128" s="16">
        <f>'Fiscal Forecasts'!J$213 +IF($C$2="Yes",'Fiscal Forecast Adjuster'!G$12/1000,0)</f>
        <v>13.077000000000002</v>
      </c>
      <c r="K128" s="7">
        <f ca="1">(J$128/J$13+MIN(ABS(OFFSET(Assumptions!$B$36,0,$C$1)-J$128/J$13),OFFSET(Assumptions!$B$38,0,$C$1))*SIGN(OFFSET(Assumptions!$B$36,0,$C$1)-J$128/J$13))*K$13</f>
        <v>13.805636090379812</v>
      </c>
      <c r="L128" s="7">
        <f ca="1">(K$128/K$13+MIN(ABS(OFFSET(Assumptions!$B$36,0,$C$1)-K$128/K$13),OFFSET(Assumptions!$B$38,0,$C$1))*SIGN(OFFSET(Assumptions!$B$36,0,$C$1)-K$128/K$13))*L$13</f>
        <v>14.587273490776512</v>
      </c>
      <c r="M128" s="7">
        <f ca="1">(L$128/L$13+MIN(ABS(OFFSET(Assumptions!$B$36,0,$C$1)-L$128/L$13),OFFSET(Assumptions!$B$38,0,$C$1))*SIGN(OFFSET(Assumptions!$B$36,0,$C$1)-L$128/L$13))*M$13</f>
        <v>15.408359565527098</v>
      </c>
      <c r="N128" s="7">
        <f ca="1">(M$128/M$13+MIN(ABS(OFFSET(Assumptions!$B$36,0,$C$1)-M$128/M$13),OFFSET(Assumptions!$B$38,0,$C$1))*SIGN(OFFSET(Assumptions!$B$36,0,$C$1)-M$128/M$13))*N$13</f>
        <v>16.272614159061554</v>
      </c>
      <c r="O128" s="7">
        <f ca="1">(N$128/N$13+MIN(ABS(OFFSET(Assumptions!$B$36,0,$C$1)-N$128/N$13),OFFSET(Assumptions!$B$38,0,$C$1))*SIGN(OFFSET(Assumptions!$B$36,0,$C$1)-N$128/N$13))*O$13</f>
        <v>17.175799953232385</v>
      </c>
      <c r="P128" s="7">
        <f ca="1">(O$128/O$13+MIN(ABS(OFFSET(Assumptions!$B$36,0,$C$1)-O$128/O$13),OFFSET(Assumptions!$B$38,0,$C$1))*SIGN(OFFSET(Assumptions!$B$36,0,$C$1)-O$128/O$13))*P$13</f>
        <v>18.121559529363054</v>
      </c>
      <c r="Q128" s="7">
        <f ca="1">(P$128/P$13+MIN(ABS(OFFSET(Assumptions!$B$36,0,$C$1)-P$128/P$13),OFFSET(Assumptions!$B$38,0,$C$1))*SIGN(OFFSET(Assumptions!$B$36,0,$C$1)-P$128/P$13))*Q$13</f>
        <v>19.109623835605895</v>
      </c>
      <c r="R128" s="7">
        <f ca="1">(Q$128/Q$13+MIN(ABS(OFFSET(Assumptions!$B$36,0,$C$1)-Q$128/Q$13),OFFSET(Assumptions!$B$38,0,$C$1))*SIGN(OFFSET(Assumptions!$B$36,0,$C$1)-Q$128/Q$13))*R$13</f>
        <v>19.933385720099906</v>
      </c>
      <c r="S128" s="7">
        <f ca="1">(R$128/R$13+MIN(ABS(OFFSET(Assumptions!$B$36,0,$C$1)-R$128/R$13),OFFSET(Assumptions!$B$38,0,$C$1))*SIGN(OFFSET(Assumptions!$B$36,0,$C$1)-R$128/R$13))*S$13</f>
        <v>20.765971465411123</v>
      </c>
      <c r="T128" s="7">
        <f ca="1">(S$128/S$13+MIN(ABS(OFFSET(Assumptions!$B$36,0,$C$1)-S$128/S$13),OFFSET(Assumptions!$B$38,0,$C$1))*SIGN(OFFSET(Assumptions!$B$36,0,$C$1)-S$128/S$13))*T$13</f>
        <v>21.625213397294882</v>
      </c>
    </row>
    <row r="129" spans="1:20" ht="15" x14ac:dyDescent="0.25">
      <c r="A129" s="2" t="s">
        <v>430</v>
      </c>
      <c r="D129" s="35">
        <f t="shared" ref="D129:T129" si="84">SUM(D$124:D$128)</f>
        <v>66.055000000000007</v>
      </c>
      <c r="E129" s="35">
        <f t="shared" si="84"/>
        <v>69.667999999999992</v>
      </c>
      <c r="F129" s="34">
        <f t="shared" si="84"/>
        <v>75.012</v>
      </c>
      <c r="G129" s="34">
        <f t="shared" si="84"/>
        <v>77.585999999999999</v>
      </c>
      <c r="H129" s="34">
        <f t="shared" si="84"/>
        <v>80.656999999999996</v>
      </c>
      <c r="I129" s="34">
        <f t="shared" si="84"/>
        <v>85.063000000000017</v>
      </c>
      <c r="J129" s="34">
        <f t="shared" si="84"/>
        <v>89.063000000000002</v>
      </c>
      <c r="K129" s="38">
        <f t="shared" ca="1" si="84"/>
        <v>93.383235400085383</v>
      </c>
      <c r="L129" s="38">
        <f t="shared" ca="1" si="84"/>
        <v>98.00808864307686</v>
      </c>
      <c r="M129" s="38">
        <f t="shared" ca="1" si="84"/>
        <v>102.70926316491135</v>
      </c>
      <c r="N129" s="38">
        <f t="shared" ca="1" si="84"/>
        <v>107.45070550668905</v>
      </c>
      <c r="O129" s="38">
        <f t="shared" ca="1" si="84"/>
        <v>112.29438579761302</v>
      </c>
      <c r="P129" s="38">
        <f t="shared" ca="1" si="84"/>
        <v>117.3230204699405</v>
      </c>
      <c r="Q129" s="38">
        <f t="shared" ca="1" si="84"/>
        <v>122.53002563370859</v>
      </c>
      <c r="R129" s="38">
        <f t="shared" ca="1" si="84"/>
        <v>127.70408965390621</v>
      </c>
      <c r="S129" s="38">
        <f t="shared" ca="1" si="84"/>
        <v>133.03808590305192</v>
      </c>
      <c r="T129" s="38">
        <f t="shared" ca="1" si="84"/>
        <v>138.54285615354851</v>
      </c>
    </row>
    <row r="130" spans="1:20" x14ac:dyDescent="0.2">
      <c r="A130" s="1" t="s">
        <v>431</v>
      </c>
      <c r="B130" s="4" t="str">
        <f t="shared" si="83"/>
        <v>From Fiscal</v>
      </c>
      <c r="D130" s="15">
        <f>D$129-'Fiscal Forecasts'!D$150</f>
        <v>-0.58099999999998886</v>
      </c>
      <c r="E130" s="15">
        <f>E$129-'Fiscal Forecasts'!E$150</f>
        <v>-0.77700000000000102</v>
      </c>
      <c r="F130" s="16">
        <f>F$129-'Fiscal Forecasts'!F$150 -IF($C$2="Yes",SUM('Fiscal Forecast Adjuster'!C$8:C$12)/1000,0)</f>
        <v>-0.61299999999999955</v>
      </c>
      <c r="G130" s="16">
        <f>G$129-'Fiscal Forecasts'!G$150 -IF($C$2="Yes",SUM('Fiscal Forecast Adjuster'!D$8:D$12)/1000,0)</f>
        <v>-0.69200000000000728</v>
      </c>
      <c r="H130" s="16">
        <f>H$129-'Fiscal Forecasts'!H$150 -IF($C$2="Yes",SUM('Fiscal Forecast Adjuster'!E$8:E$12)/1000,0)</f>
        <v>-0.64400000000000546</v>
      </c>
      <c r="I130" s="16">
        <f>I$129-'Fiscal Forecasts'!I$150 -IF($C$2="Yes",SUM('Fiscal Forecast Adjuster'!F$8:F$12)/1000,0)</f>
        <v>-0.72199999999997999</v>
      </c>
      <c r="J130" s="16">
        <f>J$129-'Fiscal Forecasts'!J$150 -IF($C$2="Yes",SUM('Fiscal Forecast Adjuster'!G$8:G$12)/1000,0)</f>
        <v>-0.75399999999999068</v>
      </c>
      <c r="K130" s="7">
        <f ca="1">(J$130/J$13-MIN(ABS(OFFSET(Assumptions!$B$37,0,$C$1)+J$130/J$13),OFFSET(Assumptions!$B$38,0,$C$1))*SIGN(OFFSET(Assumptions!$B$37,0,$C$1)+J$130/J$13))*K$13</f>
        <v>-0.9548364192848976</v>
      </c>
      <c r="L130" s="7">
        <f ca="1">(K$130/K$13-MIN(ABS(OFFSET(Assumptions!$B$37,0,$C$1)+K$130/K$13),OFFSET(Assumptions!$B$38,0,$C$1))*SIGN(OFFSET(Assumptions!$B$37,0,$C$1)+K$130/K$13))*L$13</f>
        <v>-1.0556207089929583</v>
      </c>
      <c r="M130" s="7">
        <f ca="1">(L$130/L$13-MIN(ABS(OFFSET(Assumptions!$B$37,0,$C$1)+L$130/L$13),OFFSET(Assumptions!$B$38,0,$C$1))*SIGN(OFFSET(Assumptions!$B$37,0,$C$1)+L$130/L$13))*M$13</f>
        <v>-1.1017511195280689</v>
      </c>
      <c r="N130" s="7">
        <f ca="1">(M$130/M$13-MIN(ABS(OFFSET(Assumptions!$B$37,0,$C$1)+M$130/M$13),OFFSET(Assumptions!$B$38,0,$C$1))*SIGN(OFFSET(Assumptions!$B$37,0,$C$1)+M$130/M$13))*N$13</f>
        <v>-1.1498453309455887</v>
      </c>
      <c r="O130" s="7">
        <f ca="1">(N$130/N$13-MIN(ABS(OFFSET(Assumptions!$B$37,0,$C$1)+N$130/N$13),OFFSET(Assumptions!$B$38,0,$C$1))*SIGN(OFFSET(Assumptions!$B$37,0,$C$1)+N$130/N$13))*O$13</f>
        <v>-1.1995388388019175</v>
      </c>
      <c r="P130" s="7">
        <f ca="1">(O$130/O$13-MIN(ABS(OFFSET(Assumptions!$B$37,0,$C$1)+O$130/O$13),OFFSET(Assumptions!$B$38,0,$C$1))*SIGN(OFFSET(Assumptions!$B$37,0,$C$1)+O$130/O$13))*P$13</f>
        <v>-1.2510279059320564</v>
      </c>
      <c r="Q130" s="7">
        <f ca="1">(P$130/P$13-MIN(ABS(OFFSET(Assumptions!$B$37,0,$C$1)+P$130/P$13),OFFSET(Assumptions!$B$38,0,$C$1))*SIGN(OFFSET(Assumptions!$B$37,0,$C$1)+P$130/P$13))*Q$13</f>
        <v>-1.3042328960218956</v>
      </c>
      <c r="R130" s="7">
        <f ca="1">(Q$130/Q$13-MIN(ABS(OFFSET(Assumptions!$B$37,0,$C$1)+Q$130/Q$13),OFFSET(Assumptions!$B$38,0,$C$1))*SIGN(OFFSET(Assumptions!$B$37,0,$C$1)+Q$130/Q$13))*R$13</f>
        <v>-1.3590944809159029</v>
      </c>
      <c r="S130" s="7">
        <f ca="1">(R$130/R$13-MIN(ABS(OFFSET(Assumptions!$B$37,0,$C$1)+R$130/R$13),OFFSET(Assumptions!$B$38,0,$C$1))*SIGN(OFFSET(Assumptions!$B$37,0,$C$1)+R$130/R$13))*S$13</f>
        <v>-1.4158616908234858</v>
      </c>
      <c r="T130" s="7">
        <f ca="1">(S$130/S$13-MIN(ABS(OFFSET(Assumptions!$B$37,0,$C$1)+S$130/S$13),OFFSET(Assumptions!$B$38,0,$C$1))*SIGN(OFFSET(Assumptions!$B$37,0,$C$1)+S$130/S$13))*T$13</f>
        <v>-1.4744463679973785</v>
      </c>
    </row>
    <row r="131" spans="1:20" ht="15" x14ac:dyDescent="0.25">
      <c r="A131" s="2" t="s">
        <v>432</v>
      </c>
      <c r="D131" s="35">
        <f>SUM(D$129,-D$130)</f>
        <v>66.635999999999996</v>
      </c>
      <c r="E131" s="35">
        <f>SUM(E$129,-E$130)</f>
        <v>70.444999999999993</v>
      </c>
      <c r="F131" s="34">
        <f>SUM(F$129,-F$130)</f>
        <v>75.625</v>
      </c>
      <c r="G131" s="34">
        <f t="shared" ref="G131:T131" si="85">SUM(G$129,-G$130)</f>
        <v>78.278000000000006</v>
      </c>
      <c r="H131" s="34">
        <f t="shared" si="85"/>
        <v>81.301000000000002</v>
      </c>
      <c r="I131" s="34">
        <f t="shared" si="85"/>
        <v>85.784999999999997</v>
      </c>
      <c r="J131" s="34">
        <f t="shared" si="85"/>
        <v>89.816999999999993</v>
      </c>
      <c r="K131" s="38">
        <f t="shared" ca="1" si="85"/>
        <v>94.338071819370285</v>
      </c>
      <c r="L131" s="38">
        <f t="shared" ca="1" si="85"/>
        <v>99.063709352069822</v>
      </c>
      <c r="M131" s="38">
        <f t="shared" ca="1" si="85"/>
        <v>103.81101428443942</v>
      </c>
      <c r="N131" s="38">
        <f t="shared" ca="1" si="85"/>
        <v>108.60055083763464</v>
      </c>
      <c r="O131" s="38">
        <f t="shared" ca="1" si="85"/>
        <v>113.49392463641493</v>
      </c>
      <c r="P131" s="38">
        <f t="shared" ca="1" si="85"/>
        <v>118.57404837587256</v>
      </c>
      <c r="Q131" s="38">
        <f t="shared" ca="1" si="85"/>
        <v>123.83425852973049</v>
      </c>
      <c r="R131" s="38">
        <f t="shared" ca="1" si="85"/>
        <v>129.06318413482211</v>
      </c>
      <c r="S131" s="38">
        <f t="shared" ca="1" si="85"/>
        <v>134.4539475938754</v>
      </c>
      <c r="T131" s="38">
        <f t="shared" ca="1" si="85"/>
        <v>140.0173025215459</v>
      </c>
    </row>
    <row r="132" spans="1:20" ht="15" x14ac:dyDescent="0.25">
      <c r="A132" s="2"/>
      <c r="D132" s="47"/>
      <c r="E132" s="47"/>
      <c r="F132" s="48"/>
      <c r="G132" s="48"/>
      <c r="H132" s="48"/>
      <c r="I132" s="48"/>
      <c r="J132" s="48"/>
      <c r="K132" s="49"/>
      <c r="L132" s="49"/>
      <c r="M132" s="49"/>
      <c r="N132" s="49"/>
      <c r="O132" s="49"/>
      <c r="P132" s="49"/>
      <c r="Q132" s="49"/>
      <c r="R132" s="49"/>
      <c r="S132" s="49"/>
      <c r="T132" s="49"/>
    </row>
    <row r="133" spans="1:20" x14ac:dyDescent="0.2">
      <c r="A133" s="19" t="s">
        <v>276</v>
      </c>
      <c r="D133" s="7"/>
      <c r="E133" s="7"/>
    </row>
    <row r="134" spans="1:20" ht="15" x14ac:dyDescent="0.25">
      <c r="A134" s="2" t="s">
        <v>441</v>
      </c>
      <c r="B134" s="4" t="str">
        <f>$B$38</f>
        <v>From Fiscal</v>
      </c>
      <c r="D134" s="40">
        <f>'Fiscal Forecasts'!D$151</f>
        <v>0.99299999999999999</v>
      </c>
      <c r="E134" s="40">
        <f>'Fiscal Forecasts'!E$151</f>
        <v>1.1160000000000001</v>
      </c>
      <c r="F134" s="39">
        <f>'Fiscal Forecasts'!F$151</f>
        <v>1.43</v>
      </c>
      <c r="G134" s="39">
        <f>'Fiscal Forecasts'!G$151</f>
        <v>1.4770000000000001</v>
      </c>
      <c r="H134" s="39">
        <f>'Fiscal Forecasts'!H$151</f>
        <v>1.6040000000000001</v>
      </c>
      <c r="I134" s="39">
        <f>'Fiscal Forecasts'!I$151</f>
        <v>1.623</v>
      </c>
      <c r="J134" s="39">
        <f>'Fiscal Forecasts'!J$151</f>
        <v>1.653</v>
      </c>
      <c r="K134" s="8">
        <f ca="1">IF(K$6=OFFSET(Assumptions!$B$8,0,$C$1),AVERAGE(H$134/H$13,I$134/I$13,J$134/J$13),J$134/J$13)*K$13</f>
        <v>1.769590536119275</v>
      </c>
      <c r="L134" s="8">
        <f ca="1">IF(L$6=OFFSET(Assumptions!$B$8,0,$C$1),AVERAGE(I$134/I$13,J$134/J$13,K$134/K$13),K$134/K$13)*L$13</f>
        <v>1.847228543524926</v>
      </c>
      <c r="M134" s="8">
        <f ca="1">IF(M$6=OFFSET(Assumptions!$B$8,0,$C$1),AVERAGE(J$134/J$13,K$134/K$13,L$134/L$13),L$134/L$13)*M$13</f>
        <v>1.9279520556150511</v>
      </c>
      <c r="N134" s="8">
        <f ca="1">IF(N$6=OFFSET(Assumptions!$B$8,0,$C$1),AVERAGE(K$134/K$13,L$134/L$13,M$134/M$13),M$134/M$13)*N$13</f>
        <v>2.0121120188972395</v>
      </c>
      <c r="O134" s="8">
        <f ca="1">IF(O$6=OFFSET(Assumptions!$B$8,0,$C$1),AVERAGE(L$134/L$13,M$134/M$13,N$134/N$13),N$134/N$13)*O$13</f>
        <v>2.0990705877828968</v>
      </c>
      <c r="P134" s="8">
        <f ca="1">IF(P$6=OFFSET(Assumptions!$B$8,0,$C$1),AVERAGE(M$134/M$13,N$134/N$13,O$134/O$13),O$134/O$13)*P$13</f>
        <v>2.1891712022100225</v>
      </c>
      <c r="Q134" s="8">
        <f ca="1">IF(Q$6=OFFSET(Assumptions!$B$8,0,$C$1),AVERAGE(N$134/N$13,O$134/O$13,P$134/P$13),P$134/P$13)*Q$13</f>
        <v>2.2822745067536316</v>
      </c>
      <c r="R134" s="8">
        <f ca="1">IF(R$6=OFFSET(Assumptions!$B$8,0,$C$1),AVERAGE(O$134/O$13,P$134/P$13,Q$134/Q$13),Q$134/Q$13)*R$13</f>
        <v>2.3782766831943576</v>
      </c>
      <c r="S134" s="8">
        <f ca="1">IF(S$6=OFFSET(Assumptions!$B$8,0,$C$1),AVERAGE(P$134/P$13,Q$134/Q$13,R$134/R$13),R$134/R$13)*S$13</f>
        <v>2.477613508991944</v>
      </c>
      <c r="T134" s="8">
        <f ca="1">IF(T$6=OFFSET(Assumptions!$B$8,0,$C$1),AVERAGE(Q$134/Q$13,R$134/R$13,S$134/S$13),S$134/S$13)*T$13</f>
        <v>2.5801307170827616</v>
      </c>
    </row>
    <row r="135" spans="1:20" x14ac:dyDescent="0.2">
      <c r="A135" s="1" t="s">
        <v>263</v>
      </c>
      <c r="B135" s="4" t="str">
        <f>$B$38</f>
        <v>From Fiscal</v>
      </c>
      <c r="D135" s="15">
        <f>'Fiscal Forecasts'!D$216</f>
        <v>3.2759999999999998</v>
      </c>
      <c r="E135" s="15">
        <f>'Fiscal Forecasts'!E$216</f>
        <v>2.819</v>
      </c>
      <c r="F135" s="16">
        <f>'Fiscal Forecasts'!F$216</f>
        <v>2.8239999999999998</v>
      </c>
      <c r="G135" s="16">
        <f>'Fiscal Forecasts'!G$216</f>
        <v>2.7090000000000001</v>
      </c>
      <c r="H135" s="16">
        <f>'Fiscal Forecasts'!H$216</f>
        <v>2.8740000000000001</v>
      </c>
      <c r="I135" s="16">
        <f>'Fiscal Forecasts'!I$216</f>
        <v>3.2509999999999999</v>
      </c>
      <c r="J135" s="16">
        <f>'Fiscal Forecasts'!J$216</f>
        <v>3.4260000000000002</v>
      </c>
      <c r="K135" s="7">
        <f>J$135*(Exogenous!R$23-Exogenous!R$24)/(Exogenous!Q$23-Exogenous!Q$24)</f>
        <v>3.5844464120011512</v>
      </c>
      <c r="L135" s="7">
        <f>K$135*(Exogenous!S$23-Exogenous!S$24)/(Exogenous!R$23-Exogenous!R$24)</f>
        <v>3.7566142976807111</v>
      </c>
      <c r="M135" s="7">
        <f>L$135*(Exogenous!T$23-Exogenous!T$24)/(Exogenous!S$23-Exogenous!S$24)</f>
        <v>3.9245176850538082</v>
      </c>
      <c r="N135" s="7">
        <f>M$135*(Exogenous!U$23-Exogenous!U$24)/(Exogenous!T$23-Exogenous!T$24)</f>
        <v>4.1020895424221768</v>
      </c>
      <c r="O135" s="7">
        <f>N$135*(Exogenous!V$23-Exogenous!V$24)/(Exogenous!U$23-Exogenous!U$24)</f>
        <v>4.2863680057933644</v>
      </c>
      <c r="P135" s="7">
        <f>O$135*(Exogenous!W$23-Exogenous!W$24)/(Exogenous!V$23-Exogenous!V$24)</f>
        <v>4.4841076294396176</v>
      </c>
      <c r="Q135" s="7">
        <f>P$135*(Exogenous!X$23-Exogenous!X$24)/(Exogenous!W$23-Exogenous!W$24)</f>
        <v>4.669843073608333</v>
      </c>
      <c r="R135" s="7">
        <f>Q$135*(Exogenous!Y$23-Exogenous!Y$24)/(Exogenous!X$23-Exogenous!X$24)</f>
        <v>4.8735114090337044</v>
      </c>
      <c r="S135" s="7">
        <f>R$135*(Exogenous!Z$23-Exogenous!Z$24)/(Exogenous!Y$23-Exogenous!Y$24)</f>
        <v>5.0759253657376631</v>
      </c>
      <c r="T135" s="7">
        <f>S$135*(Exogenous!AA$23-Exogenous!AA$24)/(Exogenous!Z$23-Exogenous!Z$24)</f>
        <v>5.3011938073769072</v>
      </c>
    </row>
    <row r="136" spans="1:20" x14ac:dyDescent="0.2">
      <c r="A136" s="1" t="s">
        <v>442</v>
      </c>
      <c r="B136" s="4" t="str">
        <f>$B$38</f>
        <v>From Fiscal</v>
      </c>
      <c r="D136" s="15">
        <f>'Fiscal Forecasts'!D$217-D$134</f>
        <v>0.68400000000000005</v>
      </c>
      <c r="E136" s="15">
        <f>'Fiscal Forecasts'!E$217-E$134</f>
        <v>0.70799999999999996</v>
      </c>
      <c r="F136" s="16">
        <f>'Fiscal Forecasts'!F$217-F$134</f>
        <v>0.73299999999999987</v>
      </c>
      <c r="G136" s="16">
        <f>'Fiscal Forecasts'!G$217-G$134</f>
        <v>0.89300000000000002</v>
      </c>
      <c r="H136" s="16">
        <f>'Fiscal Forecasts'!H$217-H$134</f>
        <v>0.94399999999999995</v>
      </c>
      <c r="I136" s="16">
        <f>'Fiscal Forecasts'!I$217-I$134</f>
        <v>0.95200000000000018</v>
      </c>
      <c r="J136" s="16">
        <f>'Fiscal Forecasts'!J$217-J$134</f>
        <v>0.96099999999999985</v>
      </c>
      <c r="K136" s="7">
        <f ca="1">IF(K$6=OFFSET(Assumptions!$B$8,0,$C$1),AVERAGE(H$136/H$13,I$136/I$13,J$136/J$13),J$136/J$13)*K$13</f>
        <v>1.0361884672782684</v>
      </c>
      <c r="L136" s="7">
        <f ca="1">IF(L$6=OFFSET(Assumptions!$B$8,0,$C$1),AVERAGE(I$136/I$13,J$136/J$13,K$136/K$13),K$136/K$13)*L$13</f>
        <v>1.0816496099856785</v>
      </c>
      <c r="M136" s="7">
        <f ca="1">IF(M$6=OFFSET(Assumptions!$B$8,0,$C$1),AVERAGE(J$136/J$13,K$136/K$13,L$136/L$13),L$136/L$13)*M$13</f>
        <v>1.128917478206436</v>
      </c>
      <c r="N136" s="7">
        <f ca="1">IF(N$6=OFFSET(Assumptions!$B$8,0,$C$1),AVERAGE(K$136/K$13,L$136/L$13,M$136/M$13),M$136/M$13)*N$13</f>
        <v>1.1781975696058897</v>
      </c>
      <c r="O136" s="7">
        <f ca="1">IF(O$6=OFFSET(Assumptions!$B$8,0,$C$1),AVERAGE(L$136/L$13,M$136/M$13,N$136/N$13),N$136/N$13)*O$13</f>
        <v>1.2291163919951318</v>
      </c>
      <c r="P136" s="7">
        <f ca="1">IF(P$6=OFFSET(Assumptions!$B$8,0,$C$1),AVERAGE(M$136/M$13,N$136/N$13,O$136/O$13),O$136/O$13)*P$13</f>
        <v>1.2818750475476279</v>
      </c>
      <c r="Q136" s="7">
        <f ca="1">IF(Q$6=OFFSET(Assumptions!$B$8,0,$C$1),AVERAGE(N$136/N$13,O$136/O$13,P$136/P$13),P$136/P$13)*Q$13</f>
        <v>1.3363919363218804</v>
      </c>
      <c r="R136" s="7">
        <f ca="1">IF(R$6=OFFSET(Assumptions!$B$8,0,$C$1),AVERAGE(O$136/O$13,P$136/P$13,Q$136/Q$13),Q$136/Q$13)*R$13</f>
        <v>1.3926062672821069</v>
      </c>
      <c r="S136" s="7">
        <f ca="1">IF(S$6=OFFSET(Assumptions!$B$8,0,$C$1),AVERAGE(P$136/P$13,Q$136/Q$13,R$136/R$13),R$136/R$13)*S$13</f>
        <v>1.450773211084383</v>
      </c>
      <c r="T136" s="7">
        <f ca="1">IF(T$6=OFFSET(Assumptions!$B$8,0,$C$1),AVERAGE(Q$136/Q$13,R$136/R$13,S$136/S$13),S$136/S$13)*T$13</f>
        <v>1.5108024362373547</v>
      </c>
    </row>
    <row r="137" spans="1:20" ht="15" x14ac:dyDescent="0.25">
      <c r="A137" s="2" t="s">
        <v>443</v>
      </c>
      <c r="D137" s="35">
        <f t="shared" ref="D137:T137" si="86">SUM(D$134:D$136)</f>
        <v>4.9530000000000003</v>
      </c>
      <c r="E137" s="35">
        <f t="shared" si="86"/>
        <v>4.6429999999999998</v>
      </c>
      <c r="F137" s="34">
        <f t="shared" si="86"/>
        <v>4.9869999999999992</v>
      </c>
      <c r="G137" s="34">
        <f t="shared" si="86"/>
        <v>5.0789999999999997</v>
      </c>
      <c r="H137" s="34">
        <f t="shared" si="86"/>
        <v>5.4219999999999997</v>
      </c>
      <c r="I137" s="34">
        <f t="shared" si="86"/>
        <v>5.8259999999999996</v>
      </c>
      <c r="J137" s="34">
        <f t="shared" si="86"/>
        <v>6.0400000000000009</v>
      </c>
      <c r="K137" s="38">
        <f t="shared" ca="1" si="86"/>
        <v>6.390225415398695</v>
      </c>
      <c r="L137" s="38">
        <f t="shared" ca="1" si="86"/>
        <v>6.6854924511913154</v>
      </c>
      <c r="M137" s="38">
        <f t="shared" ca="1" si="86"/>
        <v>6.9813872188752946</v>
      </c>
      <c r="N137" s="38">
        <f t="shared" ca="1" si="86"/>
        <v>7.2923991309253058</v>
      </c>
      <c r="O137" s="38">
        <f t="shared" ca="1" si="86"/>
        <v>7.6145549855713925</v>
      </c>
      <c r="P137" s="38">
        <f t="shared" ca="1" si="86"/>
        <v>7.9551538791972671</v>
      </c>
      <c r="Q137" s="38">
        <f t="shared" ca="1" si="86"/>
        <v>8.2885095166838454</v>
      </c>
      <c r="R137" s="38">
        <f t="shared" ca="1" si="86"/>
        <v>8.6443943595101693</v>
      </c>
      <c r="S137" s="38">
        <f t="shared" ca="1" si="86"/>
        <v>9.0043120858139911</v>
      </c>
      <c r="T137" s="38">
        <f t="shared" ca="1" si="86"/>
        <v>9.3921269606970235</v>
      </c>
    </row>
    <row r="138" spans="1:20" ht="15" x14ac:dyDescent="0.25">
      <c r="A138" s="2"/>
      <c r="D138" s="47"/>
      <c r="E138" s="47"/>
      <c r="F138" s="48"/>
      <c r="G138" s="48"/>
      <c r="H138" s="48"/>
      <c r="I138" s="48"/>
      <c r="J138" s="48"/>
      <c r="K138" s="48"/>
      <c r="L138" s="48"/>
      <c r="M138" s="48"/>
      <c r="N138" s="48"/>
      <c r="O138" s="48"/>
      <c r="P138" s="48"/>
      <c r="Q138" s="48"/>
      <c r="R138" s="48"/>
      <c r="S138" s="48"/>
      <c r="T138" s="48"/>
    </row>
    <row r="139" spans="1:20" x14ac:dyDescent="0.2">
      <c r="A139" s="19" t="s">
        <v>145</v>
      </c>
    </row>
    <row r="140" spans="1:20" ht="15" x14ac:dyDescent="0.25">
      <c r="A140" s="2" t="s">
        <v>444</v>
      </c>
      <c r="B140" s="4" t="str">
        <f>$B$38</f>
        <v>From Fiscal</v>
      </c>
      <c r="D140" s="40">
        <f>'Fiscal Forecasts'!D$152</f>
        <v>1.393</v>
      </c>
      <c r="E140" s="40">
        <f>'Fiscal Forecasts'!E$152</f>
        <v>1.4530000000000001</v>
      </c>
      <c r="F140" s="39">
        <f>'Fiscal Forecasts'!F$152</f>
        <v>1.6020000000000001</v>
      </c>
      <c r="G140" s="39">
        <f>'Fiscal Forecasts'!G$152</f>
        <v>1.639</v>
      </c>
      <c r="H140" s="39">
        <f>'Fiscal Forecasts'!H$152</f>
        <v>1.679</v>
      </c>
      <c r="I140" s="39">
        <f>'Fiscal Forecasts'!I$152</f>
        <v>1.6910000000000001</v>
      </c>
      <c r="J140" s="39">
        <f>'Fiscal Forecasts'!J$152</f>
        <v>1.6819999999999999</v>
      </c>
      <c r="K140" s="8">
        <f ca="1">IF(K$6=OFFSET(Assumptions!$B$8,0,$C$1),AVERAGE(H$140/H$13,I$140/I$13,J$140/J$13),J$140/J$13)*K$13</f>
        <v>1.8326925392142508</v>
      </c>
      <c r="L140" s="8">
        <f ca="1">IF(L$6=OFFSET(Assumptions!$B$8,0,$C$1),AVERAGE(I$140/I$13,J$140/J$13,K$140/K$13),K$140/K$13)*L$13</f>
        <v>1.9130990479673056</v>
      </c>
      <c r="M140" s="8">
        <f ca="1">IF(M$6=OFFSET(Assumptions!$B$8,0,$C$1),AVERAGE(J$140/J$13,K$140/K$13,L$140/L$13),L$140/L$13)*M$13</f>
        <v>1.9967010877200611</v>
      </c>
      <c r="N140" s="8">
        <f ca="1">IF(N$6=OFFSET(Assumptions!$B$8,0,$C$1),AVERAGE(K$140/K$13,L$140/L$13,M$140/M$13),M$140/M$13)*N$13</f>
        <v>2.0838621194161617</v>
      </c>
      <c r="O140" s="8">
        <f ca="1">IF(O$6=OFFSET(Assumptions!$B$8,0,$C$1),AVERAGE(L$140/L$13,M$140/M$13,N$140/N$13),N$140/N$13)*O$13</f>
        <v>2.1739215524683915</v>
      </c>
      <c r="P140" s="8">
        <f ca="1">IF(P$6=OFFSET(Assumptions!$B$8,0,$C$1),AVERAGE(M$140/M$13,N$140/N$13,O$140/O$13),O$140/O$13)*P$13</f>
        <v>2.2672350735733007</v>
      </c>
      <c r="Q140" s="8">
        <f ca="1">IF(Q$6=OFFSET(Assumptions!$B$8,0,$C$1),AVERAGE(N$140/N$13,O$140/O$13,P$140/P$13),P$140/P$13)*Q$13</f>
        <v>2.3636583580170889</v>
      </c>
      <c r="R140" s="8">
        <f ca="1">IF(R$6=OFFSET(Assumptions!$B$8,0,$C$1),AVERAGE(O$140/O$13,P$140/P$13,Q$140/Q$13),Q$140/Q$13)*R$13</f>
        <v>2.4630838855162875</v>
      </c>
      <c r="S140" s="8">
        <f ca="1">IF(S$6=OFFSET(Assumptions!$B$8,0,$C$1),AVERAGE(P$140/P$13,Q$140/Q$13,R$140/R$13),R$140/R$13)*S$13</f>
        <v>2.5659629729619673</v>
      </c>
      <c r="T140" s="8">
        <f ca="1">IF(T$6=OFFSET(Assumptions!$B$8,0,$C$1),AVERAGE(Q$140/Q$13,R$140/R$13,S$140/S$13),S$140/S$13)*T$13</f>
        <v>2.6721358522660941</v>
      </c>
    </row>
    <row r="141" spans="1:20" ht="15" x14ac:dyDescent="0.25">
      <c r="A141" s="2" t="s">
        <v>445</v>
      </c>
      <c r="B141" s="4" t="str">
        <f>$B$38</f>
        <v>From Fiscal</v>
      </c>
      <c r="D141" s="40">
        <f>'Fiscal Forecasts'!D$11</f>
        <v>16.866</v>
      </c>
      <c r="E141" s="40">
        <f>'Fiscal Forecasts'!E$11</f>
        <v>16.364000000000001</v>
      </c>
      <c r="F141" s="39">
        <f>'Fiscal Forecasts'!F$11</f>
        <v>17.048999999999999</v>
      </c>
      <c r="G141" s="39">
        <f>'Fiscal Forecasts'!G$11</f>
        <v>17.523</v>
      </c>
      <c r="H141" s="39">
        <f>'Fiscal Forecasts'!H$11</f>
        <v>18.190999999999999</v>
      </c>
      <c r="I141" s="39">
        <f>'Fiscal Forecasts'!I$11</f>
        <v>18.8</v>
      </c>
      <c r="J141" s="39">
        <f>'Fiscal Forecasts'!J$11</f>
        <v>19.202000000000002</v>
      </c>
      <c r="K141" s="8">
        <f ca="1">SUM(K$140,IF(K$6=OFFSET(Assumptions!$B$8,0,$C$1),AVERAGE((H$141-H$140)/H$13,(I$141-I$140)/I$13,(J$141-J$140)/J$13),(J$141-J$140)/J$13)*K$13)</f>
        <v>20.369614052081403</v>
      </c>
      <c r="L141" s="8">
        <f ca="1">SUM(L$140,IF(L$6=OFFSET(Assumptions!$B$8,0,$C$1),AVERAGE((I$141-I$140)/I$13,(J$141-J$140)/J$13,(K$141-K$140)/K$13),(K$141-K$140)/K$13)*L$13)</f>
        <v>21.263298898573574</v>
      </c>
      <c r="M141" s="8">
        <f ca="1">SUM(M$140,IF(M$6=OFFSET(Assumptions!$B$8,0,$C$1),AVERAGE((J$141-J$140)/J$13,(K$141-K$140)/K$13,(L$141-L$140)/L$13),(L$141-L$140)/L$13)*M$13)</f>
        <v>22.192500740831584</v>
      </c>
      <c r="N141" s="8">
        <f ca="1">SUM(N$140,IF(N$6=OFFSET(Assumptions!$B$8,0,$C$1),AVERAGE((K$141-K$140)/K$13,(L$141-L$140)/L$13,(M$141-M$140)/M$13),(M$141-M$140)/M$13)*N$13)</f>
        <v>23.161259295821939</v>
      </c>
      <c r="O141" s="8">
        <f ca="1">SUM(O$140,IF(O$6=OFFSET(Assumptions!$B$8,0,$C$1),AVERAGE((L$141-L$140)/L$13,(M$141-M$140)/M$13,(N$141-N$140)/N$13),(N$141-N$140)/N$13)*O$13)</f>
        <v>24.162232374377549</v>
      </c>
      <c r="P141" s="8">
        <f ca="1">SUM(P$140,IF(P$6=OFFSET(Assumptions!$B$8,0,$C$1),AVERAGE((M$141-M$140)/M$13,(N$141-N$140)/N$13,(O$141-O$140)/O$13),(O$141-O$140)/O$13)*P$13)</f>
        <v>25.199373285947296</v>
      </c>
      <c r="Q141" s="8">
        <f ca="1">SUM(Q$140,IF(Q$6=OFFSET(Assumptions!$B$8,0,$C$1),AVERAGE((N$141-N$140)/N$13,(O$141-O$140)/O$13,(P$141-P$140)/P$13),(P$141-P$140)/P$13)*Q$13)</f>
        <v>26.271077921464681</v>
      </c>
      <c r="R141" s="8">
        <f ca="1">SUM(R$140,IF(R$6=OFFSET(Assumptions!$B$8,0,$C$1),AVERAGE((O$141-O$140)/O$13,(P$141-P$140)/P$13,(Q$141-Q$140)/Q$13),(Q$141-Q$140)/Q$13)*R$13)</f>
        <v>27.376151237773147</v>
      </c>
      <c r="S141" s="8">
        <f ca="1">SUM(S$140,IF(S$6=OFFSET(Assumptions!$B$8,0,$C$1),AVERAGE((P$141-P$140)/P$13,(Q$141-Q$140)/Q$13,(R$141-R$140)/R$13),(R$141-R$140)/R$13)*S$13)</f>
        <v>28.519609434093027</v>
      </c>
      <c r="T141" s="8">
        <f ca="1">SUM(T$140,IF(T$6=OFFSET(Assumptions!$B$8,0,$C$1),AVERAGE((Q$141-Q$140)/Q$13,(R$141-R$140)/R$13,(S$141-S$140)/S$13),(S$141-S$140)/S$13)*T$13)</f>
        <v>29.699676754687086</v>
      </c>
    </row>
    <row r="142" spans="1:20" ht="15" x14ac:dyDescent="0.25">
      <c r="A142" s="2"/>
      <c r="B142" s="4"/>
      <c r="D142" s="40"/>
      <c r="E142" s="40"/>
      <c r="F142" s="39"/>
      <c r="G142" s="39"/>
      <c r="H142" s="39"/>
      <c r="I142" s="39"/>
      <c r="J142" s="39"/>
      <c r="K142" s="8"/>
      <c r="L142" s="8"/>
      <c r="M142" s="8"/>
      <c r="N142" s="8"/>
      <c r="O142" s="8"/>
      <c r="P142" s="8"/>
      <c r="Q142" s="8"/>
      <c r="R142" s="8"/>
      <c r="S142" s="8"/>
      <c r="T142" s="8"/>
    </row>
    <row r="143" spans="1:20" x14ac:dyDescent="0.2">
      <c r="A143" s="19" t="s">
        <v>146</v>
      </c>
    </row>
    <row r="144" spans="1:20" x14ac:dyDescent="0.2">
      <c r="A144" s="1" t="s">
        <v>660</v>
      </c>
      <c r="D144" s="15">
        <f t="shared" ref="D144:T144" si="87">D$374</f>
        <v>0.60399999999999998</v>
      </c>
      <c r="E144" s="15">
        <f t="shared" si="87"/>
        <v>0.60299999999999998</v>
      </c>
      <c r="F144" s="16">
        <f t="shared" si="87"/>
        <v>0.60199999999999998</v>
      </c>
      <c r="G144" s="16">
        <f t="shared" si="87"/>
        <v>0.59499999999999997</v>
      </c>
      <c r="H144" s="16">
        <f t="shared" si="87"/>
        <v>0.59099999999999997</v>
      </c>
      <c r="I144" s="16">
        <f t="shared" si="87"/>
        <v>0.58399999999999996</v>
      </c>
      <c r="J144" s="16">
        <f t="shared" si="87"/>
        <v>0.57099999999999995</v>
      </c>
      <c r="K144" s="7">
        <f t="shared" si="87"/>
        <v>0.57499999999999996</v>
      </c>
      <c r="L144" s="7">
        <f t="shared" si="87"/>
        <v>0.57899999999999996</v>
      </c>
      <c r="M144" s="7">
        <f t="shared" si="87"/>
        <v>0.58499999999999996</v>
      </c>
      <c r="N144" s="7">
        <f t="shared" si="87"/>
        <v>0.59099999999999997</v>
      </c>
      <c r="O144" s="7">
        <f t="shared" si="87"/>
        <v>0.59699999999999998</v>
      </c>
      <c r="P144" s="7">
        <f t="shared" si="87"/>
        <v>0.60299999999999998</v>
      </c>
      <c r="Q144" s="7">
        <f t="shared" si="87"/>
        <v>0.60899999999999999</v>
      </c>
      <c r="R144" s="7">
        <f t="shared" si="87"/>
        <v>0.61599999999999999</v>
      </c>
      <c r="S144" s="7">
        <f t="shared" si="87"/>
        <v>0.622</v>
      </c>
      <c r="T144" s="7">
        <f t="shared" si="87"/>
        <v>0.627</v>
      </c>
    </row>
    <row r="145" spans="1:21" x14ac:dyDescent="0.2">
      <c r="A145" s="1" t="s">
        <v>661</v>
      </c>
      <c r="D145" s="15">
        <f>D$347</f>
        <v>0.76</v>
      </c>
      <c r="E145" s="15">
        <f>E$347</f>
        <v>0.752</v>
      </c>
      <c r="F145" s="16">
        <f>F$347</f>
        <v>0.83299999999999996</v>
      </c>
      <c r="G145" s="16">
        <f t="shared" ref="G145:J145" si="88">G$347</f>
        <v>0.81299999999999994</v>
      </c>
      <c r="H145" s="16">
        <f t="shared" si="88"/>
        <v>0.874</v>
      </c>
      <c r="I145" s="16">
        <f t="shared" si="88"/>
        <v>0.93799999999999994</v>
      </c>
      <c r="J145" s="16">
        <f t="shared" si="88"/>
        <v>1.006</v>
      </c>
      <c r="K145" s="7">
        <f ca="1">K$347</f>
        <v>0.91550967740615741</v>
      </c>
      <c r="L145" s="7">
        <f t="shared" ref="L145:T145" ca="1" si="89">L$347</f>
        <v>1.032657405900675</v>
      </c>
      <c r="M145" s="7">
        <f t="shared" ca="1" si="89"/>
        <v>1.1574051955358633</v>
      </c>
      <c r="N145" s="7">
        <f t="shared" ca="1" si="89"/>
        <v>1.2895340838300289</v>
      </c>
      <c r="O145" s="7">
        <f t="shared" ca="1" si="89"/>
        <v>1.4288717789992951</v>
      </c>
      <c r="P145" s="7">
        <f t="shared" ca="1" si="89"/>
        <v>1.5648429242530302</v>
      </c>
      <c r="Q145" s="7">
        <f t="shared" ca="1" si="89"/>
        <v>1.6729790028641707</v>
      </c>
      <c r="R145" s="7">
        <f t="shared" ca="1" si="89"/>
        <v>1.7799085985840444</v>
      </c>
      <c r="S145" s="7">
        <f t="shared" ca="1" si="89"/>
        <v>1.8860201346038181</v>
      </c>
      <c r="T145" s="7">
        <f t="shared" ca="1" si="89"/>
        <v>1.9917315326599156</v>
      </c>
    </row>
    <row r="146" spans="1:21" x14ac:dyDescent="0.2">
      <c r="A146" s="1" t="s">
        <v>662</v>
      </c>
      <c r="B146" s="4" t="str">
        <f>$B$38</f>
        <v>From Fiscal</v>
      </c>
      <c r="D146" s="15">
        <f>'Fiscal Forecasts'!D$153-SUM(D$144:D$145)</f>
        <v>1.0880000000000001</v>
      </c>
      <c r="E146" s="15">
        <f>'Fiscal Forecasts'!E$153-SUM(E$144:E$145)</f>
        <v>1.0339999999999998</v>
      </c>
      <c r="F146" s="16">
        <f>'Fiscal Forecasts'!F$153-SUM(F$144:F$145)</f>
        <v>1.1909999999999998</v>
      </c>
      <c r="G146" s="16">
        <f>'Fiscal Forecasts'!G$153-SUM(G$144:G$145)</f>
        <v>1.1040000000000001</v>
      </c>
      <c r="H146" s="16">
        <f>'Fiscal Forecasts'!H$153-SUM(H$144:H$145)</f>
        <v>1.1040000000000001</v>
      </c>
      <c r="I146" s="16">
        <f>'Fiscal Forecasts'!I$153-SUM(I$144:I$145)</f>
        <v>1.2040000000000002</v>
      </c>
      <c r="J146" s="16">
        <f>'Fiscal Forecasts'!J$153-SUM(J$144:J$145)</f>
        <v>1.323</v>
      </c>
      <c r="K146" s="7">
        <f t="shared" ref="K146:T146" ca="1" si="90">AVERAGE(SUM(J$317,J$330,J$339,J$363),SUM(K$317,K$330,K$339,K$363))*K$208</f>
        <v>1.1614007143445426</v>
      </c>
      <c r="L146" s="7">
        <f t="shared" ca="1" si="90"/>
        <v>1.3199777379673325</v>
      </c>
      <c r="M146" s="7">
        <f t="shared" ca="1" si="90"/>
        <v>1.4840571283345985</v>
      </c>
      <c r="N146" s="7">
        <f t="shared" ca="1" si="90"/>
        <v>1.651215826161786</v>
      </c>
      <c r="O146" s="7">
        <f t="shared" ca="1" si="90"/>
        <v>1.8190420054753142</v>
      </c>
      <c r="P146" s="7">
        <f t="shared" ca="1" si="90"/>
        <v>1.9847215301304526</v>
      </c>
      <c r="Q146" s="7">
        <f t="shared" ca="1" si="90"/>
        <v>2.1533886838024809</v>
      </c>
      <c r="R146" s="7">
        <f t="shared" ca="1" si="90"/>
        <v>2.244459364137561</v>
      </c>
      <c r="S146" s="7">
        <f t="shared" ca="1" si="90"/>
        <v>2.3385320252641435</v>
      </c>
      <c r="T146" s="7">
        <f t="shared" ca="1" si="90"/>
        <v>2.4357422388386505</v>
      </c>
    </row>
    <row r="147" spans="1:21" ht="15" x14ac:dyDescent="0.25">
      <c r="A147" s="2" t="s">
        <v>663</v>
      </c>
      <c r="D147" s="35">
        <f t="shared" ref="D147:T147" si="91">SUM(D$144:D$146)</f>
        <v>2.452</v>
      </c>
      <c r="E147" s="35">
        <f t="shared" si="91"/>
        <v>2.3889999999999998</v>
      </c>
      <c r="F147" s="34">
        <f t="shared" si="91"/>
        <v>2.6259999999999999</v>
      </c>
      <c r="G147" s="34">
        <f t="shared" si="91"/>
        <v>2.512</v>
      </c>
      <c r="H147" s="34">
        <f t="shared" si="91"/>
        <v>2.569</v>
      </c>
      <c r="I147" s="34">
        <f t="shared" si="91"/>
        <v>2.726</v>
      </c>
      <c r="J147" s="34">
        <f t="shared" si="91"/>
        <v>2.9</v>
      </c>
      <c r="K147" s="38">
        <f t="shared" ca="1" si="91"/>
        <v>2.6519103917506999</v>
      </c>
      <c r="L147" s="38">
        <f t="shared" ca="1" si="91"/>
        <v>2.9316351438680073</v>
      </c>
      <c r="M147" s="38">
        <f t="shared" ca="1" si="91"/>
        <v>3.2264623238704617</v>
      </c>
      <c r="N147" s="38">
        <f t="shared" ca="1" si="91"/>
        <v>3.5317499099918148</v>
      </c>
      <c r="O147" s="38">
        <f t="shared" ca="1" si="91"/>
        <v>3.8449137844746089</v>
      </c>
      <c r="P147" s="38">
        <f t="shared" ca="1" si="91"/>
        <v>4.1525644543834828</v>
      </c>
      <c r="Q147" s="38">
        <f t="shared" ca="1" si="91"/>
        <v>4.4353676866666518</v>
      </c>
      <c r="R147" s="38">
        <f t="shared" ca="1" si="91"/>
        <v>4.640367962721605</v>
      </c>
      <c r="S147" s="38">
        <f t="shared" ca="1" si="91"/>
        <v>4.8465521598679615</v>
      </c>
      <c r="T147" s="38">
        <f t="shared" ca="1" si="91"/>
        <v>5.0544737714985661</v>
      </c>
    </row>
    <row r="148" spans="1:21" x14ac:dyDescent="0.2">
      <c r="A148" s="1" t="s">
        <v>279</v>
      </c>
      <c r="B148" s="4" t="str">
        <f>$B$38</f>
        <v>From Fiscal</v>
      </c>
      <c r="D148" s="15">
        <f>'Fiscal Forecasts'!D$220</f>
        <v>1.429</v>
      </c>
      <c r="E148" s="15">
        <f>'Fiscal Forecasts'!E$220</f>
        <v>1.484</v>
      </c>
      <c r="F148" s="16">
        <f>'Fiscal Forecasts'!F$220</f>
        <v>1.4390000000000001</v>
      </c>
      <c r="G148" s="16">
        <f>'Fiscal Forecasts'!G$220</f>
        <v>1.405</v>
      </c>
      <c r="H148" s="16">
        <f>'Fiscal Forecasts'!H$220</f>
        <v>1.4339999999999999</v>
      </c>
      <c r="I148" s="16">
        <f>'Fiscal Forecasts'!I$220</f>
        <v>1.468</v>
      </c>
      <c r="J148" s="16">
        <f>'Fiscal Forecasts'!J$220</f>
        <v>1.4730000000000001</v>
      </c>
      <c r="K148" s="7">
        <f>J$148*Exogenous!R$27/Exogenous!Q$27</f>
        <v>1.5457492979639642</v>
      </c>
      <c r="L148" s="7">
        <f>K$148*Exogenous!S$27/Exogenous!R$27</f>
        <v>1.619270983181414</v>
      </c>
      <c r="M148" s="7">
        <f>L$148*Exogenous!T$27/Exogenous!S$27</f>
        <v>1.6950323900558202</v>
      </c>
      <c r="N148" s="7">
        <f>M$148*Exogenous!U$27/Exogenous!T$27</f>
        <v>1.7715047915771411</v>
      </c>
      <c r="O148" s="7">
        <f>N$148*Exogenous!V$27/Exogenous!U$27</f>
        <v>1.8502007566229199</v>
      </c>
      <c r="P148" s="7">
        <f>O$148*Exogenous!W$27/Exogenous!V$27</f>
        <v>1.9331273193381986</v>
      </c>
      <c r="Q148" s="7">
        <f>P$148*Exogenous!X$27/Exogenous!W$27</f>
        <v>2.0186362868072778</v>
      </c>
      <c r="R148" s="7">
        <f>Q$148*Exogenous!Y$27/Exogenous!X$27</f>
        <v>2.1060985592207238</v>
      </c>
      <c r="S148" s="7">
        <f>R$148*Exogenous!Z$27/Exogenous!Y$27</f>
        <v>2.1962505664436263</v>
      </c>
      <c r="T148" s="7">
        <f>S$148*Exogenous!AA$27/Exogenous!Z$27</f>
        <v>2.2894378346124</v>
      </c>
    </row>
    <row r="149" spans="1:21" x14ac:dyDescent="0.2">
      <c r="A149" s="1" t="s">
        <v>506</v>
      </c>
      <c r="B149" s="4" t="str">
        <f>$B$38</f>
        <v>From Fiscal</v>
      </c>
      <c r="D149" s="15">
        <f>'Fiscal Forecasts'!D$221</f>
        <v>1.0429999999999999</v>
      </c>
      <c r="E149" s="15">
        <f>'Fiscal Forecasts'!E$221</f>
        <v>0.997</v>
      </c>
      <c r="F149" s="16">
        <f>'Fiscal Forecasts'!F$221</f>
        <v>0.91200000000000003</v>
      </c>
      <c r="G149" s="16">
        <f>'Fiscal Forecasts'!G$221</f>
        <v>1.02</v>
      </c>
      <c r="H149" s="16">
        <f>'Fiscal Forecasts'!H$221</f>
        <v>1.0760000000000001</v>
      </c>
      <c r="I149" s="16">
        <f>'Fiscal Forecasts'!I$221</f>
        <v>1.143</v>
      </c>
      <c r="J149" s="16">
        <f>'Fiscal Forecasts'!J$221</f>
        <v>1.1970000000000001</v>
      </c>
      <c r="K149" s="7">
        <f t="shared" ref="K149:T149" ca="1" si="92">AVERAGE(SUM(J$319-J$318,J$333,J$342,J$365),SUM(K$319-K$318,K$333,K$342,K$365))*K$208</f>
        <v>1.2162961792704101</v>
      </c>
      <c r="L149" s="7">
        <f t="shared" ca="1" si="92"/>
        <v>1.3261293870502915</v>
      </c>
      <c r="M149" s="7">
        <f t="shared" ca="1" si="92"/>
        <v>1.4488717295252223</v>
      </c>
      <c r="N149" s="7">
        <f t="shared" ca="1" si="92"/>
        <v>1.5801480304526334</v>
      </c>
      <c r="O149" s="7">
        <f t="shared" ca="1" si="92"/>
        <v>1.7203362668523745</v>
      </c>
      <c r="P149" s="7">
        <f t="shared" ca="1" si="92"/>
        <v>1.869812526422155</v>
      </c>
      <c r="Q149" s="7">
        <f t="shared" ca="1" si="92"/>
        <v>2.028714393482165</v>
      </c>
      <c r="R149" s="7">
        <f t="shared" ca="1" si="92"/>
        <v>2.1145123738512939</v>
      </c>
      <c r="S149" s="7">
        <f t="shared" ca="1" si="92"/>
        <v>2.2031385299633754</v>
      </c>
      <c r="T149" s="7">
        <f t="shared" ca="1" si="92"/>
        <v>2.2947205843112415</v>
      </c>
    </row>
    <row r="150" spans="1:21" x14ac:dyDescent="0.2">
      <c r="A150" s="1" t="s">
        <v>507</v>
      </c>
      <c r="B150" s="4" t="str">
        <f>$B$38</f>
        <v>From Fiscal</v>
      </c>
      <c r="D150" s="15">
        <f>'Fiscal Forecasts'!D$222</f>
        <v>-1.4</v>
      </c>
      <c r="E150" s="15">
        <f>'Fiscal Forecasts'!E$222</f>
        <v>-1.2669999999999999</v>
      </c>
      <c r="F150" s="16">
        <f>'Fiscal Forecasts'!F$222</f>
        <v>-1.351</v>
      </c>
      <c r="G150" s="16">
        <f>'Fiscal Forecasts'!G$222</f>
        <v>-1.165</v>
      </c>
      <c r="H150" s="16">
        <f>'Fiscal Forecasts'!H$222</f>
        <v>-1.1579999999999999</v>
      </c>
      <c r="I150" s="16">
        <f>'Fiscal Forecasts'!I$222</f>
        <v>-1.1950000000000001</v>
      </c>
      <c r="J150" s="16">
        <f>'Fiscal Forecasts'!J$222</f>
        <v>-1.2090000000000001</v>
      </c>
      <c r="K150" s="7">
        <f ca="1">IF(K$6=OFFSET(Assumptions!$B$8,0,$C$1),AVERAGE(H$150/SUM(H$147:H$149),I$150/SUM(I$147:I$149),J$150/SUM(J$147:J$149)),J$150/SUM(J$147:J$149))*SUM(K$147:K$149)</f>
        <v>-1.2072433212180742</v>
      </c>
      <c r="L150" s="7">
        <f ca="1">IF(L$6=OFFSET(Assumptions!$B$8,0,$C$1),AVERAGE(I$150/SUM(I$147:I$149),J$150/SUM(J$147:J$149),K$150/SUM(K$147:K$149)),K$150/SUM(K$147:K$149))*SUM(L$147:L$149)</f>
        <v>-1.3105041940965014</v>
      </c>
      <c r="M150" s="7">
        <f ca="1">IF(M$6=OFFSET(Assumptions!$B$8,0,$C$1),AVERAGE(J$150/SUM(J$147:J$149),K$150/SUM(K$147:K$149),L$150/SUM(L$147:L$149)),L$150/SUM(L$147:L$149))*SUM(M$147:M$149)</f>
        <v>-1.4205107187196704</v>
      </c>
      <c r="N150" s="7">
        <f ca="1">IF(N$6=OFFSET(Assumptions!$B$8,0,$C$1),AVERAGE(K$150/SUM(K$147:K$149),L$150/SUM(L$147:L$149),M$150/SUM(M$147:M$149)),M$150/SUM(M$147:M$149))*SUM(N$147:N$149)</f>
        <v>-1.5349112878980913</v>
      </c>
      <c r="O150" s="7">
        <f ca="1">IF(O$6=OFFSET(Assumptions!$B$8,0,$C$1),AVERAGE(L$150/SUM(L$147:L$149),M$150/SUM(M$147:M$149),N$150/SUM(N$147:N$149)),N$150/SUM(N$147:N$149))*SUM(O$147:O$149)</f>
        <v>-1.6535512439256226</v>
      </c>
      <c r="P150" s="7">
        <f ca="1">IF(P$6=OFFSET(Assumptions!$B$8,0,$C$1),AVERAGE(M$150/SUM(M$147:M$149),N$150/SUM(N$147:N$149),O$150/SUM(O$147:O$149)),O$150/SUM(O$147:O$149))*SUM(P$147:P$149)</f>
        <v>-1.7739763059928251</v>
      </c>
      <c r="Q150" s="7">
        <f ca="1">IF(Q$6=OFFSET(Assumptions!$B$8,0,$C$1),AVERAGE(N$150/SUM(N$147:N$149),O$150/SUM(O$147:O$149),P$150/SUM(P$147:P$149)),P$150/SUM(P$147:P$149))*SUM(Q$147:Q$149)</f>
        <v>-1.8915383394511132</v>
      </c>
      <c r="R150" s="7">
        <f ca="1">IF(R$6=OFFSET(Assumptions!$B$8,0,$C$1),AVERAGE(O$150/SUM(O$147:O$149),P$150/SUM(P$147:P$149),Q$150/SUM(Q$147:Q$149)),Q$150/SUM(Q$147:Q$149))*SUM(R$147:R$149)</f>
        <v>-1.9758856278609704</v>
      </c>
      <c r="S150" s="7">
        <f ca="1">IF(S$6=OFFSET(Assumptions!$B$8,0,$C$1),AVERAGE(P$150/SUM(P$147:P$149),Q$150/SUM(Q$147:Q$149),R$150/SUM(R$147:R$149)),R$150/SUM(R$147:R$149))*SUM(S$147:S$149)</f>
        <v>-2.061727339514702</v>
      </c>
      <c r="T150" s="7">
        <f ca="1">IF(T$6=OFFSET(Assumptions!$B$8,0,$C$1),AVERAGE(Q$150/SUM(Q$147:Q$149),R$150/SUM(R$147:R$149),S$150/SUM(S$147:S$149)),S$150/SUM(S$147:S$149))*SUM(T$147:T$149)</f>
        <v>-2.1492924248283765</v>
      </c>
    </row>
    <row r="151" spans="1:21" ht="15" x14ac:dyDescent="0.25">
      <c r="A151" s="2" t="s">
        <v>664</v>
      </c>
      <c r="D151" s="35">
        <f t="shared" ref="D151:T151" si="93">SUM(D$147:D$150)</f>
        <v>3.5240000000000005</v>
      </c>
      <c r="E151" s="35">
        <f t="shared" si="93"/>
        <v>3.6030000000000002</v>
      </c>
      <c r="F151" s="34">
        <f t="shared" si="93"/>
        <v>3.6259999999999994</v>
      </c>
      <c r="G151" s="34">
        <f t="shared" si="93"/>
        <v>3.7719999999999994</v>
      </c>
      <c r="H151" s="34">
        <f t="shared" si="93"/>
        <v>3.9210000000000007</v>
      </c>
      <c r="I151" s="34">
        <f t="shared" si="93"/>
        <v>4.1419999999999995</v>
      </c>
      <c r="J151" s="34">
        <f t="shared" si="93"/>
        <v>4.3610000000000007</v>
      </c>
      <c r="K151" s="38">
        <f t="shared" ca="1" si="93"/>
        <v>4.2067125477669993</v>
      </c>
      <c r="L151" s="38">
        <f t="shared" ca="1" si="93"/>
        <v>4.5665313200032109</v>
      </c>
      <c r="M151" s="38">
        <f t="shared" ca="1" si="93"/>
        <v>4.9498557247318331</v>
      </c>
      <c r="N151" s="38">
        <f t="shared" ca="1" si="93"/>
        <v>5.3484914441234981</v>
      </c>
      <c r="O151" s="38">
        <f t="shared" ca="1" si="93"/>
        <v>5.7618995640242812</v>
      </c>
      <c r="P151" s="38">
        <f t="shared" ca="1" si="93"/>
        <v>6.1815279941510113</v>
      </c>
      <c r="Q151" s="38">
        <f t="shared" ca="1" si="93"/>
        <v>6.591180027504981</v>
      </c>
      <c r="R151" s="38">
        <f t="shared" ca="1" si="93"/>
        <v>6.8850932679326533</v>
      </c>
      <c r="S151" s="38">
        <f t="shared" ca="1" si="93"/>
        <v>7.1842139167602621</v>
      </c>
      <c r="T151" s="38">
        <f t="shared" ca="1" si="93"/>
        <v>7.4893397655938312</v>
      </c>
    </row>
    <row r="152" spans="1:21" ht="15" x14ac:dyDescent="0.25">
      <c r="A152" s="2"/>
      <c r="D152" s="47"/>
      <c r="E152" s="47"/>
      <c r="F152" s="48"/>
      <c r="G152" s="48"/>
      <c r="H152" s="48"/>
      <c r="I152" s="48"/>
      <c r="J152" s="48"/>
      <c r="K152" s="49"/>
      <c r="L152" s="49"/>
      <c r="M152" s="49"/>
      <c r="N152" s="49"/>
      <c r="O152" s="49"/>
      <c r="P152" s="49"/>
      <c r="Q152" s="49"/>
      <c r="R152" s="49"/>
      <c r="S152" s="49"/>
      <c r="T152" s="49"/>
    </row>
    <row r="153" spans="1:21" x14ac:dyDescent="0.2">
      <c r="A153" s="19" t="s">
        <v>147</v>
      </c>
    </row>
    <row r="154" spans="1:21" ht="15" x14ac:dyDescent="0.25">
      <c r="A154" s="2" t="s">
        <v>447</v>
      </c>
      <c r="B154" s="4" t="str">
        <f>$B$38</f>
        <v>From Fiscal</v>
      </c>
      <c r="D154" s="40">
        <f>'Fiscal Forecasts'!D$154</f>
        <v>0.73899999999999999</v>
      </c>
      <c r="E154" s="40">
        <f>'Fiscal Forecasts'!E$154</f>
        <v>0.71799999999999997</v>
      </c>
      <c r="F154" s="39">
        <f>'Fiscal Forecasts'!F$154</f>
        <v>0.56000000000000005</v>
      </c>
      <c r="G154" s="39">
        <f>'Fiscal Forecasts'!G$154</f>
        <v>0.64700000000000002</v>
      </c>
      <c r="H154" s="39">
        <f>'Fiscal Forecasts'!H$154</f>
        <v>0.60799999999999998</v>
      </c>
      <c r="I154" s="39">
        <f>'Fiscal Forecasts'!I$154</f>
        <v>0.60799999999999998</v>
      </c>
      <c r="J154" s="39">
        <f>'Fiscal Forecasts'!J$154</f>
        <v>0.60799999999999998</v>
      </c>
      <c r="K154" s="8">
        <f ca="1">IF(K$6=OFFSET(Assumptions!$B$8,0,$C$1),AVERAGE(H$154/H$13,I$154/I$13,J$154/J$13),J$154/J$13)*K$13</f>
        <v>0.66170527965669457</v>
      </c>
      <c r="L154" s="8">
        <f ca="1">IF(L$6=OFFSET(Assumptions!$B$8,0,$C$1),AVERAGE(I$154/I$13,J$154/J$13,K$154/K$13),K$154/K$13)*L$13</f>
        <v>0.69073656025735108</v>
      </c>
      <c r="M154" s="8">
        <f ca="1">IF(M$6=OFFSET(Assumptions!$B$8,0,$C$1),AVERAGE(J$154/J$13,K$154/K$13,L$154/L$13),L$154/L$13)*M$13</f>
        <v>0.72092160761842394</v>
      </c>
      <c r="N154" s="8">
        <f ca="1">IF(N$6=OFFSET(Assumptions!$B$8,0,$C$1),AVERAGE(K$154/K$13,L$154/L$13,M$154/M$13),M$154/M$13)*N$13</f>
        <v>0.75239165162174704</v>
      </c>
      <c r="O154" s="8">
        <f ca="1">IF(O$6=OFFSET(Assumptions!$B$8,0,$C$1),AVERAGE(L$154/L$13,M$154/M$13,N$154/N$13),N$154/N$13)*O$13</f>
        <v>0.78490818184077593</v>
      </c>
      <c r="P154" s="8">
        <f ca="1">IF(P$6=OFFSET(Assumptions!$B$8,0,$C$1),AVERAGE(M$154/M$13,N$154/N$13,O$154/O$13),O$154/O$13)*P$13</f>
        <v>0.81859962121606122</v>
      </c>
      <c r="Q154" s="8">
        <f ca="1">IF(Q$6=OFFSET(Assumptions!$B$8,0,$C$1),AVERAGE(N$154/N$13,O$154/O$13,P$154/P$13),P$154/P$13)*Q$13</f>
        <v>0.85341386039316247</v>
      </c>
      <c r="R154" s="8">
        <f ca="1">IF(R$6=OFFSET(Assumptions!$B$8,0,$C$1),AVERAGE(O$154/O$13,P$154/P$13,Q$154/Q$13),Q$154/Q$13)*R$13</f>
        <v>0.88931207849093374</v>
      </c>
      <c r="S154" s="8">
        <f ca="1">IF(S$6=OFFSET(Assumptions!$B$8,0,$C$1),AVERAGE(P$154/P$13,Q$154/Q$13,R$154/R$13),R$154/R$13)*S$13</f>
        <v>0.92645722633894978</v>
      </c>
      <c r="T154" s="8">
        <f ca="1">IF(T$6=OFFSET(Assumptions!$B$8,0,$C$1),AVERAGE(Q$154/Q$13,R$154/R$13,S$154/S$13),S$154/S$13)*T$13</f>
        <v>0.96479161865443042</v>
      </c>
    </row>
    <row r="155" spans="1:21" ht="15" x14ac:dyDescent="0.25">
      <c r="A155" s="2" t="s">
        <v>448</v>
      </c>
      <c r="B155" s="4" t="str">
        <f>$B$38</f>
        <v>From Fiscal</v>
      </c>
      <c r="D155" s="40">
        <f>'Fiscal Forecasts'!D$13</f>
        <v>3.6150000000000002</v>
      </c>
      <c r="E155" s="40">
        <f>'Fiscal Forecasts'!E$13</f>
        <v>3.8809999999999998</v>
      </c>
      <c r="F155" s="39">
        <f>'Fiscal Forecasts'!F$13</f>
        <v>3.6259999999999999</v>
      </c>
      <c r="G155" s="39">
        <f>'Fiscal Forecasts'!G$13</f>
        <v>3.78</v>
      </c>
      <c r="H155" s="39">
        <f>'Fiscal Forecasts'!H$13</f>
        <v>3.871</v>
      </c>
      <c r="I155" s="39">
        <f>'Fiscal Forecasts'!I$13</f>
        <v>3.9260000000000002</v>
      </c>
      <c r="J155" s="39">
        <f>'Fiscal Forecasts'!J$13</f>
        <v>3.9750000000000001</v>
      </c>
      <c r="K155" s="8">
        <f ca="1">SUM(K$154,IF(K$6=OFFSET(Assumptions!$B$8,0,$C$1),AVERAGE((H$155-H$154)/H$13,(I$155-I$154)/I$13,(J$155-J$154)/J$13),(J$155-J$154)/J$13)*K$13)</f>
        <v>4.2689812064811026</v>
      </c>
      <c r="L155" s="8">
        <f ca="1">SUM(L$154,IF(L$6=OFFSET(Assumptions!$B$8,0,$C$1),AVERAGE((I$155-I$154)/I$13,(J$155-J$154)/J$13,(K$155-K$154)/K$13),(K$155-K$154)/K$13)*L$13)</f>
        <v>4.4562760567633637</v>
      </c>
      <c r="M155" s="8">
        <f ca="1">SUM(M$154,IF(M$6=OFFSET(Assumptions!$B$8,0,$C$1),AVERAGE((J$155-J$154)/J$13,(K$155-K$154)/K$13,(L$155-L$154)/L$13),(L$155-L$154)/L$13)*M$13)</f>
        <v>4.6510144151576283</v>
      </c>
      <c r="N155" s="8">
        <f ca="1">SUM(N$154,IF(N$6=OFFSET(Assumptions!$B$8,0,$C$1),AVERAGE((K$155-K$154)/K$13,(L$155-L$154)/L$13,(M$155-M$154)/M$13),(M$155-M$154)/M$13)*N$13)</f>
        <v>4.8540429091829749</v>
      </c>
      <c r="O155" s="8">
        <f ca="1">SUM(O$154,IF(O$6=OFFSET(Assumptions!$B$8,0,$C$1),AVERAGE((L$155-L$154)/L$13,(M$155-M$154)/M$13,(N$155-N$154)/N$13),(N$155-N$154)/N$13)*O$13)</f>
        <v>5.0638227925730961</v>
      </c>
      <c r="P155" s="8">
        <f ca="1">SUM(P$154,IF(P$6=OFFSET(Assumptions!$B$8,0,$C$1),AVERAGE((M$155-M$154)/M$13,(N$155-N$154)/N$13,(O$155-O$154)/O$13),(O$155-O$154)/O$13)*P$13)</f>
        <v>5.2811825839095219</v>
      </c>
      <c r="Q155" s="8">
        <f ca="1">SUM(Q$154,IF(Q$6=OFFSET(Assumptions!$B$8,0,$C$1),AVERAGE((N$155-N$154)/N$13,(O$155-O$154)/O$13,(P$155-P$154)/P$13),(P$155-P$154)/P$13)*Q$13)</f>
        <v>5.5057861005114921</v>
      </c>
      <c r="R155" s="8">
        <f ca="1">SUM(R$154,IF(R$6=OFFSET(Assumptions!$B$8,0,$C$1),AVERAGE((O$155-O$154)/O$13,(P$155-P$154)/P$13,(Q$155-Q$154)/Q$13),(Q$155-Q$154)/Q$13)*R$13)</f>
        <v>5.7373828900747457</v>
      </c>
      <c r="S155" s="8">
        <f ca="1">SUM(S$154,IF(S$6=OFFSET(Assumptions!$B$8,0,$C$1),AVERAGE((P$155-P$154)/P$13,(Q$155-Q$154)/Q$13,(R$155-R$154)/R$13),(R$155-R$154)/R$13)*S$13)</f>
        <v>5.9770242273139047</v>
      </c>
      <c r="T155" s="8">
        <f ca="1">SUM(T$154,IF(T$6=OFFSET(Assumptions!$B$8,0,$C$1),AVERAGE((Q$155-Q$154)/Q$13,(R$155-R$154)/R$13,(S$155-S$154)/S$13),(S$155-S$154)/S$13)*T$13)</f>
        <v>6.2243379565342085</v>
      </c>
    </row>
    <row r="156" spans="1:21" ht="15" x14ac:dyDescent="0.25">
      <c r="A156" s="2"/>
      <c r="B156" s="4"/>
    </row>
    <row r="157" spans="1:21" x14ac:dyDescent="0.2">
      <c r="A157" s="19" t="s">
        <v>149</v>
      </c>
      <c r="D157" s="7"/>
      <c r="E157" s="7"/>
      <c r="F157" s="7"/>
      <c r="G157" s="7"/>
      <c r="H157" s="7"/>
      <c r="I157" s="7"/>
      <c r="J157" s="7"/>
      <c r="K157" s="7"/>
      <c r="L157" s="7"/>
      <c r="M157" s="7"/>
      <c r="N157" s="7"/>
      <c r="O157" s="7"/>
      <c r="P157" s="7"/>
      <c r="Q157" s="7"/>
      <c r="R157" s="7"/>
      <c r="S157" s="7"/>
      <c r="T157" s="7"/>
      <c r="U157" s="7"/>
    </row>
    <row r="158" spans="1:21" x14ac:dyDescent="0.2">
      <c r="A158" s="1" t="s">
        <v>456</v>
      </c>
      <c r="B158" s="4" t="str">
        <f t="shared" ref="B158:B174" si="94">$B$38</f>
        <v>From Fiscal</v>
      </c>
      <c r="D158" s="15">
        <f>'Fiscal Forecasts'!D$225</f>
        <v>11.590999999999999</v>
      </c>
      <c r="E158" s="15">
        <f>'Fiscal Forecasts'!E$225</f>
        <v>12.266999999999999</v>
      </c>
      <c r="F158" s="16">
        <f>'Fiscal Forecasts'!F$225 +IF($C$2="Yes",'Fiscal Forecast Adjuster'!C$15/1000,0)</f>
        <v>13.042999999999999</v>
      </c>
      <c r="G158" s="16">
        <f>'Fiscal Forecasts'!G$225 +IF($C$2="Yes",'Fiscal Forecast Adjuster'!D$15/1000,0)</f>
        <v>13.682</v>
      </c>
      <c r="H158" s="16">
        <f>'Fiscal Forecasts'!H$225 +IF($C$2="Yes",'Fiscal Forecast Adjuster'!E$15/1000,0)</f>
        <v>14.412000000000001</v>
      </c>
      <c r="I158" s="16">
        <f>'Fiscal Forecasts'!I$225 +IF($C$2="Yes",'Fiscal Forecast Adjuster'!F$15/1000,0)</f>
        <v>15.281000000000001</v>
      </c>
      <c r="J158" s="16">
        <f>'Fiscal Forecasts'!J$225 +IF($C$2="Yes",'Fiscal Forecast Adjuster'!G$15/1000,0)</f>
        <v>16.085000000000001</v>
      </c>
      <c r="K158" s="7">
        <f ca="1">J$158*(1+Population!R$222)*K$179/J$179</f>
        <v>16.97354746578814</v>
      </c>
      <c r="L158" s="7">
        <f ca="1">K$158*(1+Population!S$222)*L$179/K$179</f>
        <v>18.138224267926848</v>
      </c>
      <c r="M158" s="7">
        <f ca="1">L$158*(1+Population!T$222)*M$179/L$179</f>
        <v>19.424978049157961</v>
      </c>
      <c r="N158" s="7">
        <f ca="1">M$158*(1+Population!U$222)*N$179/M$179</f>
        <v>20.786999202166367</v>
      </c>
      <c r="O158" s="7">
        <f ca="1">N$158*(1+Population!V$222)*O$179/N$179</f>
        <v>22.260744586879344</v>
      </c>
      <c r="P158" s="7">
        <f ca="1">O$158*(1+Population!W$222)*P$179/O$179</f>
        <v>23.824398129278425</v>
      </c>
      <c r="Q158" s="7">
        <f ca="1">P$158*(1+Population!X$222)*Q$179/P$179</f>
        <v>25.455360573467452</v>
      </c>
      <c r="R158" s="7">
        <f ca="1">Q$158*(1+Population!Y$222)*R$179/Q$179</f>
        <v>27.130674920841471</v>
      </c>
      <c r="S158" s="7">
        <f ca="1">R$158*(1+Population!Z$222)*S$179/R$179</f>
        <v>28.813697429944327</v>
      </c>
      <c r="T158" s="7">
        <f ca="1">S$158*(1+Population!AA$222)*T$179/S$179</f>
        <v>30.548215985414448</v>
      </c>
    </row>
    <row r="159" spans="1:21" x14ac:dyDescent="0.2">
      <c r="A159" s="1" t="s">
        <v>485</v>
      </c>
      <c r="B159" s="4" t="str">
        <f t="shared" si="94"/>
        <v>From Fiscal</v>
      </c>
      <c r="D159" s="15">
        <f>'Fiscal Forecasts'!D$226</f>
        <v>1.6839999999999999</v>
      </c>
      <c r="E159" s="15">
        <f>'Fiscal Forecasts'!E$226</f>
        <v>1.671</v>
      </c>
      <c r="F159" s="16">
        <f>'Fiscal Forecasts'!F$226 +IF($C$2="Yes",'Fiscal Forecast Adjuster'!C$16/1000,0)</f>
        <v>1.6970000000000001</v>
      </c>
      <c r="G159" s="16">
        <f>'Fiscal Forecasts'!G$226 +IF($C$2="Yes",'Fiscal Forecast Adjuster'!D$16/1000,0)</f>
        <v>1.671</v>
      </c>
      <c r="H159" s="16">
        <f>'Fiscal Forecasts'!H$226 +IF($C$2="Yes",'Fiscal Forecast Adjuster'!E$16/1000,0)</f>
        <v>1.629</v>
      </c>
      <c r="I159" s="16">
        <f>'Fiscal Forecasts'!I$226 +IF($C$2="Yes",'Fiscal Forecast Adjuster'!F$16/1000,0)</f>
        <v>1.5589999999999999</v>
      </c>
      <c r="J159" s="16">
        <f>'Fiscal Forecasts'!J$226 +IF($C$2="Yes",'Fiscal Forecast Adjuster'!G$16/1000,0)</f>
        <v>1.5489999999999999</v>
      </c>
      <c r="K159" s="7">
        <f ca="1">IF(OFFSET(Assumptions!$B$43,0,$C$1)="Yes",IF(K$6=OFFSET(Assumptions!$B$8,0,$C$1),AVERAGE(H$159/SUM(H$159:H$161),I$159/SUM(I$159:I$161),J$159/SUM(J$159:J$161)),J$159/SUM(J$159:J$161))*K$13*(SUM(J$159:J$161)/J$13+MIN(ABS(OFFSET(Assumptions!$B$44,0,$C$1)-SUM(J$159:J$161)/J$13),OFFSET(Assumptions!$B$51,0,$C$1))*SIGN(OFFSET(Assumptions!$B$44,0,$C$1)-SUM(J$159:J$161)/J$13)),J$159*(1+Exogenous!$B$41*Population!R$208+Exogenous!$B$42*Population!R$210+Exogenous!$B$43*Population!R$213+Exogenous!$B$44*Population!R$216+Exogenous!$B$45*Population!R$220+Exogenous!$B$46*Population!R$222)*AVERAGE(1,K$17*K$24/(J$17*J$24))*(1+K$31))</f>
        <v>1.5767655549112438</v>
      </c>
      <c r="L159" s="7">
        <f ca="1">IF(OFFSET(Assumptions!$B$43,0,$C$1)="Yes",IF(L$6=OFFSET(Assumptions!$B$8,0,$C$1),AVERAGE(I$159/SUM(I$159:I$161),J$159/SUM(J$159:J$161),K$159/SUM(K$159:K$161)),K$159/SUM(K$159:K$161))*L$13*(SUM(K$159:K$161)/K$13+MIN(ABS(OFFSET(Assumptions!$B$44,0,$C$1)-SUM(K$159:K$161)/K$13),OFFSET(Assumptions!$B$51,0,$C$1))*SIGN(OFFSET(Assumptions!$B$44,0,$C$1)-SUM(K$159:K$161)/K$13)),K$159*(1+Exogenous!$B$41*Population!S$208+Exogenous!$B$42*Population!S$210+Exogenous!$B$43*Population!S$213+Exogenous!$B$44*Population!S$216+Exogenous!$B$45*Population!S$220+Exogenous!$B$46*Population!S$222)*AVERAGE(1,L$17*L$24/(K$17*K$24))*(1+L$31))</f>
        <v>1.6188582007311196</v>
      </c>
      <c r="M159" s="7">
        <f ca="1">IF(OFFSET(Assumptions!$B$43,0,$C$1)="Yes",IF(M$6=OFFSET(Assumptions!$B$8,0,$C$1),AVERAGE(J$159/SUM(J$159:J$161),K$159/SUM(K$159:K$161),L$159/SUM(L$159:L$161)),L$159/SUM(L$159:L$161))*M$13*(SUM(L$159:L$161)/L$13+MIN(ABS(OFFSET(Assumptions!$B$44,0,$C$1)-SUM(L$159:L$161)/L$13),OFFSET(Assumptions!$B$51,0,$C$1))*SIGN(OFFSET(Assumptions!$B$44,0,$C$1)-SUM(L$159:L$161)/L$13)),L$159*(1+Exogenous!$B$41*Population!T$208+Exogenous!$B$42*Population!T$210+Exogenous!$B$43*Population!T$213+Exogenous!$B$44*Population!T$216+Exogenous!$B$45*Population!T$220+Exogenous!$B$46*Population!T$222)*AVERAGE(1,M$17*M$24/(L$17*L$24))*(1+M$31))</f>
        <v>1.6613221710600528</v>
      </c>
      <c r="N159" s="7">
        <f ca="1">IF(OFFSET(Assumptions!$B$43,0,$C$1)="Yes",IF(N$6=OFFSET(Assumptions!$B$8,0,$C$1),AVERAGE(K$159/SUM(K$159:K$161),L$159/SUM(L$159:L$161),M$159/SUM(M$159:M$161)),M$159/SUM(M$159:M$161))*N$13*(SUM(M$159:M$161)/M$13+MIN(ABS(OFFSET(Assumptions!$B$44,0,$C$1)-SUM(M$159:M$161)/M$13),OFFSET(Assumptions!$B$51,0,$C$1))*SIGN(OFFSET(Assumptions!$B$44,0,$C$1)-SUM(M$159:M$161)/M$13)),M$159*(1+Exogenous!$B$41*Population!U$208+Exogenous!$B$42*Population!U$210+Exogenous!$B$43*Population!U$213+Exogenous!$B$44*Population!U$216+Exogenous!$B$45*Population!U$220+Exogenous!$B$46*Population!U$222)*AVERAGE(1,N$17*N$24/(M$17*M$24))*(1+N$31))</f>
        <v>1.7061748260558149</v>
      </c>
      <c r="O159" s="7">
        <f ca="1">IF(OFFSET(Assumptions!$B$43,0,$C$1)="Yes",IF(O$6=OFFSET(Assumptions!$B$8,0,$C$1),AVERAGE(L$159/SUM(L$159:L$161),M$159/SUM(M$159:M$161),N$159/SUM(N$159:N$161)),N$159/SUM(N$159:N$161))*O$13*(SUM(N$159:N$161)/N$13+MIN(ABS(OFFSET(Assumptions!$B$44,0,$C$1)-SUM(N$159:N$161)/N$13),OFFSET(Assumptions!$B$51,0,$C$1))*SIGN(OFFSET(Assumptions!$B$44,0,$C$1)-SUM(N$159:N$161)/N$13)),N$159*(1+Exogenous!$B$41*Population!V$208+Exogenous!$B$42*Population!V$210+Exogenous!$B$43*Population!V$213+Exogenous!$B$44*Population!V$216+Exogenous!$B$45*Population!V$220+Exogenous!$B$46*Population!V$222)*AVERAGE(1,O$17*O$24/(N$17*N$24))*(1+O$31))</f>
        <v>1.7522188922923556</v>
      </c>
      <c r="P159" s="7">
        <f ca="1">IF(OFFSET(Assumptions!$B$43,0,$C$1)="Yes",IF(P$6=OFFSET(Assumptions!$B$8,0,$C$1),AVERAGE(M$159/SUM(M$159:M$161),N$159/SUM(N$159:N$161),O$159/SUM(O$159:O$161)),O$159/SUM(O$159:O$161))*P$13*(SUM(O$159:O$161)/O$13+MIN(ABS(OFFSET(Assumptions!$B$44,0,$C$1)-SUM(O$159:O$161)/O$13),OFFSET(Assumptions!$B$51,0,$C$1))*SIGN(OFFSET(Assumptions!$B$44,0,$C$1)-SUM(O$159:O$161)/O$13)),O$159*(1+Exogenous!$B$41*Population!W$208+Exogenous!$B$42*Population!W$210+Exogenous!$B$43*Population!W$213+Exogenous!$B$44*Population!W$216+Exogenous!$B$45*Population!W$220+Exogenous!$B$46*Population!W$222)*AVERAGE(1,P$17*P$24/(O$17*O$24))*(1+P$31))</f>
        <v>1.7990123551564976</v>
      </c>
      <c r="Q159" s="7">
        <f ca="1">IF(OFFSET(Assumptions!$B$43,0,$C$1)="Yes",IF(Q$6=OFFSET(Assumptions!$B$8,0,$C$1),AVERAGE(N$159/SUM(N$159:N$161),O$159/SUM(O$159:O$161),P$159/SUM(P$159:P$161)),P$159/SUM(P$159:P$161))*Q$13*(SUM(P$159:P$161)/P$13+MIN(ABS(OFFSET(Assumptions!$B$44,0,$C$1)-SUM(P$159:P$161)/P$13),OFFSET(Assumptions!$B$51,0,$C$1))*SIGN(OFFSET(Assumptions!$B$44,0,$C$1)-SUM(P$159:P$161)/P$13)),P$159*(1+Exogenous!$B$41*Population!X$208+Exogenous!$B$42*Population!X$210+Exogenous!$B$43*Population!X$213+Exogenous!$B$44*Population!X$216+Exogenous!$B$45*Population!X$220+Exogenous!$B$46*Population!X$222)*AVERAGE(1,Q$17*Q$24/(P$17*P$24))*(1+Q$31))</f>
        <v>1.8484866882249034</v>
      </c>
      <c r="R159" s="7">
        <f ca="1">IF(OFFSET(Assumptions!$B$43,0,$C$1)="Yes",IF(R$6=OFFSET(Assumptions!$B$8,0,$C$1),AVERAGE(O$159/SUM(O$159:O$161),P$159/SUM(P$159:P$161),Q$159/SUM(Q$159:Q$161)),Q$159/SUM(Q$159:Q$161))*R$13*(SUM(Q$159:Q$161)/Q$13+MIN(ABS(OFFSET(Assumptions!$B$44,0,$C$1)-SUM(Q$159:Q$161)/Q$13),OFFSET(Assumptions!$B$51,0,$C$1))*SIGN(OFFSET(Assumptions!$B$44,0,$C$1)-SUM(Q$159:Q$161)/Q$13)),Q$159*(1+Exogenous!$B$41*Population!Y$208+Exogenous!$B$42*Population!Y$210+Exogenous!$B$43*Population!Y$213+Exogenous!$B$44*Population!Y$216+Exogenous!$B$45*Population!Y$220+Exogenous!$B$46*Population!Y$222)*AVERAGE(1,R$17*R$24/(Q$17*Q$24))*(1+R$31))</f>
        <v>1.8995568971115453</v>
      </c>
      <c r="S159" s="7">
        <f ca="1">IF(OFFSET(Assumptions!$B$43,0,$C$1)="Yes",IF(S$6=OFFSET(Assumptions!$B$8,0,$C$1),AVERAGE(P$159/SUM(P$159:P$161),Q$159/SUM(Q$159:Q$161),R$159/SUM(R$159:R$161)),R$159/SUM(R$159:R$161))*S$13*(SUM(R$159:R$161)/R$13+MIN(ABS(OFFSET(Assumptions!$B$44,0,$C$1)-SUM(R$159:R$161)/R$13),OFFSET(Assumptions!$B$51,0,$C$1))*SIGN(OFFSET(Assumptions!$B$44,0,$C$1)-SUM(R$159:R$161)/R$13)),R$159*(1+Exogenous!$B$41*Population!Z$208+Exogenous!$B$42*Population!Z$210+Exogenous!$B$43*Population!Z$213+Exogenous!$B$44*Population!Z$216+Exogenous!$B$45*Population!Z$220+Exogenous!$B$46*Population!Z$222)*AVERAGE(1,S$17*S$24/(R$17*R$24))*(1+S$31))</f>
        <v>1.9524585607837028</v>
      </c>
      <c r="T159" s="7">
        <f ca="1">IF(OFFSET(Assumptions!$B$43,0,$C$1)="Yes",IF(T$6=OFFSET(Assumptions!$B$8,0,$C$1),AVERAGE(Q$159/SUM(Q$159:Q$161),R$159/SUM(R$159:R$161),S$159/SUM(S$159:S$161)),S$159/SUM(S$159:S$161))*T$13*(SUM(S$159:S$161)/S$13+MIN(ABS(OFFSET(Assumptions!$B$44,0,$C$1)-SUM(S$159:S$161)/S$13),OFFSET(Assumptions!$B$51,0,$C$1))*SIGN(OFFSET(Assumptions!$B$44,0,$C$1)-SUM(S$159:S$161)/S$13)),S$159*(1+Exogenous!$B$41*Population!AA$208+Exogenous!$B$42*Population!AA$210+Exogenous!$B$43*Population!AA$213+Exogenous!$B$44*Population!AA$216+Exogenous!$B$45*Population!AA$220+Exogenous!$B$46*Population!AA$222)*AVERAGE(1,T$17*T$24/(S$17*S$24))*(1+T$31))</f>
        <v>2.0073077485769923</v>
      </c>
    </row>
    <row r="160" spans="1:21" x14ac:dyDescent="0.2">
      <c r="A160" s="1" t="s">
        <v>299</v>
      </c>
      <c r="B160" s="4" t="str">
        <f t="shared" si="94"/>
        <v>From Fiscal</v>
      </c>
      <c r="D160" s="15">
        <f>'Fiscal Forecasts'!D$227</f>
        <v>1.5149999999999999</v>
      </c>
      <c r="E160" s="15">
        <f>'Fiscal Forecasts'!E$227</f>
        <v>1.5229999999999999</v>
      </c>
      <c r="F160" s="16">
        <f>'Fiscal Forecasts'!F$227 +IF($C$2="Yes",'Fiscal Forecast Adjuster'!C$17/1000,0)</f>
        <v>1.5329999999999999</v>
      </c>
      <c r="G160" s="16">
        <f>'Fiscal Forecasts'!G$227 +IF($C$2="Yes",'Fiscal Forecast Adjuster'!D$17/1000,0)</f>
        <v>1.536</v>
      </c>
      <c r="H160" s="16">
        <f>'Fiscal Forecasts'!H$227 +IF($C$2="Yes",'Fiscal Forecast Adjuster'!E$17/1000,0)</f>
        <v>1.5429999999999999</v>
      </c>
      <c r="I160" s="16">
        <f>'Fiscal Forecasts'!I$227 +IF($C$2="Yes",'Fiscal Forecast Adjuster'!F$17/1000,0)</f>
        <v>1.5609999999999999</v>
      </c>
      <c r="J160" s="16">
        <f>'Fiscal Forecasts'!J$227 +IF($C$2="Yes",'Fiscal Forecast Adjuster'!G$17/1000,0)</f>
        <v>1.5740000000000001</v>
      </c>
      <c r="K160" s="7">
        <f ca="1">IF(OFFSET(Assumptions!$B$43,0,$C$1)="Yes",IF(K$6=OFFSET(Assumptions!$B$8,0,$C$1),AVERAGE(H$160/SUM(H$159:H$161),I$160/SUM(I$159:I$161),J$160/SUM(J$159:J$161)),J$160/SUM(J$159:J$161))*K$13*(SUM(J$159:J$161)/J$13+MIN(ABS(OFFSET(Assumptions!$B$44,0,$C$1)-SUM(J$159:J$161)/J$13),OFFSET(Assumptions!$B$51,0,$C$1))*SIGN(OFFSET(Assumptions!$B$44,0,$C$1)-SUM(J$159:J$161)/J$13)),J$160*(1+Exogenous!$I$41*Population!R$208+Exogenous!$I$42*Population!R$212+Exogenous!$I$43*Population!R$215+Exogenous!$I$44*Population!R$219+Exogenous!$I$45*Population!R$221+Exogenous!$I$46*Population!R$222)*(1+K$31))</f>
        <v>1.6145336399517323</v>
      </c>
      <c r="L160" s="7">
        <f ca="1">IF(OFFSET(Assumptions!$B$43,0,$C$1)="Yes",IF(L$6=OFFSET(Assumptions!$B$8,0,$C$1),AVERAGE(I$160/SUM(I$159:I$161),J$160/SUM(J$159:J$161),K$160/SUM(K$159:K$161)),K$160/SUM(K$159:K$161))*L$13*(SUM(K$159:K$161)/K$13+MIN(ABS(OFFSET(Assumptions!$B$44,0,$C$1)-SUM(K$159:K$161)/K$13),OFFSET(Assumptions!$B$51,0,$C$1))*SIGN(OFFSET(Assumptions!$B$44,0,$C$1)-SUM(K$159:K$161)/K$13)),K$160*(1+Exogenous!$I$41*Population!S$208+Exogenous!$I$42*Population!S$212+Exogenous!$I$43*Population!S$215+Exogenous!$I$44*Population!S$219+Exogenous!$I$45*Population!S$221+Exogenous!$I$46*Population!S$222)*(1+L$31))</f>
        <v>1.6556412920082397</v>
      </c>
      <c r="M160" s="7">
        <f ca="1">IF(OFFSET(Assumptions!$B$43,0,$C$1)="Yes",IF(M$6=OFFSET(Assumptions!$B$8,0,$C$1),AVERAGE(J$160/SUM(J$159:J$161),K$160/SUM(K$159:K$161),L$160/SUM(L$159:L$161)),L$160/SUM(L$159:L$161))*M$13*(SUM(L$159:L$161)/L$13+MIN(ABS(OFFSET(Assumptions!$B$44,0,$C$1)-SUM(L$159:L$161)/L$13),OFFSET(Assumptions!$B$51,0,$C$1))*SIGN(OFFSET(Assumptions!$B$44,0,$C$1)-SUM(L$159:L$161)/L$13)),L$160*(1+Exogenous!$I$41*Population!T$208+Exogenous!$I$42*Population!T$212+Exogenous!$I$43*Population!T$215+Exogenous!$I$44*Population!T$219+Exogenous!$I$45*Population!T$221+Exogenous!$I$46*Population!T$222)*(1+M$31))</f>
        <v>1.6949676954200845</v>
      </c>
      <c r="N160" s="7">
        <f ca="1">IF(OFFSET(Assumptions!$B$43,0,$C$1)="Yes",IF(N$6=OFFSET(Assumptions!$B$8,0,$C$1),AVERAGE(K$160/SUM(K$159:K$161),L$160/SUM(L$159:L$161),M$160/SUM(M$159:M$161)),M$160/SUM(M$159:M$161))*N$13*(SUM(M$159:M$161)/M$13+MIN(ABS(OFFSET(Assumptions!$B$44,0,$C$1)-SUM(M$159:M$161)/M$13),OFFSET(Assumptions!$B$51,0,$C$1))*SIGN(OFFSET(Assumptions!$B$44,0,$C$1)-SUM(M$159:M$161)/M$13)),M$160*(1+Exogenous!$I$41*Population!U$208+Exogenous!$I$42*Population!U$212+Exogenous!$I$43*Population!U$215+Exogenous!$I$44*Population!U$219+Exogenous!$I$45*Population!U$221+Exogenous!$I$46*Population!U$222)*(1+N$31))</f>
        <v>1.7351074954334771</v>
      </c>
      <c r="O160" s="7">
        <f ca="1">IF(OFFSET(Assumptions!$B$43,0,$C$1)="Yes",IF(O$6=OFFSET(Assumptions!$B$8,0,$C$1),AVERAGE(L$160/SUM(L$159:L$161),M$160/SUM(M$159:M$161),N$160/SUM(N$159:N$161)),N$160/SUM(N$159:N$161))*O$13*(SUM(N$159:N$161)/N$13+MIN(ABS(OFFSET(Assumptions!$B$44,0,$C$1)-SUM(N$159:N$161)/N$13),OFFSET(Assumptions!$B$51,0,$C$1))*SIGN(OFFSET(Assumptions!$B$44,0,$C$1)-SUM(N$159:N$161)/N$13)),N$160*(1+Exogenous!$I$41*Population!V$208+Exogenous!$I$42*Population!V$212+Exogenous!$I$43*Population!V$215+Exogenous!$I$44*Population!V$219+Exogenous!$I$45*Population!V$221+Exogenous!$I$46*Population!V$222)*(1+O$31))</f>
        <v>1.7745513328418228</v>
      </c>
      <c r="P160" s="7">
        <f ca="1">IF(OFFSET(Assumptions!$B$43,0,$C$1)="Yes",IF(P$6=OFFSET(Assumptions!$B$8,0,$C$1),AVERAGE(M$160/SUM(M$159:M$161),N$160/SUM(N$159:N$161),O$160/SUM(O$159:O$161)),O$160/SUM(O$159:O$161))*P$13*(SUM(O$159:O$161)/O$13+MIN(ABS(OFFSET(Assumptions!$B$44,0,$C$1)-SUM(O$159:O$161)/O$13),OFFSET(Assumptions!$B$51,0,$C$1))*SIGN(OFFSET(Assumptions!$B$44,0,$C$1)-SUM(O$159:O$161)/O$13)),O$160*(1+Exogenous!$I$41*Population!W$208+Exogenous!$I$42*Population!W$212+Exogenous!$I$43*Population!W$215+Exogenous!$I$44*Population!W$219+Exogenous!$I$45*Population!W$221+Exogenous!$I$46*Population!W$222)*(1+P$31))</f>
        <v>1.8139073952713378</v>
      </c>
      <c r="Q160" s="7">
        <f ca="1">IF(OFFSET(Assumptions!$B$43,0,$C$1)="Yes",IF(Q$6=OFFSET(Assumptions!$B$8,0,$C$1),AVERAGE(N$160/SUM(N$159:N$161),O$160/SUM(O$159:O$161),P$160/SUM(P$159:P$161)),P$160/SUM(P$159:P$161))*Q$13*(SUM(P$159:P$161)/P$13+MIN(ABS(OFFSET(Assumptions!$B$44,0,$C$1)-SUM(P$159:P$161)/P$13),OFFSET(Assumptions!$B$51,0,$C$1))*SIGN(OFFSET(Assumptions!$B$44,0,$C$1)-SUM(P$159:P$161)/P$13)),P$160*(1+Exogenous!$I$41*Population!X$208+Exogenous!$I$42*Population!X$212+Exogenous!$I$43*Population!X$215+Exogenous!$I$44*Population!X$219+Exogenous!$I$45*Population!X$221+Exogenous!$I$46*Population!X$222)*(1+Q$31))</f>
        <v>1.855042045793134</v>
      </c>
      <c r="R160" s="7">
        <f ca="1">IF(OFFSET(Assumptions!$B$43,0,$C$1)="Yes",IF(R$6=OFFSET(Assumptions!$B$8,0,$C$1),AVERAGE(O$160/SUM(O$159:O$161),P$160/SUM(P$159:P$161),Q$160/SUM(Q$159:Q$161)),Q$160/SUM(Q$159:Q$161))*R$13*(SUM(Q$159:Q$161)/Q$13+MIN(ABS(OFFSET(Assumptions!$B$44,0,$C$1)-SUM(Q$159:Q$161)/Q$13),OFFSET(Assumptions!$B$51,0,$C$1))*SIGN(OFFSET(Assumptions!$B$44,0,$C$1)-SUM(Q$159:Q$161)/Q$13)),Q$160*(1+Exogenous!$I$41*Population!Y$208+Exogenous!$I$42*Population!Y$212+Exogenous!$I$43*Population!Y$215+Exogenous!$I$44*Population!Y$219+Exogenous!$I$45*Population!Y$221+Exogenous!$I$46*Population!Y$222)*(1+R$31))</f>
        <v>1.8989624241221199</v>
      </c>
      <c r="S160" s="7">
        <f ca="1">IF(OFFSET(Assumptions!$B$43,0,$C$1)="Yes",IF(S$6=OFFSET(Assumptions!$B$8,0,$C$1),AVERAGE(P$160/SUM(P$159:P$161),Q$160/SUM(Q$159:Q$161),R$160/SUM(R$159:R$161)),R$160/SUM(R$159:R$161))*S$13*(SUM(R$159:R$161)/R$13+MIN(ABS(OFFSET(Assumptions!$B$44,0,$C$1)-SUM(R$159:R$161)/R$13),OFFSET(Assumptions!$B$51,0,$C$1))*SIGN(OFFSET(Assumptions!$B$44,0,$C$1)-SUM(R$159:R$161)/R$13)),R$160*(1+Exogenous!$I$41*Population!Z$208+Exogenous!$I$42*Population!Z$212+Exogenous!$I$43*Population!Z$215+Exogenous!$I$44*Population!Z$219+Exogenous!$I$45*Population!Z$221+Exogenous!$I$46*Population!Z$222)*(1+S$31))</f>
        <v>1.946883163017658</v>
      </c>
      <c r="T160" s="7">
        <f ca="1">IF(OFFSET(Assumptions!$B$43,0,$C$1)="Yes",IF(T$6=OFFSET(Assumptions!$B$8,0,$C$1),AVERAGE(Q$160/SUM(Q$159:Q$161),R$160/SUM(R$159:R$161),S$160/SUM(S$159:S$161)),S$160/SUM(S$159:S$161))*T$13*(SUM(S$159:S$161)/S$13+MIN(ABS(OFFSET(Assumptions!$B$44,0,$C$1)-SUM(S$159:S$161)/S$13),OFFSET(Assumptions!$B$51,0,$C$1))*SIGN(OFFSET(Assumptions!$B$44,0,$C$1)-SUM(S$159:S$161)/S$13)),S$160*(1+Exogenous!$I$41*Population!AA$208+Exogenous!$I$42*Population!AA$212+Exogenous!$I$43*Population!AA$215+Exogenous!$I$44*Population!AA$219+Exogenous!$I$45*Population!AA$221+Exogenous!$I$46*Population!AA$222)*(1+T$31))</f>
        <v>1.9977503030882704</v>
      </c>
    </row>
    <row r="161" spans="1:20" x14ac:dyDescent="0.2">
      <c r="A161" s="1" t="s">
        <v>300</v>
      </c>
      <c r="B161" s="4" t="str">
        <f t="shared" si="94"/>
        <v>From Fiscal</v>
      </c>
      <c r="D161" s="15">
        <f>'Fiscal Forecasts'!D$228</f>
        <v>1.1859999999999999</v>
      </c>
      <c r="E161" s="15">
        <f>'Fiscal Forecasts'!E$228</f>
        <v>1.153</v>
      </c>
      <c r="F161" s="16">
        <f>'Fiscal Forecasts'!F$228 +IF($C$2="Yes",'Fiscal Forecast Adjuster'!C$18/1000,0)</f>
        <v>1.159</v>
      </c>
      <c r="G161" s="16">
        <f>'Fiscal Forecasts'!G$228 +IF($C$2="Yes",'Fiscal Forecast Adjuster'!D$18/1000,0)</f>
        <v>1.0860000000000001</v>
      </c>
      <c r="H161" s="16">
        <f>'Fiscal Forecasts'!H$228 +IF($C$2="Yes",'Fiscal Forecast Adjuster'!E$18/1000,0)</f>
        <v>1.0429999999999999</v>
      </c>
      <c r="I161" s="16">
        <f>'Fiscal Forecasts'!I$228 +IF($C$2="Yes",'Fiscal Forecast Adjuster'!F$18/1000,0)</f>
        <v>1.048</v>
      </c>
      <c r="J161" s="16">
        <f>'Fiscal Forecasts'!J$228 +IF($C$2="Yes",'Fiscal Forecast Adjuster'!G$18/1000,0)</f>
        <v>1.0649999999999999</v>
      </c>
      <c r="K161" s="7">
        <f ca="1">IF(OFFSET(Assumptions!$B$43,0,$C$1)="Yes",IF(K$6=OFFSET(Assumptions!$B$8,0,$C$1),AVERAGE(H$161/SUM(H$159:H$161),I$161/SUM(I$159:I$161),J$161/SUM(J$159:J$161)),J$161/SUM(J$159:J$161))*K$13*(SUM(J$159:J$161)/J$13+MIN(ABS(OFFSET(Assumptions!$B$44,0,$C$1)-SUM(J$159:J$161)/J$13),OFFSET(Assumptions!$B$51,0,$C$1))*SIGN(OFFSET(Assumptions!$B$44,0,$C$1)-SUM(J$159:J$161)/J$13)),J$161*(1+Exogenous!$P$41*Population!R$209+Exogenous!$P$42*Population!R$211+Exogenous!$P$43*Population!R$214+Exogenous!$P$44*Population!R$217+Exogenous!$P$45*Population!R$218+Exogenous!$P$46*Population!R$223)*(1+K$31))</f>
        <v>1.0865456117408645</v>
      </c>
      <c r="L161" s="7">
        <f ca="1">IF(OFFSET(Assumptions!$B$43,0,$C$1)="Yes",IF(L$6=OFFSET(Assumptions!$B$8,0,$C$1),AVERAGE(I$161/SUM(I$159:I$161),J$161/SUM(J$159:J$161),K$161/SUM(K$159:K$161)),K$161/SUM(K$159:K$161))*L$13*(SUM(K$159:K$161)/K$13+MIN(ABS(OFFSET(Assumptions!$B$44,0,$C$1)-SUM(K$159:K$161)/K$13),OFFSET(Assumptions!$B$51,0,$C$1))*SIGN(OFFSET(Assumptions!$B$44,0,$C$1)-SUM(K$159:K$161)/K$13)),K$161*(1+Exogenous!$P$41*Population!S$209+Exogenous!$P$42*Population!S$211+Exogenous!$P$43*Population!S$214+Exogenous!$P$44*Population!S$217+Exogenous!$P$45*Population!S$218+Exogenous!$P$46*Population!S$223)*(1+L$31))</f>
        <v>1.1080202365152025</v>
      </c>
      <c r="M161" s="7">
        <f ca="1">IF(OFFSET(Assumptions!$B$43,0,$C$1)="Yes",IF(M$6=OFFSET(Assumptions!$B$8,0,$C$1),AVERAGE(J$161/SUM(J$159:J$161),K$161/SUM(K$159:K$161),L$161/SUM(L$159:L$161)),L$161/SUM(L$159:L$161))*M$13*(SUM(L$159:L$161)/L$13+MIN(ABS(OFFSET(Assumptions!$B$44,0,$C$1)-SUM(L$159:L$161)/L$13),OFFSET(Assumptions!$B$51,0,$C$1))*SIGN(OFFSET(Assumptions!$B$44,0,$C$1)-SUM(L$159:L$161)/L$13)),L$161*(1+Exogenous!$P$41*Population!T$209+Exogenous!$P$42*Population!T$211+Exogenous!$P$43*Population!T$214+Exogenous!$P$44*Population!T$217+Exogenous!$P$45*Population!T$218+Exogenous!$P$46*Population!T$223)*(1+M$31))</f>
        <v>1.1303073638272114</v>
      </c>
      <c r="N161" s="7">
        <f ca="1">IF(OFFSET(Assumptions!$B$43,0,$C$1)="Yes",IF(N$6=OFFSET(Assumptions!$B$8,0,$C$1),AVERAGE(K$161/SUM(K$159:K$161),L$161/SUM(L$159:L$161),M$161/SUM(M$159:M$161)),M$161/SUM(M$159:M$161))*N$13*(SUM(M$159:M$161)/M$13+MIN(ABS(OFFSET(Assumptions!$B$44,0,$C$1)-SUM(M$159:M$161)/M$13),OFFSET(Assumptions!$B$51,0,$C$1))*SIGN(OFFSET(Assumptions!$B$44,0,$C$1)-SUM(M$159:M$161)/M$13)),M$161*(1+Exogenous!$P$41*Population!U$209+Exogenous!$P$42*Population!U$211+Exogenous!$P$43*Population!U$214+Exogenous!$P$44*Population!U$217+Exogenous!$P$45*Population!U$218+Exogenous!$P$46*Population!U$223)*(1+N$31))</f>
        <v>1.1535734497922476</v>
      </c>
      <c r="O161" s="7">
        <f ca="1">IF(OFFSET(Assumptions!$B$43,0,$C$1)="Yes",IF(O$6=OFFSET(Assumptions!$B$8,0,$C$1),AVERAGE(L$161/SUM(L$159:L$161),M$161/SUM(M$159:M$161),N$161/SUM(N$159:N$161)),N$161/SUM(N$159:N$161))*O$13*(SUM(N$159:N$161)/N$13+MIN(ABS(OFFSET(Assumptions!$B$44,0,$C$1)-SUM(N$159:N$161)/N$13),OFFSET(Assumptions!$B$51,0,$C$1))*SIGN(OFFSET(Assumptions!$B$44,0,$C$1)-SUM(N$159:N$161)/N$13)),N$161*(1+Exogenous!$P$41*Population!V$209+Exogenous!$P$42*Population!V$211+Exogenous!$P$43*Population!V$214+Exogenous!$P$44*Population!V$217+Exogenous!$P$45*Population!V$218+Exogenous!$P$46*Population!V$223)*(1+O$31))</f>
        <v>1.1787569908818443</v>
      </c>
      <c r="P161" s="7">
        <f ca="1">IF(OFFSET(Assumptions!$B$43,0,$C$1)="Yes",IF(P$6=OFFSET(Assumptions!$B$8,0,$C$1),AVERAGE(M$161/SUM(M$159:M$161),N$161/SUM(N$159:N$161),O$161/SUM(O$159:O$161)),O$161/SUM(O$159:O$161))*P$13*(SUM(O$159:O$161)/O$13+MIN(ABS(OFFSET(Assumptions!$B$44,0,$C$1)-SUM(O$159:O$161)/O$13),OFFSET(Assumptions!$B$51,0,$C$1))*SIGN(OFFSET(Assumptions!$B$44,0,$C$1)-SUM(O$159:O$161)/O$13)),O$161*(1+Exogenous!$P$41*Population!W$209+Exogenous!$P$42*Population!W$211+Exogenous!$P$43*Population!W$214+Exogenous!$P$44*Population!W$217+Exogenous!$P$45*Population!W$218+Exogenous!$P$46*Population!W$223)*(1+P$31))</f>
        <v>1.2053423982421452</v>
      </c>
      <c r="Q161" s="7">
        <f ca="1">IF(OFFSET(Assumptions!$B$43,0,$C$1)="Yes",IF(Q$6=OFFSET(Assumptions!$B$8,0,$C$1),AVERAGE(N$161/SUM(N$159:N$161),O$161/SUM(O$159:O$161),P$161/SUM(P$159:P$161)),P$161/SUM(P$159:P$161))*Q$13*(SUM(P$159:P$161)/P$13+MIN(ABS(OFFSET(Assumptions!$B$44,0,$C$1)-SUM(P$159:P$161)/P$13),OFFSET(Assumptions!$B$51,0,$C$1))*SIGN(OFFSET(Assumptions!$B$44,0,$C$1)-SUM(P$159:P$161)/P$13)),P$161*(1+Exogenous!$P$41*Population!X$209+Exogenous!$P$42*Population!X$211+Exogenous!$P$43*Population!X$214+Exogenous!$P$44*Population!X$217+Exogenous!$P$45*Population!X$218+Exogenous!$P$46*Population!X$223)*(1+Q$31))</f>
        <v>1.2347558840874673</v>
      </c>
      <c r="R161" s="7">
        <f ca="1">IF(OFFSET(Assumptions!$B$43,0,$C$1)="Yes",IF(R$6=OFFSET(Assumptions!$B$8,0,$C$1),AVERAGE(O$161/SUM(O$159:O$161),P$161/SUM(P$159:P$161),Q$161/SUM(Q$159:Q$161)),Q$161/SUM(Q$159:Q$161))*R$13*(SUM(Q$159:Q$161)/Q$13+MIN(ABS(OFFSET(Assumptions!$B$44,0,$C$1)-SUM(Q$159:Q$161)/Q$13),OFFSET(Assumptions!$B$51,0,$C$1))*SIGN(OFFSET(Assumptions!$B$44,0,$C$1)-SUM(Q$159:Q$161)/Q$13)),Q$161*(1+Exogenous!$P$41*Population!Y$209+Exogenous!$P$42*Population!Y$211+Exogenous!$P$43*Population!Y$214+Exogenous!$P$44*Population!Y$217+Exogenous!$P$45*Population!Y$218+Exogenous!$P$46*Population!Y$223)*(1+R$31))</f>
        <v>1.2645192972354542</v>
      </c>
      <c r="S161" s="7">
        <f ca="1">IF(OFFSET(Assumptions!$B$43,0,$C$1)="Yes",IF(S$6=OFFSET(Assumptions!$B$8,0,$C$1),AVERAGE(P$161/SUM(P$159:P$161),Q$161/SUM(Q$159:Q$161),R$161/SUM(R$159:R$161)),R$161/SUM(R$159:R$161))*S$13*(SUM(R$159:R$161)/R$13+MIN(ABS(OFFSET(Assumptions!$B$44,0,$C$1)-SUM(R$159:R$161)/R$13),OFFSET(Assumptions!$B$51,0,$C$1))*SIGN(OFFSET(Assumptions!$B$44,0,$C$1)-SUM(R$159:R$161)/R$13)),R$161*(1+Exogenous!$P$41*Population!Z$209+Exogenous!$P$42*Population!Z$211+Exogenous!$P$43*Population!Z$214+Exogenous!$P$44*Population!Z$217+Exogenous!$P$45*Population!Z$218+Exogenous!$P$46*Population!Z$223)*(1+S$31))</f>
        <v>1.2947868590819323</v>
      </c>
      <c r="T161" s="7">
        <f ca="1">IF(OFFSET(Assumptions!$B$43,0,$C$1)="Yes",IF(T$6=OFFSET(Assumptions!$B$8,0,$C$1),AVERAGE(Q$161/SUM(Q$159:Q$161),R$161/SUM(R$159:R$161),S$161/SUM(S$159:S$161)),S$161/SUM(S$159:S$161))*T$13*(SUM(S$159:S$161)/S$13+MIN(ABS(OFFSET(Assumptions!$B$44,0,$C$1)-SUM(S$159:S$161)/S$13),OFFSET(Assumptions!$B$51,0,$C$1))*SIGN(OFFSET(Assumptions!$B$44,0,$C$1)-SUM(S$159:S$161)/S$13)),S$161*(1+Exogenous!$P$41*Population!AA$209+Exogenous!$P$42*Population!AA$211+Exogenous!$P$43*Population!AA$214+Exogenous!$P$44*Population!AA$217+Exogenous!$P$45*Population!AA$218+Exogenous!$P$46*Population!AA$223)*(1+T$31))</f>
        <v>1.3247921701075414</v>
      </c>
    </row>
    <row r="162" spans="1:20" x14ac:dyDescent="0.2">
      <c r="A162" s="1" t="s">
        <v>491</v>
      </c>
      <c r="B162" s="4" t="str">
        <f t="shared" si="94"/>
        <v>From Fiscal</v>
      </c>
      <c r="D162" s="15">
        <f>'Fiscal Forecasts'!D$229</f>
        <v>2.403</v>
      </c>
      <c r="E162" s="15">
        <f>'Fiscal Forecasts'!E$229</f>
        <v>2.3519999999999999</v>
      </c>
      <c r="F162" s="16">
        <f>'Fiscal Forecasts'!F$229 +IF($C$2="Yes",'Fiscal Forecast Adjuster'!C$19/1000,0)</f>
        <v>2.319</v>
      </c>
      <c r="G162" s="16">
        <f>'Fiscal Forecasts'!G$229 +IF($C$2="Yes",'Fiscal Forecast Adjuster'!D$19/1000,0)</f>
        <v>2.407</v>
      </c>
      <c r="H162" s="16">
        <f>'Fiscal Forecasts'!H$229 +IF($C$2="Yes",'Fiscal Forecast Adjuster'!E$19/1000,0)</f>
        <v>2.669</v>
      </c>
      <c r="I162" s="16">
        <f>'Fiscal Forecasts'!I$229 +IF($C$2="Yes",'Fiscal Forecast Adjuster'!F$19/1000,0)</f>
        <v>2.5990000000000002</v>
      </c>
      <c r="J162" s="16">
        <f>'Fiscal Forecasts'!J$229 +IF($C$2="Yes",'Fiscal Forecast Adjuster'!G$19/1000,0)</f>
        <v>2.577</v>
      </c>
      <c r="K162" s="7">
        <f ca="1">IF(OFFSET(Assumptions!$B$48,0,$C$1)="Yes",K$13*(J$162/J$13+MIN(ABS(OFFSET(Assumptions!$B$49,0,$C$1)-J$162/J$13),OFFSET(Assumptions!$B$51,0,$C$1))*SIGN(OFFSET(Assumptions!$B$49,0,$C$1)-J$162/J$13)),J$162*(1+K$20)*(1+K$31))</f>
        <v>2.6569390909290722</v>
      </c>
      <c r="L162" s="7">
        <f ca="1">IF(OFFSET(Assumptions!$B$48,0,$C$1)="Yes",L$13*(K$162/K$13+MIN(ABS(OFFSET(Assumptions!$B$49,0,$C$1)-K$162/K$13),OFFSET(Assumptions!$B$51,0,$C$1))*SIGN(OFFSET(Assumptions!$B$49,0,$C$1)-K$162/K$13)),K$162*(1+L$20)*(1+L$31))</f>
        <v>2.7404396079038182</v>
      </c>
      <c r="M162" s="7">
        <f ca="1">IF(OFFSET(Assumptions!$B$48,0,$C$1)="Yes",M$13*(L$162/L$13+MIN(ABS(OFFSET(Assumptions!$B$49,0,$C$1)-L$162/L$13),OFFSET(Assumptions!$B$51,0,$C$1))*SIGN(OFFSET(Assumptions!$B$49,0,$C$1)-L$162/L$13)),L$162*(1+M$20)*(1+M$31))</f>
        <v>2.8258166500178921</v>
      </c>
      <c r="N162" s="7">
        <f ca="1">IF(OFFSET(Assumptions!$B$48,0,$C$1)="Yes",N$13*(M$162/M$13+MIN(ABS(OFFSET(Assumptions!$B$49,0,$C$1)-M$162/M$13),OFFSET(Assumptions!$B$51,0,$C$1))*SIGN(OFFSET(Assumptions!$B$49,0,$C$1)-M$162/M$13)),M$162*(1+N$20)*(1+N$31))</f>
        <v>2.9139485812281469</v>
      </c>
      <c r="O162" s="7">
        <f ca="1">IF(OFFSET(Assumptions!$B$48,0,$C$1)="Yes",O$13*(N$162/N$13+MIN(ABS(OFFSET(Assumptions!$B$49,0,$C$1)-N$162/N$13),OFFSET(Assumptions!$B$51,0,$C$1))*SIGN(OFFSET(Assumptions!$B$49,0,$C$1)-N$162/N$13)),N$162*(1+O$20)*(1+O$31))</f>
        <v>3.0033150663452544</v>
      </c>
      <c r="P162" s="7">
        <f ca="1">IF(OFFSET(Assumptions!$B$48,0,$C$1)="Yes",P$13*(O$162/O$13+MIN(ABS(OFFSET(Assumptions!$B$49,0,$C$1)-O$162/O$13),OFFSET(Assumptions!$B$51,0,$C$1))*SIGN(OFFSET(Assumptions!$B$49,0,$C$1)-O$162/O$13)),O$162*(1+P$20)*(1+P$31))</f>
        <v>3.0938857644610178</v>
      </c>
      <c r="Q162" s="7">
        <f ca="1">IF(OFFSET(Assumptions!$B$48,0,$C$1)="Yes",Q$13*(P$162/P$13+MIN(ABS(OFFSET(Assumptions!$B$49,0,$C$1)-P$162/P$13),OFFSET(Assumptions!$B$51,0,$C$1))*SIGN(OFFSET(Assumptions!$B$49,0,$C$1)-P$162/P$13)),P$162*(1+Q$20)*(1+Q$31))</f>
        <v>3.1859743142447203</v>
      </c>
      <c r="R162" s="7">
        <f ca="1">IF(OFFSET(Assumptions!$B$48,0,$C$1)="Yes",R$13*(Q$162/Q$13+MIN(ABS(OFFSET(Assumptions!$B$49,0,$C$1)-Q$162/Q$13),OFFSET(Assumptions!$B$51,0,$C$1))*SIGN(OFFSET(Assumptions!$B$49,0,$C$1)-Q$162/Q$13)),Q$162*(1+R$20)*(1+R$31))</f>
        <v>3.2787317693173765</v>
      </c>
      <c r="S162" s="7">
        <f ca="1">IF(OFFSET(Assumptions!$B$48,0,$C$1)="Yes",S$13*(R$162/R$13+MIN(ABS(OFFSET(Assumptions!$B$49,0,$C$1)-R$162/R$13),OFFSET(Assumptions!$B$51,0,$C$1))*SIGN(OFFSET(Assumptions!$B$49,0,$C$1)-R$162/R$13)),R$162*(1+S$20)*(1+S$31))</f>
        <v>3.3731429216612976</v>
      </c>
      <c r="T162" s="7">
        <f ca="1">IF(OFFSET(Assumptions!$B$48,0,$C$1)="Yes",T$13*(S$162/S$13+MIN(ABS(OFFSET(Assumptions!$B$49,0,$C$1)-S$162/S$13),OFFSET(Assumptions!$B$51,0,$C$1))*SIGN(OFFSET(Assumptions!$B$49,0,$C$1)-S$162/S$13)),S$162*(1+T$20)*(1+T$31))</f>
        <v>3.4693515906372538</v>
      </c>
    </row>
    <row r="163" spans="1:20" x14ac:dyDescent="0.2">
      <c r="A163" s="1" t="s">
        <v>493</v>
      </c>
      <c r="B163" s="4" t="str">
        <f t="shared" si="94"/>
        <v>From Fiscal</v>
      </c>
      <c r="D163" s="15">
        <f>'Fiscal Forecasts'!D$230</f>
        <v>3.464</v>
      </c>
      <c r="E163" s="15">
        <f>'Fiscal Forecasts'!E$230</f>
        <v>3.6280000000000001</v>
      </c>
      <c r="F163" s="16">
        <f>'Fiscal Forecasts'!F$230 +IF($C$2="Yes",'Fiscal Forecast Adjuster'!C$20/1000,0)</f>
        <v>3.8069999999999999</v>
      </c>
      <c r="G163" s="16">
        <f>'Fiscal Forecasts'!G$230 +IF($C$2="Yes",'Fiscal Forecast Adjuster'!D$20/1000,0)</f>
        <v>4.1349999999999998</v>
      </c>
      <c r="H163" s="16">
        <f>'Fiscal Forecasts'!H$230 +IF($C$2="Yes",'Fiscal Forecast Adjuster'!E$20/1000,0)</f>
        <v>4.3780000000000001</v>
      </c>
      <c r="I163" s="16">
        <f>'Fiscal Forecasts'!I$230 +IF($C$2="Yes",'Fiscal Forecast Adjuster'!F$20/1000,0)</f>
        <v>4.4359999999999999</v>
      </c>
      <c r="J163" s="16">
        <f>'Fiscal Forecasts'!J$230 +IF($C$2="Yes",'Fiscal Forecast Adjuster'!G$20/1000,0)</f>
        <v>4.5549999999999997</v>
      </c>
      <c r="K163" s="7">
        <f ca="1">IF(OFFSET(Assumptions!$B$48,0,$C$1)="Yes",K$13*(J$163/J$13+MIN(ABS(OFFSET(Assumptions!$B$50,0,$C$1)-J$163/J$13),OFFSET(Assumptions!$B$51,0,$C$1))*SIGN(OFFSET(Assumptions!$B$50,0,$C$1)-J$163/J$13)),J$163*(1+K$20)*(1+K$31))</f>
        <v>4.6962970737997374</v>
      </c>
      <c r="L163" s="7">
        <f ca="1">IF(OFFSET(Assumptions!$B$48,0,$C$1)="Yes",L$13*(K$163/K$13+MIN(ABS(OFFSET(Assumptions!$B$50,0,$C$1)-K$163/K$13),OFFSET(Assumptions!$B$51,0,$C$1))*SIGN(OFFSET(Assumptions!$B$50,0,$C$1)-K$163/K$13)),K$163*(1+L$20)*(1+L$31))</f>
        <v>4.8438891788909162</v>
      </c>
      <c r="M163" s="7">
        <f ca="1">IF(OFFSET(Assumptions!$B$48,0,$C$1)="Yes",M$13*(L$163/L$13+MIN(ABS(OFFSET(Assumptions!$B$50,0,$C$1)-L$163/L$13),OFFSET(Assumptions!$B$51,0,$C$1))*SIGN(OFFSET(Assumptions!$B$50,0,$C$1)-L$163/L$13)),L$163*(1+M$20)*(1+M$31))</f>
        <v>4.994798153213619</v>
      </c>
      <c r="N163" s="7">
        <f ca="1">IF(OFFSET(Assumptions!$B$48,0,$C$1)="Yes",N$13*(M$163/M$13+MIN(ABS(OFFSET(Assumptions!$B$50,0,$C$1)-M$163/M$13),OFFSET(Assumptions!$B$51,0,$C$1))*SIGN(OFFSET(Assumptions!$B$50,0,$C$1)-M$163/M$13)),M$163*(1+N$20)*(1+N$31))</f>
        <v>5.150576557040826</v>
      </c>
      <c r="O163" s="7">
        <f ca="1">IF(OFFSET(Assumptions!$B$48,0,$C$1)="Yes",O$13*(N$163/N$13+MIN(ABS(OFFSET(Assumptions!$B$50,0,$C$1)-N$163/N$13),OFFSET(Assumptions!$B$51,0,$C$1))*SIGN(OFFSET(Assumptions!$B$50,0,$C$1)-N$163/N$13)),N$163*(1+O$20)*(1+O$31))</f>
        <v>5.308537107956008</v>
      </c>
      <c r="P163" s="7">
        <f ca="1">IF(OFFSET(Assumptions!$B$48,0,$C$1)="Yes",P$13*(O$163/O$13+MIN(ABS(OFFSET(Assumptions!$B$50,0,$C$1)-O$163/O$13),OFFSET(Assumptions!$B$51,0,$C$1))*SIGN(OFFSET(Assumptions!$B$50,0,$C$1)-O$163/O$13)),O$163*(1+P$20)*(1+P$31))</f>
        <v>5.4686261766084341</v>
      </c>
      <c r="Q163" s="7">
        <f ca="1">IF(OFFSET(Assumptions!$B$48,0,$C$1)="Yes",Q$13*(P$163/P$13+MIN(ABS(OFFSET(Assumptions!$B$50,0,$C$1)-P$163/P$13),OFFSET(Assumptions!$B$51,0,$C$1))*SIGN(OFFSET(Assumptions!$B$50,0,$C$1)-P$163/P$13)),P$163*(1+Q$20)*(1+Q$31))</f>
        <v>5.6313981379063636</v>
      </c>
      <c r="R163" s="7">
        <f ca="1">IF(OFFSET(Assumptions!$B$48,0,$C$1)="Yes",R$13*(Q$163/Q$13+MIN(ABS(OFFSET(Assumptions!$B$50,0,$C$1)-Q$163/Q$13),OFFSET(Assumptions!$B$51,0,$C$1))*SIGN(OFFSET(Assumptions!$B$50,0,$C$1)-Q$163/Q$13)),Q$163*(1+R$20)*(1+R$31))</f>
        <v>5.7953524288865532</v>
      </c>
      <c r="S163" s="7">
        <f ca="1">IF(OFFSET(Assumptions!$B$48,0,$C$1)="Yes",S$13*(R$163/R$13+MIN(ABS(OFFSET(Assumptions!$B$50,0,$C$1)-R$163/R$13),OFFSET(Assumptions!$B$51,0,$C$1))*SIGN(OFFSET(Assumptions!$B$50,0,$C$1)-R$163/R$13)),R$163*(1+S$20)*(1+S$31))</f>
        <v>5.9622297276551066</v>
      </c>
      <c r="T163" s="7">
        <f ca="1">IF(OFFSET(Assumptions!$B$48,0,$C$1)="Yes",T$13*(S$163/S$13+MIN(ABS(OFFSET(Assumptions!$B$50,0,$C$1)-S$163/S$13),OFFSET(Assumptions!$B$51,0,$C$1))*SIGN(OFFSET(Assumptions!$B$50,0,$C$1)-S$163/S$13)),S$163*(1+T$20)*(1+T$31))</f>
        <v>6.1322842434430305</v>
      </c>
    </row>
    <row r="164" spans="1:20" ht="15" x14ac:dyDescent="0.25">
      <c r="A164" s="2" t="s">
        <v>495</v>
      </c>
      <c r="B164" s="4"/>
      <c r="D164" s="35">
        <f t="shared" ref="D164:T164" si="95">SUM(D$158:D$163)</f>
        <v>21.842999999999996</v>
      </c>
      <c r="E164" s="35">
        <f t="shared" si="95"/>
        <v>22.593999999999998</v>
      </c>
      <c r="F164" s="34">
        <f t="shared" si="95"/>
        <v>23.557999999999996</v>
      </c>
      <c r="G164" s="34">
        <f t="shared" si="95"/>
        <v>24.516999999999996</v>
      </c>
      <c r="H164" s="34">
        <f t="shared" si="95"/>
        <v>25.673999999999999</v>
      </c>
      <c r="I164" s="34">
        <f t="shared" si="95"/>
        <v>26.483999999999998</v>
      </c>
      <c r="J164" s="34">
        <f t="shared" si="95"/>
        <v>27.405000000000001</v>
      </c>
      <c r="K164" s="38">
        <f t="shared" ca="1" si="95"/>
        <v>28.604628437120788</v>
      </c>
      <c r="L164" s="38">
        <f t="shared" ca="1" si="95"/>
        <v>30.105072783976144</v>
      </c>
      <c r="M164" s="38">
        <f t="shared" ca="1" si="95"/>
        <v>31.732190082696821</v>
      </c>
      <c r="N164" s="38">
        <f t="shared" ca="1" si="95"/>
        <v>33.446380111716884</v>
      </c>
      <c r="O164" s="38">
        <f t="shared" ca="1" si="95"/>
        <v>35.278123977196628</v>
      </c>
      <c r="P164" s="38">
        <f t="shared" ca="1" si="95"/>
        <v>37.205172219017861</v>
      </c>
      <c r="Q164" s="38">
        <f t="shared" ca="1" si="95"/>
        <v>39.211017643724041</v>
      </c>
      <c r="R164" s="38">
        <f t="shared" ca="1" si="95"/>
        <v>41.26779773751452</v>
      </c>
      <c r="S164" s="38">
        <f t="shared" ca="1" si="95"/>
        <v>43.343198662144026</v>
      </c>
      <c r="T164" s="38">
        <f t="shared" ca="1" si="95"/>
        <v>45.479702041267537</v>
      </c>
    </row>
    <row r="165" spans="1:20" x14ac:dyDescent="0.2">
      <c r="A165" s="1" t="s">
        <v>301</v>
      </c>
      <c r="B165" s="4" t="str">
        <f t="shared" si="94"/>
        <v>From Fiscal</v>
      </c>
      <c r="D165" s="15">
        <f>'Fiscal Forecasts'!D$231</f>
        <v>0.51100000000000001</v>
      </c>
      <c r="E165" s="15">
        <f>'Fiscal Forecasts'!E$231</f>
        <v>0.48599999999999999</v>
      </c>
      <c r="F165" s="16">
        <f>'Fiscal Forecasts'!F$231 +IF($C$2="Yes",'Fiscal Forecast Adjuster'!C$21/1000,0)</f>
        <v>0.47699999999999998</v>
      </c>
      <c r="G165" s="16">
        <f>'Fiscal Forecasts'!G$231 +IF($C$2="Yes",'Fiscal Forecast Adjuster'!D$21/1000,0)</f>
        <v>0.505</v>
      </c>
      <c r="H165" s="16">
        <f>'Fiscal Forecasts'!H$231 +IF($C$2="Yes",'Fiscal Forecast Adjuster'!E$21/1000,0)</f>
        <v>0.51700000000000002</v>
      </c>
      <c r="I165" s="16">
        <f>'Fiscal Forecasts'!I$231 +IF($C$2="Yes",'Fiscal Forecast Adjuster'!F$21/1000,0)</f>
        <v>0.51900000000000002</v>
      </c>
      <c r="J165" s="16">
        <f>'Fiscal Forecasts'!J$231 +IF($C$2="Yes",'Fiscal Forecast Adjuster'!G$21/1000,0)</f>
        <v>0.52600000000000002</v>
      </c>
      <c r="K165" s="7">
        <f ca="1">IF(OFFSET(Assumptions!$B$43,0,$C$1)="Yes",K$13*(J$165/J$13+MIN(ABS(OFFSET(Assumptions!$B$45,0,$C$1)-J$165/J$13),OFFSET(Assumptions!$B$51,0,$C$1))*SIGN(OFFSET(Assumptions!$B$45,0,$C$1)-J$165/J$13)),J$165*(1+K$20)*(1+K$31))</f>
        <v>0.54231663245195649</v>
      </c>
      <c r="L165" s="7">
        <f ca="1">IF(OFFSET(Assumptions!$B$43,0,$C$1)="Yes",L$13*(K$165/K$13+MIN(ABS(OFFSET(Assumptions!$B$45,0,$C$1)-K$165/K$13),OFFSET(Assumptions!$B$51,0,$C$1))*SIGN(OFFSET(Assumptions!$B$45,0,$C$1)-K$165/K$13)),K$165*(1+L$20)*(1+L$31))</f>
        <v>0.55936019936259529</v>
      </c>
      <c r="M165" s="7">
        <f ca="1">IF(OFFSET(Assumptions!$B$43,0,$C$1)="Yes",M$13*(L$165/L$13+MIN(ABS(OFFSET(Assumptions!$B$45,0,$C$1)-L$165/L$13),OFFSET(Assumptions!$B$51,0,$C$1))*SIGN(OFFSET(Assumptions!$B$45,0,$C$1)-L$165/L$13)),L$165*(1+M$20)*(1+M$31))</f>
        <v>0.57678679003081523</v>
      </c>
      <c r="N165" s="7">
        <f ca="1">IF(OFFSET(Assumptions!$B$43,0,$C$1)="Yes",N$13*(M$165/M$13+MIN(ABS(OFFSET(Assumptions!$B$45,0,$C$1)-M$165/M$13),OFFSET(Assumptions!$B$51,0,$C$1))*SIGN(OFFSET(Assumptions!$B$45,0,$C$1)-M$165/M$13)),M$165*(1+N$20)*(1+N$31))</f>
        <v>0.59477569023127863</v>
      </c>
      <c r="O165" s="7">
        <f ca="1">IF(OFFSET(Assumptions!$B$43,0,$C$1)="Yes",O$13*(N$165/N$13+MIN(ABS(OFFSET(Assumptions!$B$45,0,$C$1)-N$165/N$13),OFFSET(Assumptions!$B$51,0,$C$1))*SIGN(OFFSET(Assumptions!$B$45,0,$C$1)-N$165/N$13)),N$165*(1+O$20)*(1+O$31))</f>
        <v>0.61301657931610543</v>
      </c>
      <c r="P165" s="7">
        <f ca="1">IF(OFFSET(Assumptions!$B$43,0,$C$1)="Yes",P$13*(O$165/O$13+MIN(ABS(OFFSET(Assumptions!$B$45,0,$C$1)-O$165/O$13),OFFSET(Assumptions!$B$51,0,$C$1))*SIGN(OFFSET(Assumptions!$B$45,0,$C$1)-O$165/O$13)),O$165*(1+P$20)*(1+P$31))</f>
        <v>0.63150326430209358</v>
      </c>
      <c r="Q165" s="7">
        <f ca="1">IF(OFFSET(Assumptions!$B$43,0,$C$1)="Yes",Q$13*(P$165/P$13+MIN(ABS(OFFSET(Assumptions!$B$45,0,$C$1)-P$165/P$13),OFFSET(Assumptions!$B$51,0,$C$1))*SIGN(OFFSET(Assumptions!$B$45,0,$C$1)-P$165/P$13)),P$165*(1+Q$20)*(1+Q$31))</f>
        <v>0.65029976301619041</v>
      </c>
      <c r="R165" s="7">
        <f ca="1">IF(OFFSET(Assumptions!$B$43,0,$C$1)="Yes",R$13*(Q$165/Q$13+MIN(ABS(OFFSET(Assumptions!$B$45,0,$C$1)-Q$165/Q$13),OFFSET(Assumptions!$B$51,0,$C$1))*SIGN(OFFSET(Assumptions!$B$45,0,$C$1)-Q$165/Q$13)),Q$165*(1+R$20)*(1+R$31))</f>
        <v>0.66923279420292581</v>
      </c>
      <c r="S165" s="7">
        <f ca="1">IF(OFFSET(Assumptions!$B$43,0,$C$1)="Yes",S$13*(R$165/R$13+MIN(ABS(OFFSET(Assumptions!$B$45,0,$C$1)-R$165/R$13),OFFSET(Assumptions!$B$51,0,$C$1))*SIGN(OFFSET(Assumptions!$B$45,0,$C$1)-R$165/R$13)),R$165*(1+S$20)*(1+S$31))</f>
        <v>0.68850336701352055</v>
      </c>
      <c r="T165" s="7">
        <f ca="1">IF(OFFSET(Assumptions!$B$43,0,$C$1)="Yes",T$13*(S$165/S$13+MIN(ABS(OFFSET(Assumptions!$B$45,0,$C$1)-S$165/S$13),OFFSET(Assumptions!$B$51,0,$C$1))*SIGN(OFFSET(Assumptions!$B$45,0,$C$1)-S$165/S$13)),S$165*(1+T$20)*(1+T$31))</f>
        <v>0.70814083689375062</v>
      </c>
    </row>
    <row r="166" spans="1:20" ht="15" x14ac:dyDescent="0.25">
      <c r="A166" s="2" t="s">
        <v>496</v>
      </c>
      <c r="D166" s="35">
        <f t="shared" ref="D166:T166" si="96">SUM(D$164:D$165)</f>
        <v>22.353999999999996</v>
      </c>
      <c r="E166" s="35">
        <f t="shared" si="96"/>
        <v>23.08</v>
      </c>
      <c r="F166" s="34">
        <f t="shared" si="96"/>
        <v>24.034999999999997</v>
      </c>
      <c r="G166" s="34">
        <f t="shared" si="96"/>
        <v>25.021999999999995</v>
      </c>
      <c r="H166" s="34">
        <f t="shared" si="96"/>
        <v>26.190999999999999</v>
      </c>
      <c r="I166" s="34">
        <f t="shared" si="96"/>
        <v>27.002999999999997</v>
      </c>
      <c r="J166" s="34">
        <f t="shared" si="96"/>
        <v>27.931000000000001</v>
      </c>
      <c r="K166" s="38">
        <f t="shared" ca="1" si="96"/>
        <v>29.146945069572745</v>
      </c>
      <c r="L166" s="38">
        <f t="shared" ca="1" si="96"/>
        <v>30.664432983338738</v>
      </c>
      <c r="M166" s="38">
        <f t="shared" ca="1" si="96"/>
        <v>32.308976872727634</v>
      </c>
      <c r="N166" s="38">
        <f t="shared" ca="1" si="96"/>
        <v>34.041155801948165</v>
      </c>
      <c r="O166" s="38">
        <f t="shared" ca="1" si="96"/>
        <v>35.891140556512731</v>
      </c>
      <c r="P166" s="38">
        <f t="shared" ca="1" si="96"/>
        <v>37.836675483319958</v>
      </c>
      <c r="Q166" s="38">
        <f t="shared" ca="1" si="96"/>
        <v>39.861317406740234</v>
      </c>
      <c r="R166" s="38">
        <f t="shared" ca="1" si="96"/>
        <v>41.937030531717447</v>
      </c>
      <c r="S166" s="38">
        <f t="shared" ca="1" si="96"/>
        <v>44.031702029157543</v>
      </c>
      <c r="T166" s="38">
        <f t="shared" ca="1" si="96"/>
        <v>46.187842878161284</v>
      </c>
    </row>
    <row r="167" spans="1:20" x14ac:dyDescent="0.2">
      <c r="A167" s="1" t="s">
        <v>497</v>
      </c>
      <c r="B167" s="4" t="str">
        <f t="shared" si="94"/>
        <v>From Fiscal</v>
      </c>
      <c r="D167" s="15">
        <f>'Fiscal Forecasts'!D$232</f>
        <v>0.85599999999999998</v>
      </c>
      <c r="E167" s="15">
        <f>'Fiscal Forecasts'!E$232</f>
        <v>0.69799999999999995</v>
      </c>
      <c r="F167" s="16">
        <f>'Fiscal Forecasts'!F$232 +IF($C$2="Yes",'Fiscal Forecast Adjuster'!C$22/1000,0)</f>
        <v>0.80500000000000005</v>
      </c>
      <c r="G167" s="16">
        <f>'Fiscal Forecasts'!G$232 +IF($C$2="Yes",'Fiscal Forecast Adjuster'!D$22/1000,0)</f>
        <v>0.82799999999999996</v>
      </c>
      <c r="H167" s="16">
        <f>'Fiscal Forecasts'!H$232 +IF($C$2="Yes",'Fiscal Forecast Adjuster'!E$22/1000,0)</f>
        <v>0.86899999999999999</v>
      </c>
      <c r="I167" s="16">
        <f>'Fiscal Forecasts'!I$232 +IF($C$2="Yes",'Fiscal Forecast Adjuster'!F$22/1000,0)</f>
        <v>0.90900000000000003</v>
      </c>
      <c r="J167" s="16">
        <f>'Fiscal Forecasts'!J$232 +IF($C$2="Yes",'Fiscal Forecast Adjuster'!G$22/1000,0)</f>
        <v>0.95399999999999996</v>
      </c>
      <c r="K167" s="7">
        <f ca="1">IF(K$6&lt;=OFFSET(Assumptions!$B$52,0,$C$1),Exogenous!R$36,J$167*(1+K$14))</f>
        <v>0.995</v>
      </c>
      <c r="L167" s="7">
        <f ca="1">IF(L$6&lt;=OFFSET(Assumptions!$B$52,0,$C$1),Exogenous!S$36,K$167*(1+L$14))</f>
        <v>1.0386540633507413</v>
      </c>
      <c r="M167" s="7">
        <f ca="1">IF(M$6&lt;=OFFSET(Assumptions!$B$52,0,$C$1),Exogenous!T$36,L$167*(1+M$14))</f>
        <v>1.0840430349180374</v>
      </c>
      <c r="N167" s="7">
        <f ca="1">IF(N$6&lt;=OFFSET(Assumptions!$B$52,0,$C$1),Exogenous!U$36,M$167*(1+N$14))</f>
        <v>1.1313642438398583</v>
      </c>
      <c r="O167" s="7">
        <f ca="1">IF(O$6&lt;=OFFSET(Assumptions!$B$52,0,$C$1),Exogenous!V$36,N$167*(1+O$14))</f>
        <v>1.1802590442330478</v>
      </c>
      <c r="P167" s="7">
        <f ca="1">IF(P$6&lt;=OFFSET(Assumptions!$B$52,0,$C$1),Exogenous!W$36,O$167*(1+P$14))</f>
        <v>1.2309205444643914</v>
      </c>
      <c r="Q167" s="7">
        <f ca="1">IF(Q$6&lt;=OFFSET(Assumptions!$B$52,0,$C$1),Exogenous!X$36,P$167*(1+Q$14))</f>
        <v>1.2832703881881529</v>
      </c>
      <c r="R167" s="7">
        <f ca="1">IF(R$6&lt;=OFFSET(Assumptions!$B$52,0,$C$1),Exogenous!Y$36,Q$167*(1+R$14))</f>
        <v>1.3372502008107967</v>
      </c>
      <c r="S167" s="7">
        <f ca="1">IF(S$6&lt;=OFFSET(Assumptions!$B$52,0,$C$1),Exogenous!Z$36,R$167*(1+S$14))</f>
        <v>1.3931050099608024</v>
      </c>
      <c r="T167" s="7">
        <f ca="1">IF(T$6&lt;=OFFSET(Assumptions!$B$52,0,$C$1),Exogenous!AA$36,S$167*(1+T$14))</f>
        <v>1.4507480748214796</v>
      </c>
    </row>
    <row r="168" spans="1:20" x14ac:dyDescent="0.2">
      <c r="A168" s="1" t="s">
        <v>304</v>
      </c>
      <c r="B168" s="4" t="str">
        <f t="shared" si="94"/>
        <v>From Fiscal</v>
      </c>
      <c r="D168" s="15">
        <f>'Fiscal Forecasts'!D$233</f>
        <v>0.51300000000000001</v>
      </c>
      <c r="E168" s="15">
        <f>'Fiscal Forecasts'!E$233</f>
        <v>0.53400000000000003</v>
      </c>
      <c r="F168" s="16">
        <f>'Fiscal Forecasts'!F$233</f>
        <v>0.53900000000000003</v>
      </c>
      <c r="G168" s="16">
        <f>'Fiscal Forecasts'!G$233</f>
        <v>0.64400000000000002</v>
      </c>
      <c r="H168" s="16">
        <f>'Fiscal Forecasts'!H$233</f>
        <v>0.58599999999999997</v>
      </c>
      <c r="I168" s="16">
        <f>'Fiscal Forecasts'!I$233</f>
        <v>0.58599999999999997</v>
      </c>
      <c r="J168" s="16">
        <f>'Fiscal Forecasts'!J$233</f>
        <v>0.58599999999999997</v>
      </c>
      <c r="K168" s="7">
        <f ca="1">(J$168/J$13+MIN(ABS(OFFSET(Assumptions!$B$53,0,$C$1)-J$168/J$13),OFFSET(Assumptions!$B$51,0,$C$1))*SIGN(OFFSET(Assumptions!$B$53,0,$C$1)-J$168/J$13))*K$13</f>
        <v>0.67416903119122229</v>
      </c>
      <c r="L168" s="7">
        <f ca="1">(K$168/K$13+MIN(ABS(OFFSET(Assumptions!$B$53,0,$C$1)-K$168/K$13),OFFSET(Assumptions!$B$51,0,$C$1))*SIGN(OFFSET(Assumptions!$B$53,0,$C$1)-K$168/K$13))*L$13</f>
        <v>0.70374713932863886</v>
      </c>
      <c r="M168" s="7">
        <f ca="1">(L$168/L$13+MIN(ABS(OFFSET(Assumptions!$B$53,0,$C$1)-L$168/L$13),OFFSET(Assumptions!$B$51,0,$C$1))*SIGN(OFFSET(Assumptions!$B$53,0,$C$1)-L$168/L$13))*M$13</f>
        <v>0.73450074635204587</v>
      </c>
      <c r="N168" s="7">
        <f ca="1">(M$168/M$13+MIN(ABS(OFFSET(Assumptions!$B$53,0,$C$1)-M$168/M$13),OFFSET(Assumptions!$B$51,0,$C$1))*SIGN(OFFSET(Assumptions!$B$53,0,$C$1)-M$168/M$13))*N$13</f>
        <v>0.76656355396372577</v>
      </c>
      <c r="O168" s="7">
        <f ca="1">(N$168/N$13+MIN(ABS(OFFSET(Assumptions!$B$53,0,$C$1)-N$168/N$13),OFFSET(Assumptions!$B$51,0,$C$1))*SIGN(OFFSET(Assumptions!$B$53,0,$C$1)-N$168/N$13))*O$13</f>
        <v>0.79969255920127835</v>
      </c>
      <c r="P168" s="7">
        <f ca="1">(O$168/O$13+MIN(ABS(OFFSET(Assumptions!$B$53,0,$C$1)-O$168/O$13),OFFSET(Assumptions!$B$51,0,$C$1))*SIGN(OFFSET(Assumptions!$B$53,0,$C$1)-O$168/O$13))*P$13</f>
        <v>0.83401860395470417</v>
      </c>
      <c r="Q168" s="7">
        <f ca="1">(P$168/P$13+MIN(ABS(OFFSET(Assumptions!$B$53,0,$C$1)-P$168/P$13),OFFSET(Assumptions!$B$51,0,$C$1))*SIGN(OFFSET(Assumptions!$B$53,0,$C$1)-P$168/P$13))*Q$13</f>
        <v>0.86948859734793038</v>
      </c>
      <c r="R168" s="7">
        <f ca="1">(Q$168/Q$13+MIN(ABS(OFFSET(Assumptions!$B$53,0,$C$1)-Q$168/Q$13),OFFSET(Assumptions!$B$51,0,$C$1))*SIGN(OFFSET(Assumptions!$B$53,0,$C$1)-Q$168/Q$13))*R$13</f>
        <v>0.90606298727726864</v>
      </c>
      <c r="S168" s="7">
        <f ca="1">(R$168/R$13+MIN(ABS(OFFSET(Assumptions!$B$53,0,$C$1)-R$168/R$13),OFFSET(Assumptions!$B$51,0,$C$1))*SIGN(OFFSET(Assumptions!$B$53,0,$C$1)-R$168/R$13))*S$13</f>
        <v>0.94390779388232393</v>
      </c>
      <c r="T168" s="7">
        <f ca="1">(S$168/S$13+MIN(ABS(OFFSET(Assumptions!$B$53,0,$C$1)-S$168/S$13),OFFSET(Assumptions!$B$51,0,$C$1))*SIGN(OFFSET(Assumptions!$B$53,0,$C$1)-S$168/S$13))*T$13</f>
        <v>0.98296424533158566</v>
      </c>
    </row>
    <row r="169" spans="1:20" ht="15" x14ac:dyDescent="0.25">
      <c r="A169" s="2" t="s">
        <v>498</v>
      </c>
      <c r="D169" s="35">
        <f t="shared" ref="D169:T169" si="97">SUM(D$166:D$168)</f>
        <v>23.722999999999999</v>
      </c>
      <c r="E169" s="35">
        <f t="shared" si="97"/>
        <v>24.311999999999998</v>
      </c>
      <c r="F169" s="34">
        <f t="shared" si="97"/>
        <v>25.378999999999998</v>
      </c>
      <c r="G169" s="34">
        <f t="shared" si="97"/>
        <v>26.493999999999993</v>
      </c>
      <c r="H169" s="34">
        <f t="shared" si="97"/>
        <v>27.645999999999997</v>
      </c>
      <c r="I169" s="34">
        <f t="shared" si="97"/>
        <v>28.497999999999994</v>
      </c>
      <c r="J169" s="34">
        <f t="shared" si="97"/>
        <v>29.471</v>
      </c>
      <c r="K169" s="38">
        <f t="shared" ca="1" si="97"/>
        <v>30.816114100763969</v>
      </c>
      <c r="L169" s="38">
        <f t="shared" ca="1" si="97"/>
        <v>32.406834186018116</v>
      </c>
      <c r="M169" s="38">
        <f t="shared" ca="1" si="97"/>
        <v>34.127520653997721</v>
      </c>
      <c r="N169" s="38">
        <f t="shared" ca="1" si="97"/>
        <v>35.939083599751754</v>
      </c>
      <c r="O169" s="38">
        <f t="shared" ca="1" si="97"/>
        <v>37.871092159947054</v>
      </c>
      <c r="P169" s="38">
        <f t="shared" ca="1" si="97"/>
        <v>39.901614631739051</v>
      </c>
      <c r="Q169" s="38">
        <f t="shared" ca="1" si="97"/>
        <v>42.014076392276316</v>
      </c>
      <c r="R169" s="38">
        <f t="shared" ca="1" si="97"/>
        <v>44.180343719805514</v>
      </c>
      <c r="S169" s="38">
        <f t="shared" ca="1" si="97"/>
        <v>46.368714833000674</v>
      </c>
      <c r="T169" s="38">
        <f t="shared" ca="1" si="97"/>
        <v>48.621555198314354</v>
      </c>
    </row>
    <row r="170" spans="1:20" ht="15" x14ac:dyDescent="0.25">
      <c r="A170" s="2" t="s">
        <v>500</v>
      </c>
      <c r="B170" s="4" t="str">
        <f t="shared" si="94"/>
        <v>From Fiscal</v>
      </c>
      <c r="D170" s="40">
        <f>'Fiscal Forecasts'!D$157</f>
        <v>23.722999999999999</v>
      </c>
      <c r="E170" s="40">
        <f>'Fiscal Forecasts'!E$157</f>
        <v>24.312000000000001</v>
      </c>
      <c r="F170" s="39">
        <f>'Fiscal Forecasts'!F$157 +IF($C$2="Yes",SUM('Fiscal Forecast Adjuster'!C$15:C$22)/1000,0)</f>
        <v>25.379000000000001</v>
      </c>
      <c r="G170" s="39">
        <f>'Fiscal Forecasts'!G$157 +IF($C$2="Yes",SUM('Fiscal Forecast Adjuster'!D$15:D$22)/1000,0)</f>
        <v>26.494</v>
      </c>
      <c r="H170" s="39">
        <f>'Fiscal Forecasts'!H$157 +IF($C$2="Yes",SUM('Fiscal Forecast Adjuster'!E$15:E$22)/1000,0)</f>
        <v>27.646000000000001</v>
      </c>
      <c r="I170" s="39">
        <f>'Fiscal Forecasts'!I$157 +IF($C$2="Yes",SUM('Fiscal Forecast Adjuster'!F$15:F$22)/1000,0)</f>
        <v>28.498000000000001</v>
      </c>
      <c r="J170" s="39">
        <f>'Fiscal Forecasts'!J$157 +IF($C$2="Yes",SUM('Fiscal Forecast Adjuster'!G$15:G$22)/1000,0)</f>
        <v>29.471</v>
      </c>
      <c r="K170" s="8">
        <f t="shared" ref="K170:T170" ca="1" si="98">K$169</f>
        <v>30.816114100763969</v>
      </c>
      <c r="L170" s="8">
        <f t="shared" ca="1" si="98"/>
        <v>32.406834186018116</v>
      </c>
      <c r="M170" s="8">
        <f t="shared" ca="1" si="98"/>
        <v>34.127520653997721</v>
      </c>
      <c r="N170" s="8">
        <f t="shared" ca="1" si="98"/>
        <v>35.939083599751754</v>
      </c>
      <c r="O170" s="8">
        <f t="shared" ca="1" si="98"/>
        <v>37.871092159947054</v>
      </c>
      <c r="P170" s="8">
        <f t="shared" ca="1" si="98"/>
        <v>39.901614631739051</v>
      </c>
      <c r="Q170" s="8">
        <f t="shared" ca="1" si="98"/>
        <v>42.014076392276316</v>
      </c>
      <c r="R170" s="8">
        <f t="shared" ca="1" si="98"/>
        <v>44.180343719805514</v>
      </c>
      <c r="S170" s="8">
        <f t="shared" ca="1" si="98"/>
        <v>46.368714833000674</v>
      </c>
      <c r="T170" s="8">
        <f t="shared" ca="1" si="98"/>
        <v>48.621555198314354</v>
      </c>
    </row>
    <row r="171" spans="1:20" x14ac:dyDescent="0.2">
      <c r="A171" s="1" t="s">
        <v>501</v>
      </c>
      <c r="B171" s="4" t="str">
        <f t="shared" si="94"/>
        <v>From Fiscal</v>
      </c>
      <c r="D171" s="15">
        <f>'Fiscal Forecasts'!D$53-D$164</f>
        <v>1.6800000000000033</v>
      </c>
      <c r="E171" s="15">
        <f>'Fiscal Forecasts'!E$53-E$164</f>
        <v>1.4870000000000019</v>
      </c>
      <c r="F171" s="16">
        <f ca="1">'Fiscal Forecasts'!F$53-F$164 +IF($C$2="Yes",SUM('Fiscal Forecast Adjuster'!C$15:C$20)/1000,0) +IF(OFFSET(Assumptions!$B$57,0,$C$1)="Yes",Allocate!C$14 +IF($C$2="Yes",Allocate!$B$14*'Fiscal Forecast Adjuster'!C$26/1000,0),0)</f>
        <v>1.762000000000004</v>
      </c>
      <c r="G171" s="16">
        <f ca="1">'Fiscal Forecasts'!G$53-G$164 +IF($C$2="Yes",SUM('Fiscal Forecast Adjuster'!D$15:D$20)/1000,0) +IF(OFFSET(Assumptions!$B$57,0,$C$1)="Yes",Allocate!D$14 +IF($C$2="Yes",Allocate!$B$14*'Fiscal Forecast Adjuster'!D$26/1000,0),0)</f>
        <v>1.7630000000000052</v>
      </c>
      <c r="H171" s="16">
        <f ca="1">'Fiscal Forecasts'!H$53-H$164 +IF($C$2="Yes",SUM('Fiscal Forecast Adjuster'!E$15:E$20)/1000,0) +IF(OFFSET(Assumptions!$B$57,0,$C$1)="Yes",Allocate!E$14 +IF($C$2="Yes",Allocate!$B$14*'Fiscal Forecast Adjuster'!E$26/1000,0),0)</f>
        <v>1.722999999999999</v>
      </c>
      <c r="I171" s="16">
        <f ca="1">'Fiscal Forecasts'!I$53-I$164 +IF($C$2="Yes",SUM('Fiscal Forecast Adjuster'!F$15:F$20)/1000,0) +IF(OFFSET(Assumptions!$B$57,0,$C$1)="Yes",Allocate!F$14 +IF($C$2="Yes",Allocate!$B$14*'Fiscal Forecast Adjuster'!F$26/1000,0),0)</f>
        <v>1.7380000000000031</v>
      </c>
      <c r="J171" s="16">
        <f ca="1">'Fiscal Forecasts'!J$53-J$164 +IF($C$2="Yes",SUM('Fiscal Forecast Adjuster'!G$15:G$20)/1000,0) +IF(OFFSET(Assumptions!$B$57,0,$C$1)="Yes",Allocate!G$14 +IF($C$2="Yes",Allocate!$B$14*'Fiscal Forecast Adjuster'!G$26/1000,0),0)</f>
        <v>1.7309999999999981</v>
      </c>
      <c r="K171" s="7">
        <f ca="1">SUM(J$171,IF(OFFSET(Assumptions!$B$57,0,$C$1)="Yes",Allocate!$B$14,0)*SUM(K$220,K$223))</f>
        <v>1.7309999999999981</v>
      </c>
      <c r="L171" s="7">
        <f ca="1">SUM(K$171,IF(OFFSET(Assumptions!$B$57,0,$C$1)="Yes",Allocate!$B$14,0)*SUM(L$220,L$223))</f>
        <v>1.7309999999999981</v>
      </c>
      <c r="M171" s="7">
        <f ca="1">SUM(L$171,IF(OFFSET(Assumptions!$B$57,0,$C$1)="Yes",Allocate!$B$14,0)*SUM(M$220,M$223))</f>
        <v>1.7309999999999981</v>
      </c>
      <c r="N171" s="7">
        <f ca="1">SUM(M$171,IF(OFFSET(Assumptions!$B$57,0,$C$1)="Yes",Allocate!$B$14,0)*SUM(N$220,N$223))</f>
        <v>1.7309999999999981</v>
      </c>
      <c r="O171" s="7">
        <f ca="1">SUM(N$171,IF(OFFSET(Assumptions!$B$57,0,$C$1)="Yes",Allocate!$B$14,0)*SUM(O$220,O$223))</f>
        <v>1.7309999999999981</v>
      </c>
      <c r="P171" s="7">
        <f ca="1">SUM(O$171,IF(OFFSET(Assumptions!$B$57,0,$C$1)="Yes",Allocate!$B$14,0)*SUM(P$220,P$223))</f>
        <v>1.7309999999999981</v>
      </c>
      <c r="Q171" s="7">
        <f ca="1">SUM(P$171,IF(OFFSET(Assumptions!$B$57,0,$C$1)="Yes",Allocate!$B$14,0)*SUM(Q$220,Q$223))</f>
        <v>1.7309999999999981</v>
      </c>
      <c r="R171" s="7">
        <f ca="1">SUM(Q$171,IF(OFFSET(Assumptions!$B$57,0,$C$1)="Yes",Allocate!$B$14,0)*SUM(R$220,R$223))</f>
        <v>1.7309999999999981</v>
      </c>
      <c r="S171" s="7">
        <f ca="1">SUM(R$171,IF(OFFSET(Assumptions!$B$57,0,$C$1)="Yes",Allocate!$B$14,0)*SUM(S$220,S$223))</f>
        <v>1.7309999999999981</v>
      </c>
      <c r="T171" s="7">
        <f ca="1">SUM(S$171,IF(OFFSET(Assumptions!$B$57,0,$C$1)="Yes",Allocate!$B$14,0)*SUM(T$220,T$223))</f>
        <v>1.7309999999999981</v>
      </c>
    </row>
    <row r="172" spans="1:20" ht="15" x14ac:dyDescent="0.25">
      <c r="A172" s="2" t="s">
        <v>502</v>
      </c>
      <c r="B172" s="4"/>
      <c r="D172" s="40">
        <f t="shared" ref="D172:T172" si="99">SUM(D$164,D$171)</f>
        <v>23.523</v>
      </c>
      <c r="E172" s="40">
        <f t="shared" si="99"/>
        <v>24.081</v>
      </c>
      <c r="F172" s="39">
        <f t="shared" ca="1" si="99"/>
        <v>25.32</v>
      </c>
      <c r="G172" s="39">
        <f t="shared" ca="1" si="99"/>
        <v>26.28</v>
      </c>
      <c r="H172" s="39">
        <f t="shared" ca="1" si="99"/>
        <v>27.396999999999998</v>
      </c>
      <c r="I172" s="39">
        <f t="shared" ca="1" si="99"/>
        <v>28.222000000000001</v>
      </c>
      <c r="J172" s="39">
        <f t="shared" ca="1" si="99"/>
        <v>29.135999999999999</v>
      </c>
      <c r="K172" s="8">
        <f t="shared" ca="1" si="99"/>
        <v>30.335628437120786</v>
      </c>
      <c r="L172" s="8">
        <f t="shared" ca="1" si="99"/>
        <v>31.836072783976142</v>
      </c>
      <c r="M172" s="8">
        <f t="shared" ca="1" si="99"/>
        <v>33.463190082696819</v>
      </c>
      <c r="N172" s="8">
        <f t="shared" ca="1" si="99"/>
        <v>35.177380111716886</v>
      </c>
      <c r="O172" s="8">
        <f t="shared" ca="1" si="99"/>
        <v>37.009123977196623</v>
      </c>
      <c r="P172" s="8">
        <f t="shared" ca="1" si="99"/>
        <v>38.936172219017863</v>
      </c>
      <c r="Q172" s="8">
        <f t="shared" ca="1" si="99"/>
        <v>40.942017643724043</v>
      </c>
      <c r="R172" s="8">
        <f t="shared" ca="1" si="99"/>
        <v>42.998797737514522</v>
      </c>
      <c r="S172" s="8">
        <f t="shared" ca="1" si="99"/>
        <v>45.074198662144028</v>
      </c>
      <c r="T172" s="8">
        <f t="shared" ca="1" si="99"/>
        <v>47.210702041267538</v>
      </c>
    </row>
    <row r="173" spans="1:20" x14ac:dyDescent="0.2">
      <c r="A173" s="1" t="s">
        <v>503</v>
      </c>
      <c r="B173" s="4" t="str">
        <f t="shared" si="94"/>
        <v>From Fiscal</v>
      </c>
      <c r="D173" s="15">
        <f>'Fiscal Forecasts'!D$194</f>
        <v>5.2460000000000004</v>
      </c>
      <c r="E173" s="15">
        <f>'Fiscal Forecasts'!E$194</f>
        <v>5.36</v>
      </c>
      <c r="F173" s="16">
        <f>'Fiscal Forecasts'!F$194</f>
        <v>5.8209999999999997</v>
      </c>
      <c r="G173" s="16">
        <f>'Fiscal Forecasts'!G$194</f>
        <v>6.0810000000000004</v>
      </c>
      <c r="H173" s="16">
        <f>'Fiscal Forecasts'!H$194</f>
        <v>6.2530000000000001</v>
      </c>
      <c r="I173" s="16">
        <f>'Fiscal Forecasts'!I$194</f>
        <v>6.69</v>
      </c>
      <c r="J173" s="16">
        <f>'Fiscal Forecasts'!J$194</f>
        <v>7.0339999999999998</v>
      </c>
      <c r="K173" s="7">
        <f>J$173*Exogenous!R$25/Exogenous!Q$25</f>
        <v>7.3623139190769633</v>
      </c>
      <c r="L173" s="7">
        <f>K$173*Exogenous!S$25/Exogenous!R$25</f>
        <v>7.6977254932412995</v>
      </c>
      <c r="M173" s="7">
        <f>L$173*Exogenous!T$25/Exogenous!S$25</f>
        <v>8.0659316419807663</v>
      </c>
      <c r="N173" s="7">
        <f>M$173*Exogenous!U$25/Exogenous!T$25</f>
        <v>8.4031427670597196</v>
      </c>
      <c r="O173" s="7">
        <f>N$173*Exogenous!V$25/Exogenous!U$25</f>
        <v>8.756020320823664</v>
      </c>
      <c r="P173" s="7">
        <f>O$173*Exogenous!W$25/Exogenous!V$25</f>
        <v>9.1007193978236511</v>
      </c>
      <c r="Q173" s="7">
        <f>P$173*Exogenous!X$25/Exogenous!W$25</f>
        <v>9.4558539928450323</v>
      </c>
      <c r="R173" s="7">
        <f>Q$173*Exogenous!Y$25/Exogenous!X$25</f>
        <v>9.8218781835478097</v>
      </c>
      <c r="S173" s="7">
        <f>R$173*Exogenous!Z$25/Exogenous!Y$25</f>
        <v>10.19926632192753</v>
      </c>
      <c r="T173" s="7">
        <f>S$173*Exogenous!AA$25/Exogenous!Z$25</f>
        <v>10.588513958671909</v>
      </c>
    </row>
    <row r="174" spans="1:20" x14ac:dyDescent="0.2">
      <c r="A174" s="1" t="s">
        <v>504</v>
      </c>
      <c r="B174" s="4" t="str">
        <f t="shared" si="94"/>
        <v>From Fiscal</v>
      </c>
      <c r="D174" s="15">
        <f>'Fiscal Forecasts'!D$36-SUM(D$172:D$173)</f>
        <v>-0.5379999999999967</v>
      </c>
      <c r="E174" s="15">
        <f>'Fiscal Forecasts'!E$36-SUM(E$172:E$173)</f>
        <v>-0.53999999999999915</v>
      </c>
      <c r="F174" s="16">
        <f ca="1">'Fiscal Forecasts'!F$36-SUM(F$172:F$173)  +IF($C$2="Yes",SUM('Fiscal Forecast Adjuster'!C$15:C$20)/1000,0) +IF(OFFSET(Assumptions!$B$57,0,$C$1)="Yes",Allocate!C$14 +IF($C$2="Yes",Allocate!$B$14*'Fiscal Forecast Adjuster'!C$26/1000,0),0)</f>
        <v>-0.54799999999999827</v>
      </c>
      <c r="G174" s="16">
        <f ca="1">'Fiscal Forecasts'!G$36-SUM(G$172:G$173)  +IF($C$2="Yes",SUM('Fiscal Forecast Adjuster'!D$15:D$20)/1000,0) +IF(OFFSET(Assumptions!$B$57,0,$C$1)="Yes",Allocate!D$14 +IF($C$2="Yes",Allocate!$B$14*'Fiscal Forecast Adjuster'!D$26/1000,0),0)</f>
        <v>-0.56500000000000483</v>
      </c>
      <c r="H174" s="16">
        <f ca="1">'Fiscal Forecasts'!H$36-SUM(H$172:H$173)  +IF($C$2="Yes",SUM('Fiscal Forecast Adjuster'!E$15:E$20)/1000,0) +IF(OFFSET(Assumptions!$B$57,0,$C$1)="Yes",Allocate!E$14 +IF($C$2="Yes",Allocate!$B$14*'Fiscal Forecast Adjuster'!E$26/1000,0),0)</f>
        <v>-0.58200000000000074</v>
      </c>
      <c r="I174" s="16">
        <f ca="1">'Fiscal Forecasts'!I$36-SUM(I$172:I$173)  +IF($C$2="Yes",SUM('Fiscal Forecast Adjuster'!F$15:F$20)/1000,0) +IF(OFFSET(Assumptions!$B$57,0,$C$1)="Yes",Allocate!F$14 +IF($C$2="Yes",Allocate!$B$14*'Fiscal Forecast Adjuster'!F$26/1000,0),0)</f>
        <v>-0.59799999999999898</v>
      </c>
      <c r="J174" s="16">
        <f ca="1">'Fiscal Forecasts'!J$36-SUM(J$172:J$173)  +IF($C$2="Yes",SUM('Fiscal Forecast Adjuster'!G$15:G$20)/1000,0) +IF(OFFSET(Assumptions!$B$57,0,$C$1)="Yes",Allocate!G$14 +IF($C$2="Yes",Allocate!$B$14*'Fiscal Forecast Adjuster'!G$26/1000,0),0)</f>
        <v>-0.61599999999999966</v>
      </c>
      <c r="K174" s="7">
        <f ca="1">J$174*Exogenous!R$26/Exogenous!Q$26</f>
        <v>-0.64814777294678172</v>
      </c>
      <c r="L174" s="7">
        <f ca="1">K$174*Exogenous!S$26/Exogenous!R$26</f>
        <v>-0.67965890058640777</v>
      </c>
      <c r="M174" s="7">
        <f ca="1">L$174*Exogenous!T$26/Exogenous!S$26</f>
        <v>-0.71758833614017303</v>
      </c>
      <c r="N174" s="7">
        <f ca="1">M$174*Exogenous!U$26/Exogenous!T$26</f>
        <v>-0.74976554045512012</v>
      </c>
      <c r="O174" s="7">
        <f ca="1">N$174*Exogenous!V$26/Exogenous!U$26</f>
        <v>-0.78448582205181538</v>
      </c>
      <c r="P174" s="7">
        <f ca="1">O$174*Exogenous!W$26/Exogenous!V$26</f>
        <v>-0.81371412158519574</v>
      </c>
      <c r="Q174" s="7">
        <f ca="1">P$174*Exogenous!X$26/Exogenous!W$26</f>
        <v>-0.84294242111857243</v>
      </c>
      <c r="R174" s="7">
        <f ca="1">Q$174*Exogenous!Y$26/Exogenous!X$26</f>
        <v>-0.87217072065195145</v>
      </c>
      <c r="S174" s="7">
        <f ca="1">R$174*Exogenous!Z$26/Exogenous!Y$26</f>
        <v>-0.90139902018533213</v>
      </c>
      <c r="T174" s="7">
        <f ca="1">S$174*Exogenous!AA$26/Exogenous!Z$26</f>
        <v>-0.9306273197187076</v>
      </c>
    </row>
    <row r="175" spans="1:20" ht="15" x14ac:dyDescent="0.25">
      <c r="A175" s="2" t="s">
        <v>505</v>
      </c>
      <c r="D175" s="35">
        <f t="shared" ref="D175:T175" si="100">SUM(D$172:D$174)</f>
        <v>28.231000000000002</v>
      </c>
      <c r="E175" s="35">
        <f t="shared" si="100"/>
        <v>28.901</v>
      </c>
      <c r="F175" s="34">
        <f t="shared" ca="1" si="100"/>
        <v>30.593</v>
      </c>
      <c r="G175" s="34">
        <f t="shared" ca="1" si="100"/>
        <v>31.795999999999999</v>
      </c>
      <c r="H175" s="34">
        <f t="shared" ca="1" si="100"/>
        <v>33.067999999999998</v>
      </c>
      <c r="I175" s="34">
        <f t="shared" ca="1" si="100"/>
        <v>34.314</v>
      </c>
      <c r="J175" s="34">
        <f t="shared" ca="1" si="100"/>
        <v>35.554000000000002</v>
      </c>
      <c r="K175" s="38">
        <f t="shared" ca="1" si="100"/>
        <v>37.049794583250971</v>
      </c>
      <c r="L175" s="38">
        <f t="shared" ca="1" si="100"/>
        <v>38.854139376631032</v>
      </c>
      <c r="M175" s="38">
        <f t="shared" ca="1" si="100"/>
        <v>40.811533388537413</v>
      </c>
      <c r="N175" s="38">
        <f t="shared" ca="1" si="100"/>
        <v>42.830757338321483</v>
      </c>
      <c r="O175" s="38">
        <f t="shared" ca="1" si="100"/>
        <v>44.980658475968475</v>
      </c>
      <c r="P175" s="38">
        <f t="shared" ca="1" si="100"/>
        <v>47.223177495256323</v>
      </c>
      <c r="Q175" s="38">
        <f t="shared" ca="1" si="100"/>
        <v>49.554929215450507</v>
      </c>
      <c r="R175" s="38">
        <f t="shared" ca="1" si="100"/>
        <v>51.948505200410381</v>
      </c>
      <c r="S175" s="38">
        <f t="shared" ca="1" si="100"/>
        <v>54.372065963886229</v>
      </c>
      <c r="T175" s="38">
        <f t="shared" ca="1" si="100"/>
        <v>56.868588680220739</v>
      </c>
    </row>
    <row r="176" spans="1:20" x14ac:dyDescent="0.2">
      <c r="A176" s="19" t="s">
        <v>488</v>
      </c>
    </row>
    <row r="177" spans="1:20" x14ac:dyDescent="0.2">
      <c r="A177" s="1" t="s">
        <v>854</v>
      </c>
      <c r="B177" s="4" t="str">
        <f>$B$11</f>
        <v>From Economic</v>
      </c>
      <c r="D177" s="21">
        <f>'Economic Forecasts'!M$19</f>
        <v>1077.5</v>
      </c>
      <c r="E177" s="21">
        <f>'Economic Forecasts'!N$19</f>
        <v>1111.4000000000001</v>
      </c>
      <c r="F177" s="22">
        <f>'Economic Forecasts'!O$19</f>
        <v>1129.72</v>
      </c>
      <c r="G177" s="22">
        <f>'Economic Forecasts'!P$19</f>
        <v>1153.1199999999999</v>
      </c>
      <c r="H177" s="22">
        <f>'Economic Forecasts'!Q$19</f>
        <v>1186.3699999999999</v>
      </c>
      <c r="I177" s="22">
        <f>'Economic Forecasts'!R$19</f>
        <v>1218.04</v>
      </c>
      <c r="J177" s="22">
        <f>'Economic Forecasts'!S$19</f>
        <v>1249.56</v>
      </c>
      <c r="K177" s="10">
        <f t="shared" ref="K177:T177" ca="1" si="101">J$177*(1+K$28)</f>
        <v>1293.0321923999998</v>
      </c>
      <c r="L177" s="10">
        <f t="shared" ca="1" si="101"/>
        <v>1338.6762287917195</v>
      </c>
      <c r="M177" s="10">
        <f t="shared" ca="1" si="101"/>
        <v>1385.9314996680671</v>
      </c>
      <c r="N177" s="10">
        <f t="shared" ca="1" si="101"/>
        <v>1434.8548816063496</v>
      </c>
      <c r="O177" s="10">
        <f t="shared" ca="1" si="101"/>
        <v>1485.5052589270535</v>
      </c>
      <c r="P177" s="10">
        <f t="shared" ca="1" si="101"/>
        <v>1537.9435945671785</v>
      </c>
      <c r="Q177" s="10">
        <f t="shared" ca="1" si="101"/>
        <v>1592.2330034553997</v>
      </c>
      <c r="R177" s="10">
        <f t="shared" ca="1" si="101"/>
        <v>1648.4388284773752</v>
      </c>
      <c r="S177" s="10">
        <f t="shared" ca="1" si="101"/>
        <v>1706.6287191226263</v>
      </c>
      <c r="T177" s="10">
        <f t="shared" ca="1" si="101"/>
        <v>1766.8727129076549</v>
      </c>
    </row>
    <row r="178" spans="1:20" x14ac:dyDescent="0.2">
      <c r="A178" s="1" t="s">
        <v>486</v>
      </c>
      <c r="B178" s="4" t="str">
        <f>$B$11</f>
        <v>From Economic</v>
      </c>
      <c r="D178" s="21">
        <f>'Economic Forecasts'!M$20</f>
        <v>873.01</v>
      </c>
      <c r="E178" s="21">
        <f>'Economic Forecasts'!N$20</f>
        <v>896.89</v>
      </c>
      <c r="F178" s="22">
        <f>'Economic Forecasts'!O$20</f>
        <v>909.56</v>
      </c>
      <c r="G178" s="22">
        <f>'Economic Forecasts'!P$20</f>
        <v>945.81</v>
      </c>
      <c r="H178" s="22">
        <f>'Economic Forecasts'!Q$20</f>
        <v>968.7</v>
      </c>
      <c r="I178" s="22">
        <f>'Economic Forecasts'!R$20</f>
        <v>990.33</v>
      </c>
      <c r="J178" s="22">
        <f>'Economic Forecasts'!S$20</f>
        <v>1012.11</v>
      </c>
      <c r="K178" s="10">
        <f ca="1">IF(OFFSET(Assumptions!$B$30,0,$C$1)="Yes",(52*K$177-IF(52*K$177&gt;Exogenous!$C$52,(52*K$177-Exogenous!$C$52)*Exogenous!$B$53+Exogenous!$E$52,IF(52*K$177&gt;Exogenous!$C$51,(52*K$177-Exogenous!$C$51)*Exogenous!$B$52+Exogenous!$E$51,IF(52*K$177&gt;Exogenous!$C$50,(52*K$177-Exogenous!$C$50)*Exogenous!$B$51+Exogenous!$E$50,52*K$177*Exogenous!$B$50)))-52*K$177*Exogenous!$B$54)/52,J$178*(1+K$28))</f>
        <v>1047.3213068999999</v>
      </c>
      <c r="L178" s="10">
        <f ca="1">IF(OFFSET(Assumptions!$B$30,0,$C$1)="Yes",(52*L$177-IF(52*L$177&gt;Exogenous!$C$52,(52*L$177-Exogenous!$C$52)*Exogenous!$B$53+Exogenous!$E$52,IF(52*L$177&gt;Exogenous!$C$51,(52*L$177-Exogenous!$C$51)*Exogenous!$B$52+Exogenous!$E$51,IF(52*L$177&gt;Exogenous!$C$50,(52*L$177-Exogenous!$C$50)*Exogenous!$B$51+Exogenous!$E$50,52*L$177*Exogenous!$B$50)))-52*L$177*Exogenous!$B$54)/52,K$178*(1+L$28))</f>
        <v>1084.2917490335697</v>
      </c>
      <c r="M178" s="10">
        <f ca="1">IF(OFFSET(Assumptions!$B$30,0,$C$1)="Yes",(52*M$177-IF(52*M$177&gt;Exogenous!$C$52,(52*M$177-Exogenous!$C$52)*Exogenous!$B$53+Exogenous!$E$52,IF(52*M$177&gt;Exogenous!$C$51,(52*M$177-Exogenous!$C$51)*Exogenous!$B$52+Exogenous!$E$51,IF(52*M$177&gt;Exogenous!$C$50,(52*M$177-Exogenous!$C$50)*Exogenous!$B$51+Exogenous!$E$50,52*M$177*Exogenous!$B$50)))-52*M$177*Exogenous!$B$54)/52,L$178*(1+M$28))</f>
        <v>1122.5672477744545</v>
      </c>
      <c r="N178" s="10">
        <f ca="1">IF(OFFSET(Assumptions!$B$30,0,$C$1)="Yes",(52*N$177-IF(52*N$177&gt;Exogenous!$C$52,(52*N$177-Exogenous!$C$52)*Exogenous!$B$53+Exogenous!$E$52,IF(52*N$177&gt;Exogenous!$C$51,(52*N$177-Exogenous!$C$51)*Exogenous!$B$52+Exogenous!$E$51,IF(52*N$177&gt;Exogenous!$C$50,(52*N$177-Exogenous!$C$50)*Exogenous!$B$51+Exogenous!$E$50,52*N$177*Exogenous!$B$50)))-52*N$177*Exogenous!$B$54)/52,M$178*(1+N$28))</f>
        <v>1162.1938716208927</v>
      </c>
      <c r="O178" s="10">
        <f ca="1">IF(OFFSET(Assumptions!$B$30,0,$C$1)="Yes",(52*O$177-IF(52*O$177&gt;Exogenous!$C$52,(52*O$177-Exogenous!$C$52)*Exogenous!$B$53+Exogenous!$E$52,IF(52*O$177&gt;Exogenous!$C$51,(52*O$177-Exogenous!$C$51)*Exogenous!$B$52+Exogenous!$E$51,IF(52*O$177&gt;Exogenous!$C$50,(52*O$177-Exogenous!$C$50)*Exogenous!$B$51+Exogenous!$E$50,52*O$177*Exogenous!$B$50)))-52*O$177*Exogenous!$B$54)/52,N$178*(1+O$28))</f>
        <v>1203.21931528911</v>
      </c>
      <c r="P178" s="10">
        <f ca="1">IF(OFFSET(Assumptions!$B$30,0,$C$1)="Yes",(52*P$177-IF(52*P$177&gt;Exogenous!$C$52,(52*P$177-Exogenous!$C$52)*Exogenous!$B$53+Exogenous!$E$52,IF(52*P$177&gt;Exogenous!$C$51,(52*P$177-Exogenous!$C$51)*Exogenous!$B$52+Exogenous!$E$51,IF(52*P$177&gt;Exogenous!$C$50,(52*P$177-Exogenous!$C$50)*Exogenous!$B$51+Exogenous!$E$50,52*P$177*Exogenous!$B$50)))-52*P$177*Exogenous!$B$54)/52,O$178*(1+P$28))</f>
        <v>1245.6929571188155</v>
      </c>
      <c r="Q178" s="10">
        <f ca="1">IF(OFFSET(Assumptions!$B$30,0,$C$1)="Yes",(52*Q$177-IF(52*Q$177&gt;Exogenous!$C$52,(52*Q$177-Exogenous!$C$52)*Exogenous!$B$53+Exogenous!$E$52,IF(52*Q$177&gt;Exogenous!$C$51,(52*Q$177-Exogenous!$C$51)*Exogenous!$B$52+Exogenous!$E$51,IF(52*Q$177&gt;Exogenous!$C$50,(52*Q$177-Exogenous!$C$50)*Exogenous!$B$51+Exogenous!$E$50,52*Q$177*Exogenous!$B$50)))-52*Q$177*Exogenous!$B$54)/52,P$178*(1+Q$28))</f>
        <v>1289.6659185051094</v>
      </c>
      <c r="R178" s="10">
        <f ca="1">IF(OFFSET(Assumptions!$B$30,0,$C$1)="Yes",(52*R$177-IF(52*R$177&gt;Exogenous!$C$52,(52*R$177-Exogenous!$C$52)*Exogenous!$B$53+Exogenous!$E$52,IF(52*R$177&gt;Exogenous!$C$51,(52*R$177-Exogenous!$C$51)*Exogenous!$B$52+Exogenous!$E$51,IF(52*R$177&gt;Exogenous!$C$50,(52*R$177-Exogenous!$C$50)*Exogenous!$B$51+Exogenous!$E$50,52*R$177*Exogenous!$B$50)))-52*R$177*Exogenous!$B$54)/52,Q$178*(1+R$28))</f>
        <v>1335.1911254283395</v>
      </c>
      <c r="S178" s="10">
        <f ca="1">IF(OFFSET(Assumptions!$B$30,0,$C$1)="Yes",(52*S$177-IF(52*S$177&gt;Exogenous!$C$52,(52*S$177-Exogenous!$C$52)*Exogenous!$B$53+Exogenous!$E$52,IF(52*S$177&gt;Exogenous!$C$51,(52*S$177-Exogenous!$C$51)*Exogenous!$B$52+Exogenous!$E$51,IF(52*S$177&gt;Exogenous!$C$50,(52*S$177-Exogenous!$C$50)*Exogenous!$B$51+Exogenous!$E$50,52*S$177*Exogenous!$B$50)))-52*S$177*Exogenous!$B$54)/52,R$178*(1+S$28))</f>
        <v>1382.3233721559598</v>
      </c>
      <c r="T178" s="10">
        <f ca="1">IF(OFFSET(Assumptions!$B$30,0,$C$1)="Yes",(52*T$177-IF(52*T$177&gt;Exogenous!$C$52,(52*T$177-Exogenous!$C$52)*Exogenous!$B$53+Exogenous!$E$52,IF(52*T$177&gt;Exogenous!$C$51,(52*T$177-Exogenous!$C$51)*Exogenous!$B$52+Exogenous!$E$51,IF(52*T$177&gt;Exogenous!$C$50,(52*T$177-Exogenous!$C$50)*Exogenous!$B$51+Exogenous!$E$50,52*T$177*Exogenous!$B$50)))-52*T$177*Exogenous!$B$54)/52,S$178*(1+T$28))</f>
        <v>1431.119387193065</v>
      </c>
    </row>
    <row r="179" spans="1:20" x14ac:dyDescent="0.2">
      <c r="A179" s="1" t="s">
        <v>487</v>
      </c>
      <c r="B179" s="4" t="str">
        <f>$B$11</f>
        <v>From Economic</v>
      </c>
      <c r="D179" s="21">
        <f>'Economic Forecasts'!M$21</f>
        <v>326.3</v>
      </c>
      <c r="E179" s="21">
        <f>'Economic Forecasts'!N$21</f>
        <v>335.74</v>
      </c>
      <c r="F179" s="22">
        <f>'Economic Forecasts'!O$21</f>
        <v>340.8</v>
      </c>
      <c r="G179" s="22">
        <f>'Economic Forecasts'!P$21</f>
        <v>348.66</v>
      </c>
      <c r="H179" s="22">
        <f>'Economic Forecasts'!Q$21</f>
        <v>357.15</v>
      </c>
      <c r="I179" s="22">
        <f>'Economic Forecasts'!R$21</f>
        <v>365.13</v>
      </c>
      <c r="J179" s="22">
        <f>'Economic Forecasts'!S$21</f>
        <v>373.16</v>
      </c>
      <c r="K179" s="10">
        <f ca="1">IF(OFFSET(Assumptions!$B$30,0,$C$1)="Yes",IF(52*K$180&gt;Exogenous!$D$52,(52*K$180-Exogenous!$F$53)/(1-Exogenous!$B$53),IF(52*K$180&gt;Exogenous!$D$51,(52*K$180-Exogenous!$F$52)/(1-Exogenous!$B$52),IF(52*K$180&gt;Exogenous!$D$50,(52*K$180-Exogenous!$F$51)/(1-Exogenous!$B$51),52*K$180/(1-Exogenous!$B$50))))/52,J$179*K$180/J$180)</f>
        <v>380.62320000000005</v>
      </c>
      <c r="L179" s="10">
        <f ca="1">IF(OFFSET(Assumptions!$B$30,0,$C$1)="Yes",IF(52*L$180&gt;Exogenous!$D$52,(52*L$180-Exogenous!$F$53)/(1-Exogenous!$B$53),IF(52*L$180&gt;Exogenous!$D$51,(52*L$180-Exogenous!$F$52)/(1-Exogenous!$B$52),IF(52*L$180&gt;Exogenous!$D$50,(52*L$180-Exogenous!$F$51)/(1-Exogenous!$B$51),52*L$180/(1-Exogenous!$B$50))))/52,K$179*L$180/K$180)</f>
        <v>393.71152828606063</v>
      </c>
      <c r="M179" s="10">
        <f ca="1">IF(OFFSET(Assumptions!$B$30,0,$C$1)="Yes",IF(52*M$180&gt;Exogenous!$D$52,(52*M$180-Exogenous!$F$53)/(1-Exogenous!$B$53),IF(52*M$180&gt;Exogenous!$D$51,(52*M$180-Exogenous!$F$52)/(1-Exogenous!$B$52),IF(52*M$180&gt;Exogenous!$D$50,(52*M$180-Exogenous!$F$51)/(1-Exogenous!$B$51),52*M$180/(1-Exogenous!$B$50))))/52,L$179*M$180/L$180)</f>
        <v>407.60954523455848</v>
      </c>
      <c r="N179" s="10">
        <f ca="1">IF(OFFSET(Assumptions!$B$30,0,$C$1)="Yes",IF(52*N$180&gt;Exogenous!$D$52,(52*N$180-Exogenous!$F$53)/(1-Exogenous!$B$53),IF(52*N$180&gt;Exogenous!$D$51,(52*N$180-Exogenous!$F$52)/(1-Exogenous!$B$52),IF(52*N$180&gt;Exogenous!$D$50,(52*N$180-Exogenous!$F$51)/(1-Exogenous!$B$51),52*N$180/(1-Exogenous!$B$50))))/52,M$179*N$180/M$180)</f>
        <v>421.99816218133833</v>
      </c>
      <c r="O179" s="10">
        <f ca="1">IF(OFFSET(Assumptions!$B$30,0,$C$1)="Yes",IF(52*O$180&gt;Exogenous!$D$52,(52*O$180-Exogenous!$F$53)/(1-Exogenous!$B$53),IF(52*O$180&gt;Exogenous!$D$51,(52*O$180-Exogenous!$F$52)/(1-Exogenous!$B$52),IF(52*O$180&gt;Exogenous!$D$50,(52*O$180-Exogenous!$F$51)/(1-Exogenous!$B$51),52*O$180/(1-Exogenous!$B$50))))/52,N$179*O$180/N$180)</f>
        <v>436.89469730633948</v>
      </c>
      <c r="P179" s="10">
        <f ca="1">IF(OFFSET(Assumptions!$B$30,0,$C$1)="Yes",IF(52*P$180&gt;Exogenous!$D$52,(52*P$180-Exogenous!$F$53)/(1-Exogenous!$B$53),IF(52*P$180&gt;Exogenous!$D$51,(52*P$180-Exogenous!$F$52)/(1-Exogenous!$B$52),IF(52*P$180&gt;Exogenous!$D$50,(52*P$180-Exogenous!$F$51)/(1-Exogenous!$B$51),52*P$180/(1-Exogenous!$B$50))))/52,O$179*P$180/O$180)</f>
        <v>452.3170801212533</v>
      </c>
      <c r="Q179" s="10">
        <f ca="1">IF(OFFSET(Assumptions!$B$30,0,$C$1)="Yes",IF(52*Q$180&gt;Exogenous!$D$52,(52*Q$180-Exogenous!$F$53)/(1-Exogenous!$B$53),IF(52*Q$180&gt;Exogenous!$D$51,(52*Q$180-Exogenous!$F$52)/(1-Exogenous!$B$52),IF(52*Q$180&gt;Exogenous!$D$50,(52*Q$180-Exogenous!$F$51)/(1-Exogenous!$B$51),52*Q$180/(1-Exogenous!$B$50))))/52,P$179*Q$180/P$180)</f>
        <v>468.28387304953344</v>
      </c>
      <c r="R179" s="10">
        <f ca="1">IF(OFFSET(Assumptions!$B$30,0,$C$1)="Yes",IF(52*R$180&gt;Exogenous!$D$52,(52*R$180-Exogenous!$F$53)/(1-Exogenous!$B$53),IF(52*R$180&gt;Exogenous!$D$51,(52*R$180-Exogenous!$F$52)/(1-Exogenous!$B$52),IF(52*R$180&gt;Exogenous!$D$50,(52*R$180-Exogenous!$F$51)/(1-Exogenous!$B$51),52*R$180/(1-Exogenous!$B$50))))/52,Q$179*R$180/Q$180)</f>
        <v>484.81429376818187</v>
      </c>
      <c r="S179" s="10">
        <f ca="1">IF(OFFSET(Assumptions!$B$30,0,$C$1)="Yes",IF(52*S$180&gt;Exogenous!$D$52,(52*S$180-Exogenous!$F$53)/(1-Exogenous!$B$53),IF(52*S$180&gt;Exogenous!$D$51,(52*S$180-Exogenous!$F$52)/(1-Exogenous!$B$52),IF(52*S$180&gt;Exogenous!$D$50,(52*S$180-Exogenous!$F$51)/(1-Exogenous!$B$51),52*S$180/(1-Exogenous!$B$50))))/52,R$179*S$180/R$180)</f>
        <v>501.92823833819864</v>
      </c>
      <c r="T179" s="10">
        <f ca="1">IF(OFFSET(Assumptions!$B$30,0,$C$1)="Yes",IF(52*T$180&gt;Exogenous!$D$52,(52*T$180-Exogenous!$F$53)/(1-Exogenous!$B$53),IF(52*T$180&gt;Exogenous!$D$51,(52*T$180-Exogenous!$F$52)/(1-Exogenous!$B$52),IF(52*T$180&gt;Exogenous!$D$50,(52*T$180-Exogenous!$F$51)/(1-Exogenous!$B$51),52*T$180/(1-Exogenous!$B$50))))/52,S$179*T$180/S$180)</f>
        <v>519.64630515153704</v>
      </c>
    </row>
    <row r="180" spans="1:20" x14ac:dyDescent="0.2">
      <c r="A180" s="1" t="s">
        <v>490</v>
      </c>
      <c r="B180" s="4" t="str">
        <f>$B$11</f>
        <v>From Economic</v>
      </c>
      <c r="D180" s="21">
        <f>'Economic Forecasts'!M$22</f>
        <v>288.10000000000002</v>
      </c>
      <c r="E180" s="21">
        <f>'Economic Forecasts'!N$22</f>
        <v>295.97000000000003</v>
      </c>
      <c r="F180" s="22">
        <f>'Economic Forecasts'!O$22</f>
        <v>300.14999999999998</v>
      </c>
      <c r="G180" s="22">
        <f>'Economic Forecasts'!P$22</f>
        <v>312.12</v>
      </c>
      <c r="H180" s="22">
        <f>'Economic Forecasts'!Q$22</f>
        <v>319.67</v>
      </c>
      <c r="I180" s="22">
        <f>'Economic Forecasts'!R$22</f>
        <v>326.81</v>
      </c>
      <c r="J180" s="22">
        <f>'Economic Forecasts'!S$22</f>
        <v>334</v>
      </c>
      <c r="K180" s="10">
        <f ca="1">MAX(OFFSET(Assumptions!$B$40,0,$C$1)*K$178/2,J$180*(1+K$31))</f>
        <v>340.68</v>
      </c>
      <c r="L180" s="10">
        <f ca="1">MAX(OFFSET(Assumptions!$B$40,0,$C$1)*L$178/2,K$180*(1+L$31))</f>
        <v>352.39481843591017</v>
      </c>
      <c r="M180" s="10">
        <f ca="1">MAX(OFFSET(Assumptions!$B$40,0,$C$1)*M$178/2,L$180*(1+M$31))</f>
        <v>364.83435552669772</v>
      </c>
      <c r="N180" s="10">
        <f ca="1">MAX(OFFSET(Assumptions!$B$40,0,$C$1)*N$178/2,M$180*(1+N$31))</f>
        <v>377.71300827679011</v>
      </c>
      <c r="O180" s="10">
        <f ca="1">MAX(OFFSET(Assumptions!$B$40,0,$C$1)*O$178/2,N$180*(1+O$31))</f>
        <v>391.04627746896074</v>
      </c>
      <c r="P180" s="10">
        <f ca="1">MAX(OFFSET(Assumptions!$B$40,0,$C$1)*P$178/2,O$180*(1+P$31))</f>
        <v>404.85021106361506</v>
      </c>
      <c r="Q180" s="10">
        <f ca="1">MAX(OFFSET(Assumptions!$B$40,0,$C$1)*Q$178/2,P$180*(1+Q$31))</f>
        <v>419.14142351416058</v>
      </c>
      <c r="R180" s="10">
        <f ca="1">MAX(OFFSET(Assumptions!$B$40,0,$C$1)*R$178/2,Q$180*(1+R$31))</f>
        <v>433.93711576421038</v>
      </c>
      <c r="S180" s="10">
        <f ca="1">MAX(OFFSET(Assumptions!$B$40,0,$C$1)*S$178/2,R$180*(1+S$31))</f>
        <v>449.25509595068695</v>
      </c>
      <c r="T180" s="10">
        <f ca="1">MAX(OFFSET(Assumptions!$B$40,0,$C$1)*T$178/2,S$180*(1+T$31))</f>
        <v>465.11380083774611</v>
      </c>
    </row>
    <row r="181" spans="1:20" x14ac:dyDescent="0.2">
      <c r="B181" s="4"/>
      <c r="D181" s="21"/>
      <c r="E181" s="21"/>
      <c r="F181" s="22"/>
      <c r="G181" s="22"/>
      <c r="H181" s="22"/>
      <c r="I181" s="22"/>
      <c r="J181" s="22"/>
      <c r="K181" s="10"/>
      <c r="L181" s="10"/>
      <c r="M181" s="10"/>
      <c r="N181" s="10"/>
      <c r="O181" s="10"/>
      <c r="P181" s="10"/>
      <c r="Q181" s="10"/>
      <c r="R181" s="10"/>
      <c r="S181" s="10"/>
      <c r="T181" s="10"/>
    </row>
    <row r="182" spans="1:20" x14ac:dyDescent="0.2">
      <c r="A182" s="19" t="s">
        <v>150</v>
      </c>
    </row>
    <row r="183" spans="1:20" x14ac:dyDescent="0.2">
      <c r="A183" s="1" t="s">
        <v>307</v>
      </c>
      <c r="B183" s="4" t="str">
        <f>$B$38</f>
        <v>From Fiscal</v>
      </c>
      <c r="D183" s="15">
        <f>'Fiscal Forecasts'!D$158</f>
        <v>6.5519999999999996</v>
      </c>
      <c r="E183" s="15">
        <f>'Fiscal Forecasts'!E$158</f>
        <v>6.6660000000000004</v>
      </c>
      <c r="F183" s="16">
        <f ca="1">'Fiscal Forecasts'!F$158 +IF(OFFSET(Assumptions!$B$57,0,$C$1)="Yes",OFFSET(Assumptions!$B$58,0,$C$1)*SUM(Allocate!C$14,Allocate!C$17:C$24,IF($C$2="Yes",SUM(Allocate!$B$14,Allocate!$B$17:$B$24)*'Fiscal Forecast Adjuster'!C$26/1000,0)),0)</f>
        <v>6.9089999999999998</v>
      </c>
      <c r="G183" s="16">
        <f ca="1">'Fiscal Forecasts'!G$158 +IF(OFFSET(Assumptions!$B$57,0,$C$1)="Yes",OFFSET(Assumptions!$B$58,0,$C$1)*SUM(Allocate!D$14,Allocate!D$17:D$24,IF($C$2="Yes",SUM(Allocate!$B$14,Allocate!$B$17:$B$24)*'Fiscal Forecast Adjuster'!D$26/1000,0)),0)</f>
        <v>7.1740000000000004</v>
      </c>
      <c r="H183" s="16">
        <f ca="1">'Fiscal Forecasts'!H$158 +IF(OFFSET(Assumptions!$B$57,0,$C$1)="Yes",OFFSET(Assumptions!$B$58,0,$C$1)*SUM(Allocate!E$14,Allocate!E$17:E$24,IF($C$2="Yes",SUM(Allocate!$B$14,Allocate!$B$17:$B$24)*'Fiscal Forecast Adjuster'!E$26/1000,0)),0)</f>
        <v>7.1669999999999998</v>
      </c>
      <c r="I183" s="16">
        <f ca="1">'Fiscal Forecasts'!I$158 +IF(OFFSET(Assumptions!$B$57,0,$C$1)="Yes",OFFSET(Assumptions!$B$58,0,$C$1)*SUM(Allocate!F$14,Allocate!F$17:F$24,IF($C$2="Yes",SUM(Allocate!$B$14,Allocate!$B$17:$B$24)*'Fiscal Forecast Adjuster'!F$26/1000,0)),0)</f>
        <v>7.141</v>
      </c>
      <c r="J183" s="16">
        <f ca="1">'Fiscal Forecasts'!J$158 +IF(OFFSET(Assumptions!$B$57,0,$C$1)="Yes",OFFSET(Assumptions!$B$58,0,$C$1)*SUM(Allocate!G$14,Allocate!G$17:G$24,IF($C$2="Yes",SUM(Allocate!$B$14,Allocate!$B$17:$B$24)*'Fiscal Forecast Adjuster'!G$26/1000,0)),0)</f>
        <v>7.1509999999999998</v>
      </c>
      <c r="K183" s="7">
        <f ca="1">SUM(K$226,IF(K$6=OFFSET(Assumptions!$B$8,0,$C$1),AVERAGE(SUM(H$183,-H$226)/SUM(H$183,H$190,H$196,-H$226,-H$296),SUM(I$183,-I$226)/SUM(I$183,I$190,I$196,-I$226,-I$296),SUM(J$183,-J$226)/SUM(J$183,J$190,J$196,-J$226,-J$296)),SUM(J$183,-J$226)/SUM(J$183,J$190,J$196,-J$226,-J$296))*SUM(-K$230,-K$238,K$295))</f>
        <v>7.0949248194873169</v>
      </c>
      <c r="L183" s="7">
        <f ca="1">SUM(L$226,IF(L$6=OFFSET(Assumptions!$B$8,0,$C$1),AVERAGE(SUM(I$183,-I$226)/SUM(I$183,I$190,I$196,-I$226,-I$296),SUM(J$183,-J$226)/SUM(J$183,J$190,J$196,-J$226,-J$296),SUM(K$183,-K$226)/SUM(K$183,K$190,K$196,-K$226,-K$296)),SUM(K$183,-K$226)/SUM(K$183,K$190,K$196,-K$226,-K$296))*SUM(-L$230,-L$238,L$295))</f>
        <v>7.090999585842459</v>
      </c>
      <c r="M183" s="7">
        <f ca="1">SUM(M$226,IF(M$6=OFFSET(Assumptions!$B$8,0,$C$1),AVERAGE(SUM(J$183,-J$226)/SUM(J$183,J$190,J$196,-J$226,-J$296),SUM(K$183,-K$226)/SUM(K$183,K$190,K$196,-K$226,-K$296),SUM(L$183,-L$226)/SUM(L$183,L$190,L$196,-L$226,-L$296)),SUM(L$183,-L$226)/SUM(L$183,L$190,L$196,-L$226,-L$296))*SUM(-M$230,-M$238,M$295))</f>
        <v>7.0926818288331139</v>
      </c>
      <c r="N183" s="7">
        <f ca="1">SUM(N$226,IF(N$6=OFFSET(Assumptions!$B$8,0,$C$1),AVERAGE(SUM(K$183,-K$226)/SUM(K$183,K$190,K$196,-K$226,-K$296),SUM(L$183,-L$226)/SUM(L$183,L$190,L$196,-L$226,-L$296),SUM(M$183,-M$226)/SUM(M$183,M$190,M$196,-M$226,-M$296)),SUM(M$183,-M$226)/SUM(M$183,M$190,M$196,-M$226,-M$296))*SUM(-N$230,-N$238,N$295))</f>
        <v>7.0938033241602163</v>
      </c>
      <c r="O183" s="7">
        <f ca="1">SUM(O$226,IF(O$6=OFFSET(Assumptions!$B$8,0,$C$1),AVERAGE(SUM(L$183,-L$226)/SUM(L$183,L$190,L$196,-L$226,-L$296),SUM(M$183,-M$226)/SUM(M$183,M$190,M$196,-M$226,-M$296),SUM(N$183,-N$226)/SUM(N$183,N$190,N$196,-N$226,-N$296)),SUM(N$183,-N$226)/SUM(N$183,N$190,N$196,-N$226,-N$296))*SUM(-O$230,-O$238,O$295))</f>
        <v>7.0949248194873196</v>
      </c>
      <c r="P183" s="7">
        <f ca="1">SUM(P$226,IF(P$6=OFFSET(Assumptions!$B$8,0,$C$1),AVERAGE(SUM(M$183,-M$226)/SUM(M$183,M$190,M$196,-M$226,-M$296),SUM(N$183,-N$226)/SUM(N$183,N$190,N$196,-N$226,-N$296),SUM(O$183,-O$226)/SUM(O$183,O$190,O$196,-O$226,-O$296)),SUM(O$183,-O$226)/SUM(O$183,O$190,O$196,-O$226,-O$296))*SUM(-P$230,-P$238,P$295))</f>
        <v>7.095485567150873</v>
      </c>
      <c r="Q183" s="7">
        <f ca="1">SUM(Q$226,IF(Q$6=OFFSET(Assumptions!$B$8,0,$C$1),AVERAGE(SUM(N$183,-N$226)/SUM(N$183,N$190,N$196,-N$226,-N$296),SUM(O$183,-O$226)/SUM(O$183,O$190,O$196,-O$226,-O$296),SUM(P$183,-P$226)/SUM(P$183,P$190,P$196,-P$226,-P$296)),SUM(P$183,-P$226)/SUM(P$183,P$190,P$196,-P$226,-P$296))*SUM(-Q$230,-Q$238,Q$295))</f>
        <v>7.0926818288331166</v>
      </c>
      <c r="R183" s="7">
        <f ca="1">SUM(R$226,IF(R$6=OFFSET(Assumptions!$B$8,0,$C$1),AVERAGE(SUM(O$183,-O$226)/SUM(O$183,O$190,O$196,-O$226,-O$296),SUM(P$183,-P$226)/SUM(P$183,P$190,P$196,-P$226,-P$296),SUM(Q$183,-Q$226)/SUM(Q$183,Q$190,Q$196,-Q$226,-Q$296)),SUM(Q$183,-Q$226)/SUM(Q$183,Q$190,Q$196,-Q$226,-Q$296))*SUM(-R$230,-R$238,R$295))</f>
        <v>7.0837098662162914</v>
      </c>
      <c r="S183" s="7">
        <f ca="1">SUM(S$226,IF(S$6=OFFSET(Assumptions!$B$8,0,$C$1),AVERAGE(SUM(P$183,-P$226)/SUM(P$183,P$190,P$196,-P$226,-P$296),SUM(Q$183,-Q$226)/SUM(Q$183,Q$190,Q$196,-Q$226,-Q$296),SUM(R$183,-R$226)/SUM(R$183,R$190,R$196,-R$226,-R$296)),SUM(R$183,-R$226)/SUM(R$183,R$190,R$196,-R$226,-R$296))*SUM(-S$230,-S$238,S$295))</f>
        <v>7.0752986512630267</v>
      </c>
      <c r="T183" s="7">
        <f ca="1">SUM(T$226,IF(T$6=OFFSET(Assumptions!$B$8,0,$C$1),AVERAGE(SUM(Q$183,-Q$226)/SUM(Q$183,Q$190,Q$196,-Q$226,-Q$296),SUM(R$183,-R$226)/SUM(R$183,R$190,R$196,-R$226,-R$296),SUM(S$183,-S$226)/SUM(S$183,S$190,S$196,-S$226,-S$296)),SUM(S$183,-S$226)/SUM(S$183,S$190,S$196,-S$226,-S$296))*SUM(-T$230,-T$238,T$295))</f>
        <v>7.0657659409826525</v>
      </c>
    </row>
    <row r="184" spans="1:20" x14ac:dyDescent="0.2">
      <c r="A184" s="1" t="s">
        <v>279</v>
      </c>
      <c r="B184" s="4" t="str">
        <f>$B$38</f>
        <v>From Fiscal</v>
      </c>
      <c r="D184" s="15">
        <f>'Fiscal Forecasts'!D$236</f>
        <v>11.66</v>
      </c>
      <c r="E184" s="15">
        <f>'Fiscal Forecasts'!E$236</f>
        <v>12.205</v>
      </c>
      <c r="F184" s="16">
        <f>'Fiscal Forecasts'!F$236</f>
        <v>12.669</v>
      </c>
      <c r="G184" s="16">
        <f>'Fiscal Forecasts'!G$236</f>
        <v>12.968</v>
      </c>
      <c r="H184" s="16">
        <f>'Fiscal Forecasts'!H$236</f>
        <v>13.051</v>
      </c>
      <c r="I184" s="16">
        <f>'Fiscal Forecasts'!I$236</f>
        <v>13.083</v>
      </c>
      <c r="J184" s="16">
        <f>'Fiscal Forecasts'!J$236</f>
        <v>13.244</v>
      </c>
      <c r="K184" s="7">
        <f ca="1">SUM(K$227-K$226,IF(K$6=OFFSET(Assumptions!$B$8,0,$C$1),AVERAGE(SUM(H$184,-(H$227-H$226))/SUM(H$184,-(H$227-H$226),H$191,H$197),SUM(I$184,-(I$227-I$226))/SUM(I$184,-(I$227-I$226),I$191,I$197),SUM(J$184,-(J$227-J$226))/SUM(J$184,-(J$227-J$226),J$191,J$197)),SUM(J$184,-(J$227-J$226))/SUM(J$184,-(J$227-J$226),J$191,J$197))*SUM(K$173-K$212,K$231,K$240,K$262,K$298,-(K$227-K$226)))</f>
        <v>13.482244596758379</v>
      </c>
      <c r="L184" s="7">
        <f ca="1">SUM(L$227-L$226,IF(L$6=OFFSET(Assumptions!$B$8,0,$C$1),AVERAGE(SUM(I$184,-(I$227-I$226))/SUM(I$184,-(I$227-I$226),I$191,I$197),SUM(J$184,-(J$227-J$226))/SUM(J$184,-(J$227-J$226),J$191,J$197),SUM(K$184,-(K$227-K$226))/SUM(K$184,-(K$227-K$226),K$191,K$197)),SUM(K$184,-(K$227-K$226))/SUM(K$184,-(K$227-K$226),K$191,K$197))*SUM(L$173-L$212,L$231,L$240,L$262,L$298,-(L$227-L$226)))</f>
        <v>13.700772898144161</v>
      </c>
      <c r="M184" s="7">
        <f ca="1">SUM(M$227-M$226,IF(M$6=OFFSET(Assumptions!$B$8,0,$C$1),AVERAGE(SUM(J$184,-(J$227-J$226))/SUM(J$184,-(J$227-J$226),J$191,J$197),SUM(K$184,-(K$227-K$226))/SUM(K$184,-(K$227-K$226),K$191,K$197),SUM(L$184,-(L$227-L$226))/SUM(L$184,-(L$227-L$226),L$191,L$197)),SUM(L$184,-(L$227-L$226))/SUM(L$184,-(L$227-L$226),L$191,L$197))*SUM(M$173-M$212,M$231,M$240,M$262,M$298,-(M$227-M$226)))</f>
        <v>13.895914106385256</v>
      </c>
      <c r="N184" s="7">
        <f ca="1">SUM(N$227-N$226,IF(N$6=OFFSET(Assumptions!$B$8,0,$C$1),AVERAGE(SUM(K$184,-(K$227-K$226))/SUM(K$184,-(K$227-K$226),K$191,K$197),SUM(L$184,-(L$227-L$226))/SUM(L$184,-(L$227-L$226),L$191,L$197),SUM(M$184,-(M$227-M$226))/SUM(M$184,-(M$227-M$226),M$191,M$197)),SUM(M$184,-(M$227-M$226))/SUM(M$184,-(M$227-M$226),M$191,M$197))*SUM(N$173-N$212,N$231,N$240,N$262,N$298,-(N$227-N$226)))</f>
        <v>14.082229436769151</v>
      </c>
      <c r="O184" s="7">
        <f ca="1">SUM(O$227-O$226,IF(O$6=OFFSET(Assumptions!$B$8,0,$C$1),AVERAGE(SUM(L$184,-(L$227-L$226))/SUM(L$184,-(L$227-L$226),L$191,L$197),SUM(M$184,-(M$227-M$226))/SUM(M$184,-(M$227-M$226),M$191,M$197),SUM(N$184,-(N$227-N$226))/SUM(N$184,-(N$227-N$226),N$191,N$197)),SUM(N$184,-(N$227-N$226))/SUM(N$184,-(N$227-N$226),N$191,N$197))*SUM(O$173-O$212,O$231,O$240,O$262,O$298,-(O$227-O$226)))</f>
        <v>14.275044171012286</v>
      </c>
      <c r="P184" s="7">
        <f ca="1">SUM(P$227-P$226,IF(P$6=OFFSET(Assumptions!$B$8,0,$C$1),AVERAGE(SUM(M$184,-(M$227-M$226))/SUM(M$184,-(M$227-M$226),M$191,M$197),SUM(N$184,-(N$227-N$226))/SUM(N$184,-(N$227-N$226),N$191,N$197),SUM(O$184,-(O$227-O$226))/SUM(O$184,-(O$227-O$226),O$191,O$197)),SUM(O$184,-(O$227-O$226))/SUM(O$184,-(O$227-O$226),O$191,O$197))*SUM(P$173-P$212,P$231,P$240,P$262,P$298,-(P$227-P$226)))</f>
        <v>14.473344937607809</v>
      </c>
      <c r="Q184" s="7">
        <f ca="1">SUM(Q$227-Q$226,IF(Q$6=OFFSET(Assumptions!$B$8,0,$C$1),AVERAGE(SUM(N$184,-(N$227-N$226))/SUM(N$184,-(N$227-N$226),N$191,N$197),SUM(O$184,-(O$227-O$226))/SUM(O$184,-(O$227-O$226),O$191,O$197),SUM(P$184,-(P$227-P$226))/SUM(P$184,-(P$227-P$226),P$191,P$197)),SUM(P$184,-(P$227-P$226))/SUM(P$184,-(P$227-P$226),P$191,P$197))*SUM(Q$173-Q$212,Q$231,Q$240,Q$262,Q$298,-(Q$227-Q$226)))</f>
        <v>14.677953783724945</v>
      </c>
      <c r="R184" s="7">
        <f ca="1">SUM(R$227-R$226,IF(R$6=OFFSET(Assumptions!$B$8,0,$C$1),AVERAGE(SUM(O$184,-(O$227-O$226))/SUM(O$184,-(O$227-O$226),O$191,O$197),SUM(P$184,-(P$227-P$226))/SUM(P$184,-(P$227-P$226),P$191,P$197),SUM(Q$184,-(Q$227-Q$226))/SUM(Q$184,-(Q$227-Q$226),Q$191,Q$197)),SUM(Q$184,-(Q$227-Q$226))/SUM(Q$184,-(Q$227-Q$226),Q$191,Q$197))*SUM(R$173-R$212,R$231,R$240,R$262,R$298,-(R$227-R$226)))</f>
        <v>14.888479794021109</v>
      </c>
      <c r="S184" s="7">
        <f ca="1">SUM(S$227-S$226,IF(S$6=OFFSET(Assumptions!$B$8,0,$C$1),AVERAGE(SUM(P$184,-(P$227-P$226))/SUM(P$184,-(P$227-P$226),P$191,P$197),SUM(Q$184,-(Q$227-Q$226))/SUM(Q$184,-(Q$227-Q$226),Q$191,Q$197),SUM(R$184,-(R$227-R$226))/SUM(R$184,-(R$227-R$226),R$191,R$197)),SUM(R$184,-(R$227-R$226))/SUM(R$184,-(R$227-R$226),R$191,R$197))*SUM(S$173-S$212,S$231,S$240,S$262,S$298,-(S$227-S$226)))</f>
        <v>15.106294173541677</v>
      </c>
      <c r="T184" s="7">
        <f ca="1">SUM(T$227-T$226,IF(T$6=OFFSET(Assumptions!$B$8,0,$C$1),AVERAGE(SUM(Q$184,-(Q$227-Q$226))/SUM(Q$184,-(Q$227-Q$226),Q$191,Q$197),SUM(R$184,-(R$227-R$226))/SUM(R$184,-(R$227-R$226),R$191,R$197),SUM(S$184,-(S$227-S$226))/SUM(S$184,-(S$227-S$226),S$191,S$197)),SUM(S$184,-(S$227-S$226))/SUM(S$184,-(S$227-S$226),S$191,S$197))*SUM(T$173-T$212,T$231,T$240,T$262,T$298,-(T$227-T$226)))</f>
        <v>15.331006242512323</v>
      </c>
    </row>
    <row r="185" spans="1:20" x14ac:dyDescent="0.2">
      <c r="A185" s="1" t="s">
        <v>506</v>
      </c>
      <c r="B185" s="4" t="str">
        <f>$B$38</f>
        <v>From Fiscal</v>
      </c>
      <c r="D185" s="15">
        <f>'Fiscal Forecasts'!D$237</f>
        <v>2.9350000000000001</v>
      </c>
      <c r="E185" s="15">
        <f>'Fiscal Forecasts'!E$237</f>
        <v>2.9209999999999998</v>
      </c>
      <c r="F185" s="16">
        <f>'Fiscal Forecasts'!F$237</f>
        <v>2.863</v>
      </c>
      <c r="G185" s="16">
        <f>'Fiscal Forecasts'!G$237</f>
        <v>2.88</v>
      </c>
      <c r="H185" s="16">
        <f>'Fiscal Forecasts'!H$237</f>
        <v>2.9990000000000001</v>
      </c>
      <c r="I185" s="16">
        <f>'Fiscal Forecasts'!I$237</f>
        <v>3.1459999999999999</v>
      </c>
      <c r="J185" s="16">
        <f>'Fiscal Forecasts'!J$237</f>
        <v>3.28</v>
      </c>
      <c r="K185" s="7">
        <f ca="1">IF(K$6=OFFSET(Assumptions!$B$8,0,$C$1),AVERAGE(H$185/SUM(H$185,H$192,H$198),I$185/SUM(I$185,I$192,I$198),J$185/SUM(J$185,J$192,J$198)),J$185/SUM(J$185,J$192,J$198))*SUM(K$263,K$299-K$213)</f>
        <v>3.4147568734742184</v>
      </c>
      <c r="L185" s="7">
        <f ca="1">IF(L$6=OFFSET(Assumptions!$B$8,0,$C$1),AVERAGE(I$185/SUM(I$185,I$192,I$198),J$185/SUM(J$185,J$192,J$198),K$185/SUM(K$185,K$192,K$198)),K$185/SUM(K$185,K$192,K$198))*SUM(L$263,L$299-L$213)</f>
        <v>3.5645717455556554</v>
      </c>
      <c r="M185" s="7">
        <f ca="1">IF(M$6=OFFSET(Assumptions!$B$8,0,$C$1),AVERAGE(J$185/SUM(J$185,J$192,J$198),K$185/SUM(K$185,K$192,K$198),L$185/SUM(L$185,L$192,L$198)),L$185/SUM(L$185,L$192,L$198))*SUM(M$263,M$299-M$213)</f>
        <v>3.7203370950038783</v>
      </c>
      <c r="N185" s="7">
        <f ca="1">IF(N$6=OFFSET(Assumptions!$B$8,0,$C$1),AVERAGE(K$185/SUM(K$185,K$192,K$198),L$185/SUM(L$185,L$192,L$198),M$185/SUM(M$185,M$192,M$198)),M$185/SUM(M$185,M$192,M$198))*SUM(N$263,N$299-N$213)</f>
        <v>3.8827418523296084</v>
      </c>
      <c r="O185" s="7">
        <f ca="1">IF(O$6=OFFSET(Assumptions!$B$8,0,$C$1),AVERAGE(L$185/SUM(L$185,L$192,L$198),M$185/SUM(M$185,M$192,M$198),N$185/SUM(N$185,N$192,N$198)),N$185/SUM(N$185,N$192,N$198))*SUM(O$263,O$299-O$213)</f>
        <v>4.0505463219371718</v>
      </c>
      <c r="P185" s="7">
        <f ca="1">IF(P$6=OFFSET(Assumptions!$B$8,0,$C$1),AVERAGE(M$185/SUM(M$185,M$192,M$198),N$185/SUM(N$185,N$192,N$198),O$185/SUM(O$185,O$192,O$198)),O$185/SUM(O$185,O$192,O$198))*SUM(P$263,P$299-P$213)</f>
        <v>4.2244177726668219</v>
      </c>
      <c r="Q185" s="7">
        <f ca="1">IF(Q$6=OFFSET(Assumptions!$B$8,0,$C$1),AVERAGE(N$185/SUM(N$185,N$192,N$198),O$185/SUM(O$185,O$192,O$198),P$185/SUM(P$185,P$192,P$198)),P$185/SUM(P$185,P$192,P$198))*SUM(Q$263,Q$299-Q$213)</f>
        <v>4.4040838464871372</v>
      </c>
      <c r="R185" s="7">
        <f ca="1">IF(R$6=OFFSET(Assumptions!$B$8,0,$C$1),AVERAGE(O$185/SUM(O$185,O$192,O$198),P$185/SUM(P$185,P$192,P$198),Q$185/SUM(Q$185,Q$192,Q$198)),Q$185/SUM(Q$185,Q$192,Q$198))*SUM(R$263,R$299-R$213)</f>
        <v>4.5893440476166933</v>
      </c>
      <c r="S185" s="7">
        <f ca="1">IF(S$6=OFFSET(Assumptions!$B$8,0,$C$1),AVERAGE(P$185/SUM(P$185,P$192,P$198),Q$185/SUM(Q$185,Q$192,Q$198),R$185/SUM(R$185,R$192,R$198)),R$185/SUM(R$185,R$192,R$198))*SUM(S$263,S$299-S$213)</f>
        <v>4.7810395307215074</v>
      </c>
      <c r="T185" s="7">
        <f ca="1">IF(T$6=OFFSET(Assumptions!$B$8,0,$C$1),AVERAGE(Q$185/SUM(Q$185,Q$192,Q$198),R$185/SUM(R$185,R$192,R$198),S$185/SUM(S$185,S$192,S$198)),S$185/SUM(S$185,S$192,S$198))*SUM(T$263,T$299-T$213)</f>
        <v>4.9788724043882349</v>
      </c>
    </row>
    <row r="186" spans="1:20" x14ac:dyDescent="0.2">
      <c r="A186" s="1" t="s">
        <v>507</v>
      </c>
      <c r="B186" s="4" t="str">
        <f>$B$38</f>
        <v>From Fiscal</v>
      </c>
      <c r="D186" s="15">
        <f>'Fiscal Forecasts'!D$238</f>
        <v>-2.3E-2</v>
      </c>
      <c r="E186" s="15">
        <f>'Fiscal Forecasts'!E$238</f>
        <v>-2.9000000000000001E-2</v>
      </c>
      <c r="F186" s="16">
        <f>'Fiscal Forecasts'!F$238</f>
        <v>-3.5999999999999997E-2</v>
      </c>
      <c r="G186" s="16">
        <f>'Fiscal Forecasts'!G$238</f>
        <v>-3.6999999999999998E-2</v>
      </c>
      <c r="H186" s="16">
        <f>'Fiscal Forecasts'!H$238</f>
        <v>-3.6999999999999998E-2</v>
      </c>
      <c r="I186" s="16">
        <f>'Fiscal Forecasts'!I$238</f>
        <v>-3.6999999999999998E-2</v>
      </c>
      <c r="J186" s="16">
        <f>'Fiscal Forecasts'!J$238</f>
        <v>-3.7999999999999999E-2</v>
      </c>
      <c r="K186" s="7">
        <f ca="1">IF(K$6=OFFSET(Assumptions!$B$8,0,$C$1),AVERAGE(H$186/SUM(H$186,H$199),I$186/SUM(I$186,I$199),J$186/SUM(J$186,J$199)),J$186/SUM(J$186,J$199))*SUM(K$174,K$232,K$241,K$264,K$300)</f>
        <v>-3.8152192414903308E-2</v>
      </c>
      <c r="L186" s="7">
        <f ca="1">IF(L$6=OFFSET(Assumptions!$B$8,0,$C$1),AVERAGE(I$186/SUM(I$186,I$199),J$186/SUM(J$186,J$199),K$186/SUM(K$186,K$199)),K$186/SUM(K$186,K$199))*SUM(L$174,L$232,L$241,L$264,L$300)</f>
        <v>-3.8661477902268579E-2</v>
      </c>
      <c r="M186" s="7">
        <f ca="1">IF(M$6=OFFSET(Assumptions!$B$8,0,$C$1),AVERAGE(J$186/SUM(J$186,J$199),K$186/SUM(K$186,K$199),L$186/SUM(L$186,L$199)),L$186/SUM(L$186,L$199))*SUM(M$174,M$232,M$241,M$264,M$300)</f>
        <v>-3.9092527765798822E-2</v>
      </c>
      <c r="N186" s="7">
        <f ca="1">IF(N$6=OFFSET(Assumptions!$B$8,0,$C$1),AVERAGE(K$186/SUM(K$186,K$199),L$186/SUM(L$186,L$199),M$186/SUM(M$186,M$199)),M$186/SUM(M$186,M$199))*SUM(N$174,N$232,N$241,N$264,N$300)</f>
        <v>-3.9490263689880997E-2</v>
      </c>
      <c r="O186" s="7">
        <f ca="1">IF(O$6=OFFSET(Assumptions!$B$8,0,$C$1),AVERAGE(L$186/SUM(L$186,L$199),M$186/SUM(M$186,M$199),N$186/SUM(N$186,N$199)),N$186/SUM(N$186,N$199))*SUM(O$174,O$232,O$241,O$264,O$300)</f>
        <v>-3.9902967832180121E-2</v>
      </c>
      <c r="P186" s="7">
        <f ca="1">IF(P$6=OFFSET(Assumptions!$B$8,0,$C$1),AVERAGE(M$186/SUM(M$186,M$199),N$186/SUM(N$186,N$199),O$186/SUM(O$186,O$199)),O$186/SUM(O$186,O$199))*SUM(P$174,P$232,P$241,P$264,P$300)</f>
        <v>-4.0322590074883563E-2</v>
      </c>
      <c r="Q186" s="7">
        <f ca="1">IF(Q$6=OFFSET(Assumptions!$B$8,0,$C$1),AVERAGE(N$186/SUM(N$186,N$199),O$186/SUM(O$186,O$199),P$186/SUM(P$186,P$199)),P$186/SUM(P$186,P$199))*SUM(Q$174,Q$232,Q$241,Q$264,Q$300)</f>
        <v>-4.0754979705446739E-2</v>
      </c>
      <c r="R186" s="7">
        <f ca="1">IF(R$6=OFFSET(Assumptions!$B$8,0,$C$1),AVERAGE(O$186/SUM(O$186,O$199),P$186/SUM(P$186,P$199),Q$186/SUM(Q$186,Q$199)),Q$186/SUM(Q$186,Q$199))*SUM(R$174,R$232,R$241,R$264,R$300)</f>
        <v>-4.1199616037720307E-2</v>
      </c>
      <c r="S186" s="7">
        <f ca="1">IF(S$6=OFFSET(Assumptions!$B$8,0,$C$1),AVERAGE(P$186/SUM(P$186,P$199),Q$186/SUM(Q$186,Q$199),R$186/SUM(R$186,R$199)),R$186/SUM(R$186,R$199))*SUM(S$174,S$232,S$241,S$264,S$300)</f>
        <v>-4.1658519351844579E-2</v>
      </c>
      <c r="T186" s="7">
        <f ca="1">IF(T$6=OFFSET(Assumptions!$B$8,0,$C$1),AVERAGE(Q$186/SUM(Q$186,Q$199),R$186/SUM(R$186,R$199),S$186/SUM(S$186,S$199)),S$186/SUM(S$186,S$199))*SUM(T$174,T$232,T$241,T$264,T$300)</f>
        <v>-4.2130989117936994E-2</v>
      </c>
    </row>
    <row r="187" spans="1:20" ht="15" x14ac:dyDescent="0.25">
      <c r="A187" s="2" t="s">
        <v>508</v>
      </c>
      <c r="D187" s="35">
        <f t="shared" ref="D187:T187" si="102">SUM(D$183:D$186)</f>
        <v>21.123999999999999</v>
      </c>
      <c r="E187" s="35">
        <f t="shared" si="102"/>
        <v>21.763000000000002</v>
      </c>
      <c r="F187" s="34">
        <f t="shared" ca="1" si="102"/>
        <v>22.404999999999998</v>
      </c>
      <c r="G187" s="34">
        <f t="shared" ca="1" si="102"/>
        <v>22.984999999999999</v>
      </c>
      <c r="H187" s="34">
        <f t="shared" ca="1" si="102"/>
        <v>23.18</v>
      </c>
      <c r="I187" s="34">
        <f t="shared" ca="1" si="102"/>
        <v>23.333000000000002</v>
      </c>
      <c r="J187" s="34">
        <f t="shared" ca="1" si="102"/>
        <v>23.637</v>
      </c>
      <c r="K187" s="38">
        <f t="shared" ca="1" si="102"/>
        <v>23.953774097305011</v>
      </c>
      <c r="L187" s="38">
        <f t="shared" ca="1" si="102"/>
        <v>24.317682751640003</v>
      </c>
      <c r="M187" s="38">
        <f t="shared" ca="1" si="102"/>
        <v>24.669840502456449</v>
      </c>
      <c r="N187" s="38">
        <f t="shared" ca="1" si="102"/>
        <v>25.019284349569094</v>
      </c>
      <c r="O187" s="38">
        <f t="shared" ca="1" si="102"/>
        <v>25.3806123446046</v>
      </c>
      <c r="P187" s="38">
        <f t="shared" ca="1" si="102"/>
        <v>25.752925687350622</v>
      </c>
      <c r="Q187" s="38">
        <f t="shared" ca="1" si="102"/>
        <v>26.133964479339749</v>
      </c>
      <c r="R187" s="38">
        <f t="shared" ca="1" si="102"/>
        <v>26.520334091816377</v>
      </c>
      <c r="S187" s="38">
        <f t="shared" ca="1" si="102"/>
        <v>26.920973836174365</v>
      </c>
      <c r="T187" s="38">
        <f t="shared" ca="1" si="102"/>
        <v>27.333513598765272</v>
      </c>
    </row>
    <row r="188" spans="1:20" ht="15" x14ac:dyDescent="0.25">
      <c r="A188" s="2"/>
      <c r="D188" s="47"/>
      <c r="E188" s="47"/>
      <c r="F188" s="48"/>
      <c r="G188" s="48"/>
      <c r="H188" s="48"/>
      <c r="I188" s="48"/>
      <c r="J188" s="48"/>
      <c r="K188" s="48"/>
      <c r="L188" s="48"/>
      <c r="M188" s="48"/>
      <c r="N188" s="48"/>
      <c r="O188" s="48"/>
      <c r="P188" s="48"/>
      <c r="Q188" s="48"/>
      <c r="R188" s="48"/>
      <c r="S188" s="48"/>
      <c r="T188" s="48"/>
    </row>
    <row r="189" spans="1:20" x14ac:dyDescent="0.2">
      <c r="A189" s="19" t="s">
        <v>151</v>
      </c>
    </row>
    <row r="190" spans="1:20" x14ac:dyDescent="0.2">
      <c r="A190" s="1" t="s">
        <v>307</v>
      </c>
      <c r="B190" s="4" t="str">
        <f>$B$38</f>
        <v>From Fiscal</v>
      </c>
      <c r="D190" s="15">
        <f>'Fiscal Forecasts'!D$241</f>
        <v>1.4410000000000001</v>
      </c>
      <c r="E190" s="15">
        <f>'Fiscal Forecasts'!E$241</f>
        <v>1.5289999999999999</v>
      </c>
      <c r="F190" s="16">
        <f>'Fiscal Forecasts'!F$241</f>
        <v>1.629</v>
      </c>
      <c r="G190" s="16">
        <f>'Fiscal Forecasts'!G$241</f>
        <v>1.768</v>
      </c>
      <c r="H190" s="16">
        <f>'Fiscal Forecasts'!H$241</f>
        <v>1.821</v>
      </c>
      <c r="I190" s="16">
        <f>'Fiscal Forecasts'!I$241</f>
        <v>1.8939999999999999</v>
      </c>
      <c r="J190" s="16">
        <f>'Fiscal Forecasts'!J$241</f>
        <v>1.9490000000000001</v>
      </c>
      <c r="K190" s="7">
        <f ca="1">SUM(K$395,IF(K$6=OFFSET(Assumptions!$B$8,0,$C$1),AVERAGE((H$190-H$395)/H$13,(I$190-I$395)/I$13,(J$190-J$395)/J$13),(J$190-J$395)/J$13)*K$13)</f>
        <v>2.0624954662766832</v>
      </c>
      <c r="L190" s="7">
        <f ca="1">SUM(L$395,IF(L$6=OFFSET(Assumptions!$B$8,0,$C$1),AVERAGE((I$190-I$395)/I$13,(J$190-J$395)/J$13,(K$190-K$395)/K$13),(K$190-K$395)/K$13)*L$13)</f>
        <v>2.1074319222427529</v>
      </c>
      <c r="M190" s="7">
        <f ca="1">SUM(M$395,IF(M$6=OFFSET(Assumptions!$B$8,0,$C$1),AVERAGE((J$190-J$395)/J$13,(K$190-K$395)/K$13,(L$190-L$395)/L$13),(L$190-L$395)/L$13)*M$13)</f>
        <v>2.2338955167689032</v>
      </c>
      <c r="N190" s="7">
        <f ca="1">SUM(N$395,IF(N$6=OFFSET(Assumptions!$B$8,0,$C$1),AVERAGE((K$190-K$395)/K$13,(L$190-L$395)/L$13,(M$190-M$395)/M$13),(M$190-M$395)/M$13)*N$13)</f>
        <v>2.3973144499676478</v>
      </c>
      <c r="O190" s="7">
        <f ca="1">SUM(O$395,IF(O$6=OFFSET(Assumptions!$B$8,0,$C$1),AVERAGE((L$190-L$395)/L$13,(M$190-M$395)/M$13,(N$190-N$395)/N$13),(N$190-N$395)/N$13)*O$13)</f>
        <v>2.5991564365991775</v>
      </c>
      <c r="P190" s="7">
        <f ca="1">SUM(P$395,IF(P$6=OFFSET(Assumptions!$B$8,0,$C$1),AVERAGE((M$190-M$395)/M$13,(N$190-N$395)/N$13,(O$190-O$395)/O$13),(O$190-O$395)/O$13)*P$13)</f>
        <v>2.838994782251258</v>
      </c>
      <c r="Q190" s="7">
        <f ca="1">SUM(Q$395,IF(Q$6=OFFSET(Assumptions!$B$8,0,$C$1),AVERAGE((N$190-N$395)/N$13,(O$190-O$395)/O$13,(P$190-P$395)/P$13),(P$190-P$395)/P$13)*Q$13)</f>
        <v>3.1243009545677469</v>
      </c>
      <c r="R190" s="7">
        <f ca="1">SUM(R$395,IF(R$6=OFFSET(Assumptions!$B$8,0,$C$1),AVERAGE((O$190-O$395)/O$13,(P$190-P$395)/P$13,(Q$190-Q$395)/Q$13),(Q$190-Q$395)/Q$13)*R$13)</f>
        <v>3.4640512698367862</v>
      </c>
      <c r="S190" s="7">
        <f ca="1">SUM(S$395,IF(S$6=OFFSET(Assumptions!$B$8,0,$C$1),AVERAGE((P$190-P$395)/P$13,(Q$190-Q$395)/Q$13,(R$190-R$395)/R$13),(R$190-R$395)/R$13)*S$13)</f>
        <v>3.8691105865322664</v>
      </c>
      <c r="T190" s="7">
        <f ca="1">SUM(T$395,IF(T$6=OFFSET(Assumptions!$B$8,0,$C$1),AVERAGE((Q$190-Q$395)/Q$13,(R$190-R$395)/R$13,(S$190-S$395)/S$13),(S$190-S$395)/S$13)*T$13)</f>
        <v>4.3524040062771512</v>
      </c>
    </row>
    <row r="191" spans="1:20" x14ac:dyDescent="0.2">
      <c r="A191" s="1" t="s">
        <v>279</v>
      </c>
      <c r="B191" s="4" t="str">
        <f>$B$38</f>
        <v>From Fiscal</v>
      </c>
      <c r="D191" s="15">
        <f>'Fiscal Forecasts'!D$242</f>
        <v>1.7509999999999999</v>
      </c>
      <c r="E191" s="15">
        <f>'Fiscal Forecasts'!E$242</f>
        <v>1.6859999999999999</v>
      </c>
      <c r="F191" s="16">
        <f>'Fiscal Forecasts'!F$242</f>
        <v>1.702</v>
      </c>
      <c r="G191" s="16">
        <f>'Fiscal Forecasts'!G$242</f>
        <v>1.7789999999999999</v>
      </c>
      <c r="H191" s="16">
        <f>'Fiscal Forecasts'!H$242</f>
        <v>1.8360000000000001</v>
      </c>
      <c r="I191" s="16">
        <f>'Fiscal Forecasts'!I$242</f>
        <v>1.85</v>
      </c>
      <c r="J191" s="16">
        <f>'Fiscal Forecasts'!J$242</f>
        <v>1.871</v>
      </c>
      <c r="K191" s="7">
        <f ca="1">IF(K$6=OFFSET(Assumptions!$B$8,0,$C$1),AVERAGE(H$191/SUM(H$191,H$192),I$191/SUM(I$191,I$192),J$191/SUM(J$191,J$192)),J$191/SUM(J$191,J$192))*SUM(K$398-K$395,IF(K$6=OFFSET(Assumptions!$B$8,0,$C$1),AVERAGE(SUM(H$191,H$192,-(H$398-H$395))/H$13,SUM(I$191,I$192,-(I$398-I$395))/I$13,SUM(J$191,J$192,-(J$398-J$395))/J$13),SUM(J$191,J$192,-(J$398-J$395))/J$13)*K$13)</f>
        <v>1.9227462715769816</v>
      </c>
      <c r="L191" s="7">
        <f ca="1">IF(L$6=OFFSET(Assumptions!$B$8,0,$C$1),AVERAGE(I$191/SUM(I$191,I$192),J$191/SUM(J$191,J$192),K$191/SUM(K$191,K$192)),K$191/SUM(K$191,K$192))*SUM(L$398-L$395,IF(L$6=OFFSET(Assumptions!$B$8,0,$C$1),AVERAGE(SUM(I$191,I$192,-(I$398-I$395))/I$13,SUM(J$191,J$192,-(J$398-J$395))/J$13,SUM(K$191,K$192,-(K$398-K$395))/K$13),SUM(K$191,K$192,-(K$398-K$395))/K$13)*L$13)</f>
        <v>1.9560407416291439</v>
      </c>
      <c r="M191" s="7">
        <f ca="1">IF(M$6=OFFSET(Assumptions!$B$8,0,$C$1),AVERAGE(J$191/SUM(J$191,J$192),K$191/SUM(K$191,K$192),L$191/SUM(L$191,L$192)),L$191/SUM(L$191,L$192))*SUM(M$398-M$395,IF(M$6=OFFSET(Assumptions!$B$8,0,$C$1),AVERAGE(SUM(J$191,J$192,-(J$398-J$395))/J$13,SUM(K$191,K$192,-(K$398-K$395))/K$13,SUM(L$191,L$192,-(L$398-L$395))/L$13),SUM(L$191,L$192,-(L$398-L$395))/L$13)*M$13)</f>
        <v>1.9916134752999575</v>
      </c>
      <c r="N191" s="7">
        <f ca="1">IF(N$6=OFFSET(Assumptions!$B$8,0,$C$1),AVERAGE(K$191/SUM(K$191,K$192),L$191/SUM(L$191,L$192),M$191/SUM(M$191,M$192)),M$191/SUM(M$191,M$192))*SUM(N$398-N$395,IF(N$6=OFFSET(Assumptions!$B$8,0,$C$1),AVERAGE(SUM(K$191,K$192,-(K$398-K$395))/K$13,SUM(L$191,L$192,-(L$398-L$395))/L$13,SUM(M$191,M$192,-(M$398-M$395))/M$13),SUM(M$191,M$192,-(M$398-M$395))/M$13)*N$13)</f>
        <v>2.0289779624699444</v>
      </c>
      <c r="O191" s="7">
        <f ca="1">IF(O$6=OFFSET(Assumptions!$B$8,0,$C$1),AVERAGE(L$191/SUM(L$191,L$192),M$191/SUM(M$191,M$192),N$191/SUM(N$191,N$192)),N$191/SUM(N$191,N$192))*SUM(O$398-O$395,IF(O$6=OFFSET(Assumptions!$B$8,0,$C$1),AVERAGE(SUM(L$191,L$192,-(L$398-L$395))/L$13,SUM(M$191,M$192,-(M$398-M$395))/M$13,SUM(N$191,N$192,-(N$398-N$395))/N$13),SUM(N$191,N$192,-(N$398-N$395))/N$13)*O$13)</f>
        <v>2.0678304397457827</v>
      </c>
      <c r="P191" s="7">
        <f ca="1">IF(P$6=OFFSET(Assumptions!$B$8,0,$C$1),AVERAGE(M$191/SUM(M$191,M$192),N$191/SUM(N$191,N$192),O$191/SUM(O$191,O$192)),O$191/SUM(O$191,O$192))*SUM(P$398-P$395,IF(P$6=OFFSET(Assumptions!$B$8,0,$C$1),AVERAGE(SUM(M$191,M$192,-(M$398-M$395))/M$13,SUM(N$191,N$192,-(N$398-N$395))/N$13,SUM(O$191,O$192,-(O$398-O$395))/O$13),SUM(O$191,O$192,-(O$398-O$395))/O$13)*P$13)</f>
        <v>2.1082613160331354</v>
      </c>
      <c r="Q191" s="7">
        <f ca="1">IF(Q$6=OFFSET(Assumptions!$B$8,0,$C$1),AVERAGE(N$191/SUM(N$191,N$192),O$191/SUM(O$191,O$192),P$191/SUM(P$191,P$192)),P$191/SUM(P$191,P$192))*SUM(Q$398-Q$395,IF(Q$6=OFFSET(Assumptions!$B$8,0,$C$1),AVERAGE(SUM(N$191,N$192,-(N$398-N$395))/N$13,SUM(O$191,O$192,-(O$398-O$395))/O$13,SUM(P$191,P$192,-(P$398-P$395))/P$13),SUM(P$191,P$192,-(P$398-P$395))/P$13)*Q$13)</f>
        <v>2.1502862847800253</v>
      </c>
      <c r="R191" s="7">
        <f ca="1">IF(R$6=OFFSET(Assumptions!$B$8,0,$C$1),AVERAGE(O$191/SUM(O$191,O$192),P$191/SUM(P$191,P$192),Q$191/SUM(Q$191,Q$192)),Q$191/SUM(Q$191,Q$192))*SUM(R$398-R$395,IF(R$6=OFFSET(Assumptions!$B$8,0,$C$1),AVERAGE(SUM(O$191,O$192,-(O$398-O$395))/O$13,SUM(P$191,P$192,-(P$398-P$395))/P$13,SUM(Q$191,Q$192,-(Q$398-Q$395))/Q$13),SUM(Q$191,Q$192,-(Q$398-Q$395))/Q$13)*R$13)</f>
        <v>2.1939251422064787</v>
      </c>
      <c r="S191" s="7">
        <f ca="1">IF(S$6=OFFSET(Assumptions!$B$8,0,$C$1),AVERAGE(P$191/SUM(P$191,P$192),Q$191/SUM(Q$191,Q$192),R$191/SUM(R$191,R$192)),R$191/SUM(R$191,R$192))*SUM(S$398-S$395,IF(S$6=OFFSET(Assumptions!$B$8,0,$C$1),AVERAGE(SUM(P$191,P$192,-(P$398-P$395))/P$13,SUM(Q$191,Q$192,-(Q$398-Q$395))/Q$13,SUM(R$191,R$192,-(R$398-R$395))/R$13),SUM(R$191,R$192,-(R$398-R$395))/R$13)*S$13)</f>
        <v>2.2392846190206601</v>
      </c>
      <c r="T191" s="7">
        <f ca="1">IF(T$6=OFFSET(Assumptions!$B$8,0,$C$1),AVERAGE(Q$191/SUM(Q$191,Q$192),R$191/SUM(R$191,R$192),S$191/SUM(S$191,S$192)),S$191/SUM(S$191,S$192))*SUM(T$398-T$395,IF(T$6=OFFSET(Assumptions!$B$8,0,$C$1),AVERAGE(SUM(Q$191,Q$192,-(Q$398-Q$395))/Q$13,SUM(R$191,R$192,-(R$398-R$395))/R$13,SUM(S$191,S$192,-(S$398-S$395))/S$13),SUM(S$191,S$192,-(S$398-S$395))/S$13)*T$13)</f>
        <v>2.2863803294935932</v>
      </c>
    </row>
    <row r="192" spans="1:20" x14ac:dyDescent="0.2">
      <c r="A192" s="1" t="s">
        <v>506</v>
      </c>
      <c r="B192" s="4" t="str">
        <f>$B$38</f>
        <v>From Fiscal</v>
      </c>
      <c r="D192" s="15">
        <f>SUM('Fiscal Forecasts'!D$243:D$244)</f>
        <v>1.65</v>
      </c>
      <c r="E192" s="15">
        <f>SUM('Fiscal Forecasts'!E$243:E$244)</f>
        <v>1.66</v>
      </c>
      <c r="F192" s="16">
        <f>SUM('Fiscal Forecasts'!F$243:F$244)</f>
        <v>1.8320000000000001</v>
      </c>
      <c r="G192" s="16">
        <f>SUM('Fiscal Forecasts'!G$243:G$244)</f>
        <v>1.78</v>
      </c>
      <c r="H192" s="16">
        <f>SUM('Fiscal Forecasts'!H$243:H$244)</f>
        <v>1.8340000000000001</v>
      </c>
      <c r="I192" s="16">
        <f>SUM('Fiscal Forecasts'!I$243:I$244)</f>
        <v>1.851</v>
      </c>
      <c r="J192" s="16">
        <f>SUM('Fiscal Forecasts'!J$243:J$244)</f>
        <v>1.8640000000000001</v>
      </c>
      <c r="K192" s="7">
        <f ca="1">IF(K$6=OFFSET(Assumptions!$B$8,0,$C$1),AVERAGE(H$192/SUM(H$191,H$192),I$192/SUM(I$191,I$192),J$192/SUM(J$191,J$192)),J$192/SUM(J$191,J$192))*SUM(K$398-K$395,IF(K$6=OFFSET(Assumptions!$B$8,0,$C$1),AVERAGE(SUM(H$191,H$192,-(H$398-H$395))/H$13,SUM(I$191,I$192,-(I$398-I$395))/I$13,SUM(J$191,J$192,-(J$398-J$395))/J$13),SUM(J$191,J$192,-(J$398-J$395))/J$13)*K$13)</f>
        <v>1.9199936846621579</v>
      </c>
      <c r="L192" s="7">
        <f ca="1">IF(L$6=OFFSET(Assumptions!$B$8,0,$C$1),AVERAGE(I$192/SUM(I$191,I$192),J$192/SUM(J$191,J$192),K$192/SUM(K$191,K$192)),K$192/SUM(K$191,K$192))*SUM(L$398-L$395,IF(L$6=OFFSET(Assumptions!$B$8,0,$C$1),AVERAGE(SUM(I$191,I$192,-(I$398-I$395))/I$13,SUM(J$191,J$192,-(J$398-J$395))/J$13,SUM(K$191,K$192,-(K$398-K$395))/K$13),SUM(K$191,K$192,-(K$398-K$395))/K$13)*L$13)</f>
        <v>1.9532404906392644</v>
      </c>
      <c r="M192" s="7">
        <f ca="1">IF(M$6=OFFSET(Assumptions!$B$8,0,$C$1),AVERAGE(J$192/SUM(J$191,J$192),K$192/SUM(K$191,K$192),L$192/SUM(L$191,L$192)),L$192/SUM(L$191,L$192))*SUM(M$398-M$395,IF(M$6=OFFSET(Assumptions!$B$8,0,$C$1),AVERAGE(SUM(J$191,J$192,-(J$398-J$395))/J$13,SUM(K$191,K$192,-(K$398-K$395))/K$13,SUM(L$191,L$192,-(L$398-L$395))/L$13),SUM(L$191,L$192,-(L$398-L$395))/L$13)*M$13)</f>
        <v>1.9887622986925515</v>
      </c>
      <c r="N192" s="7">
        <f ca="1">IF(N$6=OFFSET(Assumptions!$B$8,0,$C$1),AVERAGE(K$192/SUM(K$191,K$192),L$192/SUM(L$191,L$192),M$192/SUM(M$191,M$192)),M$192/SUM(M$191,M$192))*SUM(N$398-N$395,IF(N$6=OFFSET(Assumptions!$B$8,0,$C$1),AVERAGE(SUM(K$191,K$192,-(K$398-K$395))/K$13,SUM(L$191,L$192,-(L$398-L$395))/L$13,SUM(M$191,M$192,-(M$398-M$395))/M$13),SUM(M$191,M$192,-(M$398-M$395))/M$13)*N$13)</f>
        <v>2.0260732951862161</v>
      </c>
      <c r="O192" s="7">
        <f ca="1">IF(O$6=OFFSET(Assumptions!$B$8,0,$C$1),AVERAGE(L$192/SUM(L$191,L$192),M$192/SUM(M$191,M$192),N$192/SUM(N$191,N$192)),N$192/SUM(N$191,N$192))*SUM(O$398-O$395,IF(O$6=OFFSET(Assumptions!$B$8,0,$C$1),AVERAGE(SUM(L$191,L$192,-(L$398-L$395))/L$13,SUM(M$191,M$192,-(M$398-M$395))/M$13,SUM(N$191,N$192,-(N$398-N$395))/N$13),SUM(N$191,N$192,-(N$398-N$395))/N$13)*O$13)</f>
        <v>2.0648701515919798</v>
      </c>
      <c r="P192" s="7">
        <f ca="1">IF(P$6=OFFSET(Assumptions!$B$8,0,$C$1),AVERAGE(M$192/SUM(M$191,M$192),N$192/SUM(N$191,N$192),O$192/SUM(O$191,O$192)),O$192/SUM(O$191,O$192))*SUM(P$398-P$395,IF(P$6=OFFSET(Assumptions!$B$8,0,$C$1),AVERAGE(SUM(M$191,M$192,-(M$398-M$395))/M$13,SUM(N$191,N$192,-(N$398-N$395))/N$13,SUM(O$191,O$192,-(O$398-O$395))/O$13),SUM(O$191,O$192,-(O$398-O$395))/O$13)*P$13)</f>
        <v>2.1052431473868993</v>
      </c>
      <c r="Q192" s="7">
        <f ca="1">IF(Q$6=OFFSET(Assumptions!$B$8,0,$C$1),AVERAGE(N$192/SUM(N$191,N$192),O$192/SUM(O$191,O$192),P$192/SUM(P$191,P$192)),P$192/SUM(P$191,P$192))*SUM(Q$398-Q$395,IF(Q$6=OFFSET(Assumptions!$B$8,0,$C$1),AVERAGE(SUM(N$191,N$192,-(N$398-N$395))/N$13,SUM(O$191,O$192,-(O$398-O$395))/O$13,SUM(P$191,P$192,-(P$398-P$395))/P$13),SUM(P$191,P$192,-(P$398-P$395))/P$13)*Q$13)</f>
        <v>2.1472079535523925</v>
      </c>
      <c r="R192" s="7">
        <f ca="1">IF(R$6=OFFSET(Assumptions!$B$8,0,$C$1),AVERAGE(O$192/SUM(O$191,O$192),P$192/SUM(P$191,P$192),Q$192/SUM(Q$191,Q$192)),Q$192/SUM(Q$191,Q$192))*SUM(R$398-R$395,IF(R$6=OFFSET(Assumptions!$B$8,0,$C$1),AVERAGE(SUM(O$191,O$192,-(O$398-O$395))/O$13,SUM(P$191,P$192,-(P$398-P$395))/P$13,SUM(Q$191,Q$192,-(Q$398-Q$395))/Q$13),SUM(Q$191,Q$192,-(Q$398-Q$395))/Q$13)*R$13)</f>
        <v>2.1907843379683891</v>
      </c>
      <c r="S192" s="7">
        <f ca="1">IF(S$6=OFFSET(Assumptions!$B$8,0,$C$1),AVERAGE(P$192/SUM(P$191,P$192),Q$192/SUM(Q$191,Q$192),R$192/SUM(R$191,R$192)),R$192/SUM(R$191,R$192))*SUM(S$398-S$395,IF(S$6=OFFSET(Assumptions!$B$8,0,$C$1),AVERAGE(SUM(P$191,P$192,-(P$398-P$395))/P$13,SUM(Q$191,Q$192,-(Q$398-Q$395))/Q$13,SUM(R$191,R$192,-(R$398-R$395))/R$13),SUM(R$191,R$192,-(R$398-R$395))/R$13)*S$13)</f>
        <v>2.2360788785482955</v>
      </c>
      <c r="T192" s="7">
        <f ca="1">IF(T$6=OFFSET(Assumptions!$B$8,0,$C$1),AVERAGE(Q$192/SUM(Q$191,Q$192),R$192/SUM(R$191,R$192),S$192/SUM(S$191,S$192)),S$192/SUM(S$191,S$192))*SUM(T$398-T$395,IF(T$6=OFFSET(Assumptions!$B$8,0,$C$1),AVERAGE(SUM(Q$191,Q$192,-(Q$398-Q$395))/Q$13,SUM(R$191,R$192,-(R$398-R$395))/R$13,SUM(S$191,S$192,-(S$398-S$395))/S$13),SUM(S$191,S$192,-(S$398-S$395))/S$13)*T$13)</f>
        <v>2.2831071672098804</v>
      </c>
    </row>
    <row r="193" spans="1:20" ht="15" x14ac:dyDescent="0.25">
      <c r="A193" s="2" t="s">
        <v>509</v>
      </c>
      <c r="D193" s="35">
        <f t="shared" ref="D193:T193" si="103">SUM(D$190:D$192)</f>
        <v>4.8420000000000005</v>
      </c>
      <c r="E193" s="35">
        <f t="shared" si="103"/>
        <v>4.875</v>
      </c>
      <c r="F193" s="34">
        <f t="shared" si="103"/>
        <v>5.1630000000000003</v>
      </c>
      <c r="G193" s="34">
        <f t="shared" si="103"/>
        <v>5.327</v>
      </c>
      <c r="H193" s="34">
        <f t="shared" si="103"/>
        <v>5.4909999999999997</v>
      </c>
      <c r="I193" s="34">
        <f t="shared" si="103"/>
        <v>5.5949999999999998</v>
      </c>
      <c r="J193" s="34">
        <f t="shared" si="103"/>
        <v>5.6840000000000002</v>
      </c>
      <c r="K193" s="38">
        <f t="shared" ca="1" si="103"/>
        <v>5.9052354225158226</v>
      </c>
      <c r="L193" s="38">
        <f t="shared" ca="1" si="103"/>
        <v>6.0167131545111614</v>
      </c>
      <c r="M193" s="38">
        <f t="shared" ca="1" si="103"/>
        <v>6.2142712907614115</v>
      </c>
      <c r="N193" s="38">
        <f t="shared" ca="1" si="103"/>
        <v>6.4523657076238079</v>
      </c>
      <c r="O193" s="38">
        <f t="shared" ca="1" si="103"/>
        <v>6.7318570279369405</v>
      </c>
      <c r="P193" s="38">
        <f t="shared" ca="1" si="103"/>
        <v>7.0524992456712923</v>
      </c>
      <c r="Q193" s="38">
        <f t="shared" ca="1" si="103"/>
        <v>7.4217951929001647</v>
      </c>
      <c r="R193" s="38">
        <f t="shared" ca="1" si="103"/>
        <v>7.8487607500116541</v>
      </c>
      <c r="S193" s="38">
        <f t="shared" ca="1" si="103"/>
        <v>8.3444740841012219</v>
      </c>
      <c r="T193" s="38">
        <f t="shared" ca="1" si="103"/>
        <v>8.9218915029806247</v>
      </c>
    </row>
    <row r="194" spans="1:20" ht="15" x14ac:dyDescent="0.25">
      <c r="A194" s="2"/>
      <c r="D194" s="47"/>
      <c r="E194" s="47"/>
      <c r="F194" s="48"/>
      <c r="G194" s="48"/>
      <c r="H194" s="48"/>
      <c r="I194" s="48"/>
      <c r="J194" s="48"/>
      <c r="K194" s="49"/>
      <c r="L194" s="49"/>
      <c r="M194" s="49"/>
      <c r="N194" s="49"/>
      <c r="O194" s="49"/>
      <c r="P194" s="49"/>
      <c r="Q194" s="49"/>
      <c r="R194" s="49"/>
      <c r="S194" s="49"/>
      <c r="T194" s="49"/>
    </row>
    <row r="195" spans="1:20" x14ac:dyDescent="0.2">
      <c r="A195" s="19" t="s">
        <v>152</v>
      </c>
    </row>
    <row r="196" spans="1:20" x14ac:dyDescent="0.2">
      <c r="A196" s="1" t="s">
        <v>307</v>
      </c>
      <c r="B196" s="4" t="str">
        <f>$B$38</f>
        <v>From Fiscal</v>
      </c>
      <c r="D196" s="15">
        <f>'Fiscal Forecasts'!D$247</f>
        <v>36.857999999999997</v>
      </c>
      <c r="E196" s="15">
        <f>'Fiscal Forecasts'!E$247</f>
        <v>37.832000000000001</v>
      </c>
      <c r="F196" s="16">
        <f ca="1">'Fiscal Forecasts'!F$247 +IF(OFFSET(Assumptions!$B$57,0,$C$1)="Yes",(1-OFFSET(Assumptions!$B$58,0,$C$1))*SUM(Allocate!C$14,Allocate!C$17:C$24)+SUM(Allocate!C$15:C$16) +IF($C$2="Yes",((1-OFFSET(Assumptions!$B$58,0,$C$1))*SUM(Allocate!$B$14,Allocate!$B$17:$B$24)+SUM(Allocate!$B$15:$B$16))*'Fiscal Forecast Adjuster'!C$26/1000,0),0)</f>
        <v>39.380000000000003</v>
      </c>
      <c r="G196" s="16">
        <f ca="1">'Fiscal Forecasts'!G$247 +IF(OFFSET(Assumptions!$B$57,0,$C$1)="Yes",(1-OFFSET(Assumptions!$B$58,0,$C$1))*SUM(Allocate!D$14,Allocate!D$17:D$24)+SUM(Allocate!D$15:D$16) +IF($C$2="Yes",((1-OFFSET(Assumptions!$B$58,0,$C$1))*SUM(Allocate!$B$14,Allocate!$B$17:$B$24)+SUM(Allocate!$B$15:$B$16))*'Fiscal Forecast Adjuster'!D$26/1000,0),0)</f>
        <v>42.786999999999999</v>
      </c>
      <c r="H196" s="16">
        <f ca="1">'Fiscal Forecasts'!H$247 +IF(OFFSET(Assumptions!$B$57,0,$C$1)="Yes",(1-OFFSET(Assumptions!$B$58,0,$C$1))*SUM(Allocate!E$14,Allocate!E$17:E$24)+SUM(Allocate!E$15:E$16) +IF($C$2="Yes",((1-OFFSET(Assumptions!$B$58,0,$C$1))*SUM(Allocate!$B$14,Allocate!$B$17:$B$24)+SUM(Allocate!$B$15:$B$16))*'Fiscal Forecast Adjuster'!E$26/1000,0),0)</f>
        <v>42.177999999999997</v>
      </c>
      <c r="I196" s="16">
        <f ca="1">'Fiscal Forecasts'!I$247 +IF(OFFSET(Assumptions!$B$57,0,$C$1)="Yes",(1-OFFSET(Assumptions!$B$58,0,$C$1))*SUM(Allocate!F$14,Allocate!F$17:F$24)+SUM(Allocate!F$15:F$16) +IF($C$2="Yes",((1-OFFSET(Assumptions!$B$58,0,$C$1))*SUM(Allocate!$B$14,Allocate!$B$17:$B$24)+SUM(Allocate!$B$15:$B$16))*'Fiscal Forecast Adjuster'!F$26/1000,0),0)</f>
        <v>41.945</v>
      </c>
      <c r="J196" s="16">
        <f ca="1">'Fiscal Forecasts'!J$247 +IF(OFFSET(Assumptions!$B$57,0,$C$1)="Yes",(1-OFFSET(Assumptions!$B$58,0,$C$1))*SUM(Allocate!G$14,Allocate!G$17:G$24)+SUM(Allocate!G$15:G$16) +IF($C$2="Yes",((1-OFFSET(Assumptions!$B$58,0,$C$1))*SUM(Allocate!$B$14,Allocate!$B$17:$B$24)+SUM(Allocate!$B$15:$B$16))*'Fiscal Forecast Adjuster'!G$26/1000,0),0)</f>
        <v>42.473999999999997</v>
      </c>
      <c r="K196" s="7">
        <f ca="1">SUM(-K$190,K$296,IF(K$6=OFFSET(Assumptions!$B$8,0,$C$1),AVERAGE(SUM(H$190,H$196,-H$296)/SUM(H$183,H$190,H$196,-H$226,-H$296),SUM(I$190,I$196,-I$296)/SUM(I$183,I$190,I$196,-I$226,-I$296),SUM(J$190,J$196,-J$296)/SUM(J$183,J$190,J$196,-J$226,-J$296)),SUM(J$190,J$196,-J$296)/SUM(J$183,J$190,J$196,-J$226,-J$296))*SUM(-K$230,-K$238,K$295))</f>
        <v>41.776344683047604</v>
      </c>
      <c r="L196" s="7">
        <f ca="1">SUM(-L$190,L$296,IF(L$6=OFFSET(Assumptions!$B$8,0,$C$1),AVERAGE(SUM(I$190,I$196,-I$296)/SUM(I$183,I$190,I$196,-I$226,-I$296),SUM(J$190,J$196,-J$296)/SUM(J$183,J$190,J$196,-J$226,-J$296),SUM(K$190,K$196,-K$296)/SUM(K$183,K$190,K$196,-K$226,-K$296)),SUM(K$190,K$196,-K$296)/SUM(K$183,K$190,K$196,-K$226,-K$296))*SUM(-L$230,-L$238,L$295))</f>
        <v>42.052354878192574</v>
      </c>
      <c r="M196" s="7">
        <f ca="1">SUM(-M$190,M$296,IF(M$6=OFFSET(Assumptions!$B$8,0,$C$1),AVERAGE(SUM(J$190,J$196,-J$296)/SUM(J$183,J$190,J$196,-J$226,-J$296),SUM(K$190,K$196,-K$296)/SUM(K$183,K$190,K$196,-K$226,-K$296),SUM(L$190,L$196,-L$296)/SUM(L$183,L$190,L$196,-L$226,-L$296)),SUM(L$190,L$196,-L$296)/SUM(L$183,L$190,L$196,-L$226,-L$296))*SUM(-M$230,-M$238,M$295))</f>
        <v>42.175428351615345</v>
      </c>
      <c r="N196" s="7">
        <f ca="1">SUM(-N$190,N$296,IF(N$6=OFFSET(Assumptions!$B$8,0,$C$1),AVERAGE(SUM(K$190,K$196,-K$296)/SUM(K$183,K$190,K$196,-K$226,-K$296),SUM(L$190,L$196,-L$296)/SUM(L$183,L$190,L$196,-L$226,-L$296),SUM(M$190,M$196,-M$296)/SUM(M$183,M$190,M$196,-M$226,-M$296)),SUM(M$190,M$196,-M$296)/SUM(M$183,M$190,M$196,-M$226,-M$296))*SUM(-N$230,-N$238,N$295))</f>
        <v>42.23795022763521</v>
      </c>
      <c r="O196" s="7">
        <f ca="1">SUM(-O$190,O$296,IF(O$6=OFFSET(Assumptions!$B$8,0,$C$1),AVERAGE(SUM(L$190,L$196,-L$296)/SUM(L$183,L$190,L$196,-L$226,-L$296),SUM(M$190,M$196,-M$296)/SUM(M$183,M$190,M$196,-M$226,-M$296),SUM(N$190,N$196,-N$296)/SUM(N$183,N$190,N$196,-N$226,-N$296)),SUM(N$190,N$196,-N$296)/SUM(N$183,N$190,N$196,-N$226,-N$296))*SUM(-O$230,-O$238,O$295))</f>
        <v>42.265970423380416</v>
      </c>
      <c r="P196" s="7">
        <f ca="1">SUM(-P$190,P$296,IF(P$6=OFFSET(Assumptions!$B$8,0,$C$1),AVERAGE(SUM(M$190,M$196,-M$296)/SUM(M$183,M$190,M$196,-M$226,-M$296),SUM(N$190,N$196,-N$296)/SUM(N$183,N$190,N$196,-N$226,-N$296),SUM(O$190,O$196,-O$296)/SUM(O$183,O$190,O$196,-O$226,-O$296)),SUM(O$190,O$196,-O$296)/SUM(O$183,O$190,O$196,-O$226,-O$296))*SUM(-P$230,-P$238,P$295))</f>
        <v>42.26508233858776</v>
      </c>
      <c r="Q196" s="7">
        <f ca="1">SUM(-Q$190,Q$296,IF(Q$6=OFFSET(Assumptions!$B$8,0,$C$1),AVERAGE(SUM(N$190,N$196,-N$296)/SUM(N$183,N$190,N$196,-N$226,-N$296),SUM(O$190,O$196,-O$296)/SUM(O$183,O$190,O$196,-O$226,-O$296),SUM(P$190,P$196,-P$296)/SUM(P$183,P$190,P$196,-P$226,-P$296)),SUM(P$190,P$196,-P$296)/SUM(P$183,P$190,P$196,-P$226,-P$296))*SUM(-Q$230,-Q$238,Q$295))</f>
        <v>42.219601670994109</v>
      </c>
      <c r="R196" s="7">
        <f ca="1">SUM(-R$190,R$296,IF(R$6=OFFSET(Assumptions!$B$8,0,$C$1),AVERAGE(SUM(O$190,O$196,-O$296)/SUM(O$183,O$190,O$196,-O$226,-O$296),SUM(P$190,P$196,-P$296)/SUM(P$183,P$190,P$196,-P$226,-P$296),SUM(Q$190,Q$196,-Q$296)/SUM(Q$183,Q$190,Q$196,-Q$226,-Q$296)),SUM(Q$190,Q$196,-Q$296)/SUM(Q$183,Q$190,Q$196,-Q$226,-Q$296))*SUM(-R$230,-R$238,R$295))</f>
        <v>42.119862965261092</v>
      </c>
      <c r="S196" s="7">
        <f ca="1">SUM(-S$190,S$296,IF(S$6=OFFSET(Assumptions!$B$8,0,$C$1),AVERAGE(SUM(P$190,P$196,-P$296)/SUM(P$183,P$190,P$196,-P$226,-P$296),SUM(Q$190,Q$196,-Q$296)/SUM(Q$183,Q$190,Q$196,-Q$226,-Q$296),SUM(R$190,R$196,-R$296)/SUM(R$183,R$190,R$196,-R$226,-R$296)),SUM(R$190,R$196,-R$296)/SUM(R$183,R$190,R$196,-R$226,-R$296))*SUM(-S$230,-S$238,S$295))</f>
        <v>41.961507412907011</v>
      </c>
      <c r="T196" s="7">
        <f ca="1">SUM(-T$190,T$296,IF(T$6=OFFSET(Assumptions!$B$8,0,$C$1),AVERAGE(SUM(Q$190,Q$196,-Q$296)/SUM(Q$183,Q$190,Q$196,-Q$226,-Q$296),SUM(R$190,R$196,-R$296)/SUM(R$183,R$190,R$196,-R$226,-R$296),SUM(S$190,S$196,-S$296)/SUM(S$183,S$190,S$196,-S$226,-S$296)),SUM(S$190,S$196,-S$296)/SUM(S$183,S$190,S$196,-S$226,-S$296))*SUM(-T$230,-T$238,T$295))</f>
        <v>41.73253932449007</v>
      </c>
    </row>
    <row r="197" spans="1:20" x14ac:dyDescent="0.2">
      <c r="A197" s="1" t="s">
        <v>279</v>
      </c>
      <c r="B197" s="4" t="str">
        <f>$B$38</f>
        <v>From Fiscal</v>
      </c>
      <c r="D197" s="15">
        <f>'Fiscal Forecasts'!D$248</f>
        <v>17.914000000000001</v>
      </c>
      <c r="E197" s="15">
        <f>'Fiscal Forecasts'!E$248</f>
        <v>18.613</v>
      </c>
      <c r="F197" s="16">
        <f>'Fiscal Forecasts'!F$248</f>
        <v>19.497</v>
      </c>
      <c r="G197" s="16">
        <f>'Fiscal Forecasts'!G$248</f>
        <v>20.463000000000001</v>
      </c>
      <c r="H197" s="16">
        <f>'Fiscal Forecasts'!H$248</f>
        <v>20.138000000000002</v>
      </c>
      <c r="I197" s="16">
        <f>'Fiscal Forecasts'!I$248</f>
        <v>19.867999999999999</v>
      </c>
      <c r="J197" s="16">
        <f>'Fiscal Forecasts'!J$248</f>
        <v>20.382000000000001</v>
      </c>
      <c r="K197" s="7">
        <f ca="1">SUM(-K$191,IF(K$6=OFFSET(Assumptions!$B$8,0,$C$1),AVERAGE(SUM(H$191,H$197)/SUM(H$184,-(H$227-H$226),H$191,H$197),SUM(I$191,I$197)/SUM(I$184,-(I$227-I$226),I$191,I$197),SUM(J$191,J$197)/SUM(J$184,-(J$227-J$226),J$191,J$197)),SUM(J$191,J$197)/SUM(J$184,-(J$227-J$226),J$191,J$197))*SUM(K$173-K$212,K$231,K$240,K$262,K$298,-(K$227-K$226)))</f>
        <v>20.65642056992084</v>
      </c>
      <c r="L197" s="7">
        <f ca="1">SUM(-L$191,IF(L$6=OFFSET(Assumptions!$B$8,0,$C$1),AVERAGE(SUM(I$191,I$197)/SUM(I$184,-(I$227-I$226),I$191,I$197),SUM(J$191,J$197)/SUM(J$184,-(J$227-J$226),J$191,J$197),SUM(K$191,K$197)/SUM(K$184,-(K$227-K$226),K$191,K$197)),SUM(K$191,K$197)/SUM(K$184,-(K$227-K$226),K$191,K$197))*SUM(L$173-L$212,L$231,L$240,L$262,L$298,-(L$227-L$226)))</f>
        <v>20.98996110024602</v>
      </c>
      <c r="M197" s="7">
        <f ca="1">SUM(-M$191,IF(M$6=OFFSET(Assumptions!$B$8,0,$C$1),AVERAGE(SUM(J$191,J$197)/SUM(J$184,-(J$227-J$226),J$191,J$197),SUM(K$191,K$197)/SUM(K$184,-(K$227-K$226),K$191,K$197),SUM(L$191,L$197)/SUM(L$184,-(L$227-L$226),L$191,L$197)),SUM(L$191,L$197)/SUM(L$184,-(L$227-L$226),L$191,L$197))*SUM(M$173-M$212,M$231,M$240,M$262,M$298,-(M$227-M$226)))</f>
        <v>21.281384528091785</v>
      </c>
      <c r="N197" s="7">
        <f ca="1">SUM(-N$191,IF(N$6=OFFSET(Assumptions!$B$8,0,$C$1),AVERAGE(SUM(K$191,K$197)/SUM(K$184,-(K$227-K$226),K$191,K$197),SUM(L$191,L$197)/SUM(L$184,-(L$227-L$226),L$191,L$197),SUM(M$191,M$197)/SUM(M$184,-(M$227-M$226),M$191,M$197)),SUM(M$191,M$197)/SUM(M$184,-(M$227-M$226),M$191,M$197))*SUM(N$173-N$212,N$231,N$240,N$262,N$298,-(N$227-N$226)))</f>
        <v>21.556280941730147</v>
      </c>
      <c r="O197" s="7">
        <f ca="1">SUM(-O$191,IF(O$6=OFFSET(Assumptions!$B$8,0,$C$1),AVERAGE(SUM(L$191,L$197)/SUM(L$184,-(L$227-L$226),L$191,L$197),SUM(M$191,M$197)/SUM(M$184,-(M$227-M$226),M$191,M$197),SUM(N$191,N$197)/SUM(N$184,-(N$227-N$226),N$191,N$197)),SUM(N$191,N$197)/SUM(N$184,-(N$227-N$226),N$191,N$197))*SUM(O$173-O$212,O$231,O$240,O$262,O$298,-(O$227-O$226)))</f>
        <v>21.84058661374549</v>
      </c>
      <c r="P197" s="7">
        <f ca="1">SUM(-P$191,IF(P$6=OFFSET(Assumptions!$B$8,0,$C$1),AVERAGE(SUM(M$191,M$197)/SUM(M$184,-(M$227-M$226),M$191,M$197),SUM(N$191,N$197)/SUM(N$184,-(N$227-N$226),N$191,N$197),SUM(O$191,O$197)/SUM(O$184,-(O$227-O$226),O$191,O$197)),SUM(O$191,O$197)/SUM(O$184,-(O$227-O$226),O$191,O$197))*SUM(P$173-P$212,P$231,P$240,P$262,P$298,-(P$227-P$226)))</f>
        <v>22.13257474094571</v>
      </c>
      <c r="Q197" s="7">
        <f ca="1">SUM(-Q$191,IF(Q$6=OFFSET(Assumptions!$B$8,0,$C$1),AVERAGE(SUM(N$191,N$197)/SUM(N$184,-(N$227-N$226),N$191,N$197),SUM(O$191,O$197)/SUM(O$184,-(O$227-O$226),O$191,O$197),SUM(P$191,P$197)/SUM(P$184,-(P$227-P$226),P$191,P$197)),SUM(P$191,P$197)/SUM(P$184,-(P$227-P$226),P$191,P$197))*SUM(Q$173-Q$212,Q$231,Q$240,Q$262,Q$298,-(Q$227-Q$226)))</f>
        <v>22.433921311363278</v>
      </c>
      <c r="R197" s="7">
        <f ca="1">SUM(-R$191,IF(R$6=OFFSET(Assumptions!$B$8,0,$C$1),AVERAGE(SUM(O$191,O$197)/SUM(O$184,-(O$227-O$226),O$191,O$197),SUM(P$191,P$197)/SUM(P$184,-(P$227-P$226),P$191,P$197),SUM(Q$191,Q$197)/SUM(Q$184,-(Q$227-Q$226),Q$191,Q$197)),SUM(Q$191,Q$197)/SUM(Q$184,-(Q$227-Q$226),Q$191,Q$197))*SUM(R$173-R$212,R$231,R$240,R$262,R$298,-(R$227-R$226)))</f>
        <v>22.744264492370405</v>
      </c>
      <c r="S197" s="7">
        <f ca="1">SUM(-S$191,IF(S$6=OFFSET(Assumptions!$B$8,0,$C$1),AVERAGE(SUM(P$191,P$197)/SUM(P$184,-(P$227-P$226),P$191,P$197),SUM(Q$191,Q$197)/SUM(Q$184,-(Q$227-Q$226),Q$191,Q$197),SUM(R$191,R$197)/SUM(R$184,-(R$227-R$226),R$191,R$197)),SUM(R$191,R$197)/SUM(R$184,-(R$227-R$226),R$191,R$197))*SUM(S$173-S$212,S$231,S$240,S$262,S$298,-(S$227-S$226)))</f>
        <v>23.065044445407409</v>
      </c>
      <c r="T197" s="7">
        <f ca="1">SUM(-T$191,IF(T$6=OFFSET(Assumptions!$B$8,0,$C$1),AVERAGE(SUM(Q$191,Q$197)/SUM(Q$184,-(Q$227-Q$226),Q$191,Q$197),SUM(R$191,R$197)/SUM(R$184,-(R$227-R$226),R$191,R$197),SUM(S$191,S$197)/SUM(S$184,-(S$227-S$226),S$191,S$197)),SUM(S$191,S$197)/SUM(S$184,-(S$227-S$226),S$191,S$197))*SUM(T$173-T$212,T$231,T$240,T$262,T$298,-(T$227-T$226)))</f>
        <v>23.395778557487905</v>
      </c>
    </row>
    <row r="198" spans="1:20" x14ac:dyDescent="0.2">
      <c r="A198" s="1" t="s">
        <v>506</v>
      </c>
      <c r="B198" s="4" t="str">
        <f>$B$38</f>
        <v>From Fiscal</v>
      </c>
      <c r="D198" s="15">
        <f>'Fiscal Forecasts'!D$249</f>
        <v>9.3330000000000002</v>
      </c>
      <c r="E198" s="15">
        <f>'Fiscal Forecasts'!E$249</f>
        <v>8.4640000000000004</v>
      </c>
      <c r="F198" s="16">
        <f>'Fiscal Forecasts'!F$249</f>
        <v>8.9179999999999993</v>
      </c>
      <c r="G198" s="16">
        <f>'Fiscal Forecasts'!G$249</f>
        <v>9.6829999999999998</v>
      </c>
      <c r="H198" s="16">
        <f>'Fiscal Forecasts'!H$249</f>
        <v>10.169</v>
      </c>
      <c r="I198" s="16">
        <f>'Fiscal Forecasts'!I$249</f>
        <v>10.555</v>
      </c>
      <c r="J198" s="16">
        <f>'Fiscal Forecasts'!J$249</f>
        <v>10.917</v>
      </c>
      <c r="K198" s="7">
        <f ca="1">SUM(-K$192,IF(K$6=OFFSET(Assumptions!$B$8,0,$C$1),AVERAGE(SUM(H$198,H$192)/SUM(H$185,H$192,H$198),SUM(I$198,I$192)/SUM(I$185,I$192,I$198),SUM(J$198,J$192)/SUM(J$185,J$192,J$198)),SUM(J$198,J$192)/SUM(J$185,J$192,J$198))*SUM(K$263,K$299-K$213))</f>
        <v>11.558356966192463</v>
      </c>
      <c r="L198" s="7">
        <f ca="1">SUM(-L$192,IF(L$6=OFFSET(Assumptions!$B$8,0,$C$1),AVERAGE(SUM(I$198,I$192)/SUM(I$185,I$192,I$198),SUM(J$198,J$192)/SUM(J$185,J$192,J$198),SUM(K$198,K$192)/SUM(K$185,K$192,K$198)),SUM(K$198,K$192)/SUM(K$185,K$192,K$198))*SUM(L$263,L$299-L$213))</f>
        <v>12.116442853418818</v>
      </c>
      <c r="M198" s="7">
        <f ca="1">SUM(-M$192,IF(M$6=OFFSET(Assumptions!$B$8,0,$C$1),AVERAGE(SUM(J$198,J$192)/SUM(J$185,J$192,J$198),SUM(K$198,K$192)/SUM(K$185,K$192,K$198),SUM(L$198,L$192)/SUM(L$185,L$192,L$198)),SUM(L$198,L$192)/SUM(L$185,L$192,L$198))*SUM(M$263,M$299-M$213))</f>
        <v>12.695740804694408</v>
      </c>
      <c r="N198" s="7">
        <f ca="1">SUM(-N$192,IF(N$6=OFFSET(Assumptions!$B$8,0,$C$1),AVERAGE(SUM(K$198,K$192)/SUM(K$185,K$192,K$198),SUM(L$198,L$192)/SUM(L$185,L$192,L$198),SUM(M$198,M$192)/SUM(M$185,M$192,M$198)),SUM(M$198,M$192)/SUM(M$185,M$192,M$198))*SUM(N$263,N$299-N$213))</f>
        <v>13.299455903969626</v>
      </c>
      <c r="O198" s="7">
        <f ca="1">SUM(-O$192,IF(O$6=OFFSET(Assumptions!$B$8,0,$C$1),AVERAGE(SUM(L$198,L$192)/SUM(L$185,L$192,L$198),SUM(M$198,M$192)/SUM(M$185,M$192,M$198),SUM(N$198,N$192)/SUM(N$185,N$192,N$198)),SUM(N$198,N$192)/SUM(N$185,N$192,N$198))*SUM(O$263,O$299-O$213))</f>
        <v>13.922998290430748</v>
      </c>
      <c r="P198" s="7">
        <f ca="1">SUM(-P$192,IF(P$6=OFFSET(Assumptions!$B$8,0,$C$1),AVERAGE(SUM(M$198,M$192)/SUM(M$185,M$192,M$198),SUM(N$198,N$192)/SUM(N$185,N$192,N$198),SUM(O$198,O$192)/SUM(O$185,O$192,O$198)),SUM(O$198,O$192)/SUM(O$185,O$192,O$198))*SUM(P$263,P$299-P$213))</f>
        <v>14.568911454365468</v>
      </c>
      <c r="Q198" s="7">
        <f ca="1">SUM(-Q$192,IF(Q$6=OFFSET(Assumptions!$B$8,0,$C$1),AVERAGE(SUM(N$198,N$192)/SUM(N$185,N$192,N$198),SUM(O$198,O$192)/SUM(O$185,O$192,O$198),SUM(P$198,P$192)/SUM(P$185,P$192,P$198)),SUM(P$198,P$192)/SUM(P$185,P$192,P$198))*SUM(Q$263,Q$299-Q$213))</f>
        <v>15.236104703294178</v>
      </c>
      <c r="R198" s="7">
        <f ca="1">SUM(-R$192,IF(R$6=OFFSET(Assumptions!$B$8,0,$C$1),AVERAGE(SUM(O$198,O$192)/SUM(O$185,O$192,O$198),SUM(P$198,P$192)/SUM(P$185,P$192,P$198),SUM(Q$198,Q$192)/SUM(Q$185,Q$192,Q$198)),SUM(Q$198,Q$192)/SUM(Q$185,Q$192,Q$198))*SUM(R$263,R$299-R$213))</f>
        <v>15.923766894563812</v>
      </c>
      <c r="S198" s="7">
        <f ca="1">SUM(-S$192,IF(S$6=OFFSET(Assumptions!$B$8,0,$C$1),AVERAGE(SUM(P$198,P$192)/SUM(P$185,P$192,P$198),SUM(Q$198,Q$192)/SUM(Q$185,Q$192,Q$198),SUM(R$198,R$192)/SUM(R$185,R$192,R$198)),SUM(R$198,R$192)/SUM(R$185,R$192,R$198))*SUM(S$263,S$299-S$213))</f>
        <v>16.63511156292499</v>
      </c>
      <c r="T198" s="7">
        <f ca="1">SUM(-T$192,IF(T$6=OFFSET(Assumptions!$B$8,0,$C$1),AVERAGE(SUM(Q$198,Q$192)/SUM(Q$185,Q$192,Q$198),SUM(R$198,R$192)/SUM(R$185,R$192,R$198),SUM(S$198,S$192)/SUM(S$185,S$192,S$198)),SUM(S$198,S$192)/SUM(S$185,S$192,S$198))*SUM(T$263,T$299-T$213))</f>
        <v>17.368947312420673</v>
      </c>
    </row>
    <row r="199" spans="1:20" x14ac:dyDescent="0.2">
      <c r="A199" s="1" t="s">
        <v>507</v>
      </c>
      <c r="B199" s="4" t="str">
        <f>$B$38</f>
        <v>From Fiscal</v>
      </c>
      <c r="D199" s="15">
        <f>'Fiscal Forecasts'!D$250</f>
        <v>-28.195</v>
      </c>
      <c r="E199" s="15">
        <f>'Fiscal Forecasts'!E$250</f>
        <v>-29.04</v>
      </c>
      <c r="F199" s="16">
        <f>'Fiscal Forecasts'!F$250</f>
        <v>-30.004999999999999</v>
      </c>
      <c r="G199" s="16">
        <f>'Fiscal Forecasts'!G$250</f>
        <v>-31.39</v>
      </c>
      <c r="H199" s="16">
        <f>'Fiscal Forecasts'!H$250</f>
        <v>-31.318999999999999</v>
      </c>
      <c r="I199" s="16">
        <f>'Fiscal Forecasts'!I$250</f>
        <v>-31.265000000000001</v>
      </c>
      <c r="J199" s="16">
        <f>'Fiscal Forecasts'!J$250</f>
        <v>-31.943999999999999</v>
      </c>
      <c r="K199" s="7">
        <f ca="1">IF(K$6=OFFSET(Assumptions!$B$8,0,$C$1),AVERAGE(H$199/SUM(H$186,H$199),I$199/SUM(I$186,I$199),J$199/SUM(J$186,J$199)),J$199/SUM(J$186,J$199))*SUM(K$174,K$232,K$241,K$264,K$300)</f>
        <v>-32.201330941402283</v>
      </c>
      <c r="L199" s="7">
        <f ca="1">IF(L$6=OFFSET(Assumptions!$B$8,0,$C$1),AVERAGE(I$199/SUM(I$186,I$199),J$199/SUM(J$186,J$199),K$199/SUM(K$186,K$199)),K$199/SUM(K$186,K$199))*SUM(L$174,L$232,L$241,L$264,L$300)</f>
        <v>-32.631179646922455</v>
      </c>
      <c r="M199" s="7">
        <f ca="1">IF(M$6=OFFSET(Assumptions!$B$8,0,$C$1),AVERAGE(J$199/SUM(J$186,J$199),K$199/SUM(K$186,K$199),L$199/SUM(L$186,L$199)),L$199/SUM(L$186,L$199))*SUM(M$174,M$232,M$241,M$264,M$300)</f>
        <v>-32.994995680266889</v>
      </c>
      <c r="N199" s="7">
        <f ca="1">IF(N$6=OFFSET(Assumptions!$B$8,0,$C$1),AVERAGE(K$199/SUM(K$186,K$199),L$199/SUM(L$186,L$199),M$199/SUM(M$186,M$199)),M$199/SUM(M$186,M$199))*SUM(N$174,N$232,N$241,N$264,N$300)</f>
        <v>-33.330693979839616</v>
      </c>
      <c r="O199" s="7">
        <f ca="1">IF(O$6=OFFSET(Assumptions!$B$8,0,$C$1),AVERAGE(L$199/SUM(L$186,L$199),M$199/SUM(M$186,M$199),N$199/SUM(N$186,N$199)),N$199/SUM(N$186,N$199))*SUM(O$174,O$232,O$241,O$264,O$300)</f>
        <v>-33.679025801050244</v>
      </c>
      <c r="P199" s="7">
        <f ca="1">IF(P$6=OFFSET(Assumptions!$B$8,0,$C$1),AVERAGE(M$199/SUM(M$186,M$199),N$199/SUM(N$186,N$199),O$199/SUM(O$186,O$199)),O$199/SUM(O$186,O$199))*SUM(P$174,P$232,P$241,P$264,P$300)</f>
        <v>-34.033196658670178</v>
      </c>
      <c r="Q199" s="7">
        <f ca="1">IF(Q$6=OFFSET(Assumptions!$B$8,0,$C$1),AVERAGE(N$199/SUM(N$186,N$199),O$199/SUM(O$186,O$199),P$199/SUM(P$186,P$199)),P$199/SUM(P$186,P$199))*SUM(Q$174,Q$232,Q$241,Q$264,Q$300)</f>
        <v>-34.398143486311895</v>
      </c>
      <c r="R199" s="7">
        <f ca="1">IF(R$6=OFFSET(Assumptions!$B$8,0,$C$1),AVERAGE(O$199/SUM(O$186,O$199),P$199/SUM(P$186,P$199),Q$199/SUM(Q$186,Q$199)),Q$199/SUM(Q$186,Q$199))*SUM(R$174,R$232,R$241,R$264,R$300)</f>
        <v>-34.773426812848051</v>
      </c>
      <c r="S199" s="7">
        <f ca="1">IF(S$6=OFFSET(Assumptions!$B$8,0,$C$1),AVERAGE(P$199/SUM(P$186,P$199),Q$199/SUM(Q$186,Q$199),R$199/SUM(R$186,R$199)),R$199/SUM(R$186,R$199))*SUM(S$174,S$232,S$241,S$264,S$300)</f>
        <v>-35.160751801344638</v>
      </c>
      <c r="T199" s="7">
        <f ca="1">IF(T$6=OFFSET(Assumptions!$B$8,0,$C$1),AVERAGE(Q$199/SUM(Q$186,Q$199),R$199/SUM(R$186,R$199),S$199/SUM(S$186,S$199)),S$199/SUM(S$186,S$199))*SUM(T$174,T$232,T$241,T$264,T$300)</f>
        <v>-35.559527188412709</v>
      </c>
    </row>
    <row r="200" spans="1:20" ht="15" x14ac:dyDescent="0.25">
      <c r="A200" s="2" t="s">
        <v>510</v>
      </c>
      <c r="D200" s="35">
        <f t="shared" ref="D200:T200" si="104">SUM(D$196:D$199)</f>
        <v>35.910000000000004</v>
      </c>
      <c r="E200" s="35">
        <f t="shared" si="104"/>
        <v>35.869000000000007</v>
      </c>
      <c r="F200" s="34">
        <f t="shared" ca="1" si="104"/>
        <v>37.790000000000006</v>
      </c>
      <c r="G200" s="34">
        <f t="shared" ca="1" si="104"/>
        <v>41.542999999999992</v>
      </c>
      <c r="H200" s="34">
        <f t="shared" ca="1" si="104"/>
        <v>41.165999999999997</v>
      </c>
      <c r="I200" s="34">
        <f t="shared" ca="1" si="104"/>
        <v>41.102999999999994</v>
      </c>
      <c r="J200" s="34">
        <f t="shared" ca="1" si="104"/>
        <v>41.828999999999994</v>
      </c>
      <c r="K200" s="38">
        <f t="shared" ca="1" si="104"/>
        <v>41.789791277758617</v>
      </c>
      <c r="L200" s="38">
        <f t="shared" ca="1" si="104"/>
        <v>42.527579184934957</v>
      </c>
      <c r="M200" s="38">
        <f t="shared" ca="1" si="104"/>
        <v>43.15755800413465</v>
      </c>
      <c r="N200" s="38">
        <f t="shared" ca="1" si="104"/>
        <v>43.762993093495375</v>
      </c>
      <c r="O200" s="38">
        <f t="shared" ca="1" si="104"/>
        <v>44.350529526506421</v>
      </c>
      <c r="P200" s="38">
        <f t="shared" ca="1" si="104"/>
        <v>44.933371875228758</v>
      </c>
      <c r="Q200" s="38">
        <f t="shared" ca="1" si="104"/>
        <v>45.491484199339666</v>
      </c>
      <c r="R200" s="38">
        <f t="shared" ca="1" si="104"/>
        <v>46.014467539347258</v>
      </c>
      <c r="S200" s="38">
        <f t="shared" ca="1" si="104"/>
        <v>46.500911619894772</v>
      </c>
      <c r="T200" s="38">
        <f t="shared" ca="1" si="104"/>
        <v>46.937738005985942</v>
      </c>
    </row>
    <row r="201" spans="1:20" ht="15" x14ac:dyDescent="0.25">
      <c r="A201" s="2"/>
      <c r="D201" s="47"/>
      <c r="E201" s="47"/>
      <c r="F201" s="48"/>
      <c r="G201" s="48"/>
      <c r="H201" s="48"/>
      <c r="I201" s="48"/>
      <c r="J201" s="48"/>
      <c r="K201" s="48"/>
      <c r="L201" s="48"/>
      <c r="M201" s="48"/>
      <c r="N201" s="48"/>
      <c r="O201" s="48"/>
      <c r="P201" s="48"/>
      <c r="Q201" s="48"/>
      <c r="R201" s="48"/>
      <c r="S201" s="48"/>
      <c r="T201" s="48"/>
    </row>
    <row r="202" spans="1:20" x14ac:dyDescent="0.2">
      <c r="A202" s="19" t="s">
        <v>511</v>
      </c>
    </row>
    <row r="203" spans="1:20" x14ac:dyDescent="0.2">
      <c r="A203" s="1" t="s">
        <v>307</v>
      </c>
      <c r="B203" s="4" t="str">
        <f>$B$38</f>
        <v>From Fiscal</v>
      </c>
      <c r="D203" s="15">
        <f>'Fiscal Forecasts'!D$160</f>
        <v>3.7829999999999999</v>
      </c>
      <c r="E203" s="15">
        <f>'Fiscal Forecasts'!E$160</f>
        <v>3.59</v>
      </c>
      <c r="F203" s="16">
        <f>'Fiscal Forecasts'!F$160 +IF($C$2="Yes",'Fiscal Forecast Adjuster'!C$34/1000,0) +IF($C$3="Yes",'NZS Fund Adjuster'!M$9,0)</f>
        <v>3.54</v>
      </c>
      <c r="G203" s="16">
        <f>'Fiscal Forecasts'!G$160 +IF($C$2="Yes",'Fiscal Forecast Adjuster'!D$34/1000,0) +IF($C$3="Yes",'NZS Fund Adjuster'!N$9,0)</f>
        <v>3.4449999999999998</v>
      </c>
      <c r="H203" s="16">
        <f>'Fiscal Forecasts'!H$160 +IF($C$2="Yes",'Fiscal Forecast Adjuster'!E$34/1000,0) +IF($C$3="Yes",'NZS Fund Adjuster'!O$9,0)</f>
        <v>3.3929999999999998</v>
      </c>
      <c r="I203" s="16">
        <f>'Fiscal Forecasts'!I$160 +IF($C$2="Yes",'Fiscal Forecast Adjuster'!F$34/1000,0) +IF($C$3="Yes",'NZS Fund Adjuster'!P$9,0)</f>
        <v>3.4220000000000002</v>
      </c>
      <c r="J203" s="16">
        <f>'Fiscal Forecasts'!J$160 +IF($C$2="Yes",'Fiscal Forecast Adjuster'!G$34/1000,0) +IF($C$3="Yes",'NZS Fund Adjuster'!Q$9,0)</f>
        <v>3.4239999999999999</v>
      </c>
      <c r="K203" s="7">
        <f ca="1">K$461</f>
        <v>3.4531588711760777</v>
      </c>
      <c r="L203" s="7">
        <f t="shared" ref="L203:T203" ca="1" si="105">L$461</f>
        <v>3.567947858792123</v>
      </c>
      <c r="M203" s="7">
        <f t="shared" ca="1" si="105"/>
        <v>3.6732939070400086</v>
      </c>
      <c r="N203" s="7">
        <f t="shared" ca="1" si="105"/>
        <v>3.7581684292462278</v>
      </c>
      <c r="O203" s="7">
        <f t="shared" ca="1" si="105"/>
        <v>3.8212596628725728</v>
      </c>
      <c r="P203" s="7">
        <f t="shared" ca="1" si="105"/>
        <v>3.8636015667847383</v>
      </c>
      <c r="Q203" s="7">
        <f t="shared" ca="1" si="105"/>
        <v>3.8998048919960762</v>
      </c>
      <c r="R203" s="7">
        <f t="shared" ca="1" si="105"/>
        <v>3.8063473280988616</v>
      </c>
      <c r="S203" s="7">
        <f t="shared" ca="1" si="105"/>
        <v>3.7611955511959105</v>
      </c>
      <c r="T203" s="7">
        <f t="shared" ca="1" si="105"/>
        <v>3.7872944973382001</v>
      </c>
    </row>
    <row r="204" spans="1:20" x14ac:dyDescent="0.2">
      <c r="A204" s="1" t="s">
        <v>279</v>
      </c>
      <c r="B204" s="4" t="str">
        <f>$B$38</f>
        <v>From Fiscal</v>
      </c>
      <c r="D204" s="15">
        <f>'Fiscal Forecasts'!D$253</f>
        <v>0.221</v>
      </c>
      <c r="E204" s="15">
        <f>'Fiscal Forecasts'!E$253</f>
        <v>0.215</v>
      </c>
      <c r="F204" s="16">
        <f>'Fiscal Forecasts'!F$253</f>
        <v>0.109</v>
      </c>
      <c r="G204" s="16">
        <f>'Fiscal Forecasts'!G$253</f>
        <v>5.2999999999999999E-2</v>
      </c>
      <c r="H204" s="16">
        <f>'Fiscal Forecasts'!H$253</f>
        <v>0.06</v>
      </c>
      <c r="I204" s="16">
        <f>'Fiscal Forecasts'!I$253</f>
        <v>6.8000000000000005E-2</v>
      </c>
      <c r="J204" s="16">
        <f>'Fiscal Forecasts'!J$253</f>
        <v>7.3999999999999996E-2</v>
      </c>
      <c r="K204" s="7">
        <f ca="1">IF(K$6=OFFSET(Assumptions!$B$8,0,$C$1),AVERAGE(H$204/SUM(H$204:H$206),I$204/SUM(I$204:I$206),J$204/SUM(J$204:J$206)),J$204/SUM(J$204:J$206))*(K$88-K$461)</f>
        <v>8.7016912180042053E-2</v>
      </c>
      <c r="L204" s="7">
        <f ca="1">IF(L$6=OFFSET(Assumptions!$B$8,0,$C$1),AVERAGE(I$204/SUM(I$204:I$206),J$204/SUM(J$204:J$206),K$204/SUM(K$204:K$206)),K$204/SUM(K$204:K$206))*(L$88-L$461)</f>
        <v>9.2873431696882253E-2</v>
      </c>
      <c r="M204" s="7">
        <f ca="1">IF(M$6=OFFSET(Assumptions!$B$8,0,$C$1),AVERAGE(J$204/SUM(J$204:J$206),K$204/SUM(K$204:K$206),L$204/SUM(L$204:L$206)),L$204/SUM(L$204:L$206))*(M$88-M$461)</f>
        <v>0.10127399955669078</v>
      </c>
      <c r="N204" s="7">
        <f ca="1">IF(N$6=OFFSET(Assumptions!$B$8,0,$C$1),AVERAGE(K$204/SUM(K$204:K$206),L$204/SUM(L$204:L$206),M$204/SUM(M$204:M$206)),M$204/SUM(M$204:M$206))*(N$88-N$461)</f>
        <v>0.11026591544657389</v>
      </c>
      <c r="O204" s="7">
        <f ca="1">IF(O$6=OFFSET(Assumptions!$B$8,0,$C$1),AVERAGE(L$204/SUM(L$204:L$206),M$204/SUM(M$204:M$206),N$204/SUM(N$204:N$206)),N$204/SUM(N$204:N$206))*(O$88-O$461)</f>
        <v>0.12005535176299999</v>
      </c>
      <c r="P204" s="7">
        <f ca="1">IF(P$6=OFFSET(Assumptions!$B$8,0,$C$1),AVERAGE(M$204/SUM(M$204:M$206),N$204/SUM(N$204:N$206),O$204/SUM(O$204:O$206)),O$204/SUM(O$204:O$206))*(P$88-P$461)</f>
        <v>0.13070694269593675</v>
      </c>
      <c r="Q204" s="7">
        <f ca="1">IF(Q$6=OFFSET(Assumptions!$B$8,0,$C$1),AVERAGE(N$204/SUM(N$204:N$206),O$204/SUM(O$204:O$206),P$204/SUM(P$204:P$206)),P$204/SUM(P$204:P$206))*(Q$88-Q$461)</f>
        <v>0.14200964637136007</v>
      </c>
      <c r="R204" s="7">
        <f ca="1">IF(R$6=OFFSET(Assumptions!$B$8,0,$C$1),AVERAGE(O$204/SUM(O$204:O$206),P$204/SUM(P$204:P$206),Q$204/SUM(Q$204:Q$206)),Q$204/SUM(Q$204:Q$206))*(R$88-R$461)</f>
        <v>0.14819139682653718</v>
      </c>
      <c r="S204" s="7">
        <f ca="1">IF(S$6=OFFSET(Assumptions!$B$8,0,$C$1),AVERAGE(P$204/SUM(P$204:P$206),Q$204/SUM(Q$204:Q$206),R$204/SUM(R$204:R$206)),R$204/SUM(R$204:R$206))*(S$88-S$461)</f>
        <v>0.1544370096200611</v>
      </c>
      <c r="T204" s="7">
        <f ca="1">IF(T$6=OFFSET(Assumptions!$B$8,0,$C$1),AVERAGE(Q$204/SUM(Q$204:Q$206),R$204/SUM(R$204:R$206),S$204/SUM(S$204:S$206)),S$204/SUM(S$204:S$206))*(T$88-T$461)</f>
        <v>0.16066051149189262</v>
      </c>
    </row>
    <row r="205" spans="1:20" x14ac:dyDescent="0.2">
      <c r="A205" s="1" t="s">
        <v>506</v>
      </c>
      <c r="B205" s="4" t="str">
        <f>$B$38</f>
        <v>From Fiscal</v>
      </c>
      <c r="D205" s="15">
        <f>'Fiscal Forecasts'!D$254</f>
        <v>1.28</v>
      </c>
      <c r="E205" s="15">
        <f>'Fiscal Forecasts'!E$254</f>
        <v>1.1539999999999999</v>
      </c>
      <c r="F205" s="16">
        <f>'Fiscal Forecasts'!F$254</f>
        <v>1.0680000000000001</v>
      </c>
      <c r="G205" s="16">
        <f>'Fiscal Forecasts'!G$254</f>
        <v>1.1539999999999999</v>
      </c>
      <c r="H205" s="16">
        <f>'Fiscal Forecasts'!H$254</f>
        <v>1.127</v>
      </c>
      <c r="I205" s="16">
        <f>'Fiscal Forecasts'!I$254</f>
        <v>1.1579999999999999</v>
      </c>
      <c r="J205" s="16">
        <f>'Fiscal Forecasts'!J$254</f>
        <v>1.137</v>
      </c>
      <c r="K205" s="7">
        <f ca="1">IF(K$6=OFFSET(Assumptions!$B$8,0,$C$1),AVERAGE(H$205/SUM(H$204:H$206),I$205/SUM(I$204:I$206),J$205/SUM(J$204:J$206)),J$205/SUM(J$204:J$206))*(K$88-K$461)</f>
        <v>1.4739762252775073</v>
      </c>
      <c r="L205" s="7">
        <f ca="1">IF(L$6=OFFSET(Assumptions!$B$8,0,$C$1),AVERAGE(I$205/SUM(I$204:I$206),J$205/SUM(J$204:J$206),K$205/SUM(K$204:K$206)),K$205/SUM(K$204:K$206))*(L$88-L$461)</f>
        <v>1.5731795906283186</v>
      </c>
      <c r="M205" s="7">
        <f ca="1">IF(M$6=OFFSET(Assumptions!$B$8,0,$C$1),AVERAGE(J$205/SUM(J$204:J$206),K$205/SUM(K$204:K$206),L$205/SUM(L$204:L$206)),L$205/SUM(L$204:L$206))*(M$88-M$461)</f>
        <v>1.7154764958387529</v>
      </c>
      <c r="N205" s="7">
        <f ca="1">IF(N$6=OFFSET(Assumptions!$B$8,0,$C$1),AVERAGE(K$205/SUM(K$204:K$206),L$205/SUM(L$204:L$206),M$205/SUM(M$204:M$206)),M$205/SUM(M$204:M$206))*(N$88-N$461)</f>
        <v>1.8677902232433738</v>
      </c>
      <c r="O205" s="7">
        <f ca="1">IF(O$6=OFFSET(Assumptions!$B$8,0,$C$1),AVERAGE(L$205/SUM(L$204:L$206),M$205/SUM(M$204:M$206),N$205/SUM(N$204:N$206)),N$205/SUM(N$204:N$206))*(O$88-O$461)</f>
        <v>2.0336131193652811</v>
      </c>
      <c r="P205" s="7">
        <f ca="1">IF(P$6=OFFSET(Assumptions!$B$8,0,$C$1),AVERAGE(M$205/SUM(M$204:M$206),N$205/SUM(N$204:N$206),O$205/SUM(O$204:O$206)),O$205/SUM(O$204:O$206))*(P$88-P$461)</f>
        <v>2.2140400203342083</v>
      </c>
      <c r="Q205" s="7">
        <f ca="1">IF(Q$6=OFFSET(Assumptions!$B$8,0,$C$1),AVERAGE(N$205/SUM(N$204:N$206),O$205/SUM(O$204:O$206),P$205/SUM(P$204:P$206)),P$205/SUM(P$204:P$206))*(Q$88-Q$461)</f>
        <v>2.4054960957286156</v>
      </c>
      <c r="R205" s="7">
        <f ca="1">IF(R$6=OFFSET(Assumptions!$B$8,0,$C$1),AVERAGE(O$205/SUM(O$204:O$206),P$205/SUM(P$204:P$206),Q$205/SUM(Q$204:Q$206)),Q$205/SUM(Q$204:Q$206))*(R$88-R$461)</f>
        <v>2.5102085357963215</v>
      </c>
      <c r="S205" s="7">
        <f ca="1">IF(S$6=OFFSET(Assumptions!$B$8,0,$C$1),AVERAGE(P$205/SUM(P$204:P$206),Q$205/SUM(Q$204:Q$206),R$205/SUM(R$204:R$206)),R$205/SUM(R$204:R$206))*(S$88-S$461)</f>
        <v>2.6160027376279831</v>
      </c>
      <c r="T205" s="7">
        <f ca="1">IF(T$6=OFFSET(Assumptions!$B$8,0,$C$1),AVERAGE(Q$205/SUM(Q$204:Q$206),R$205/SUM(R$204:R$206),S$205/SUM(S$204:S$206)),S$205/SUM(S$204:S$206))*(T$88-T$461)</f>
        <v>2.7214224033829542</v>
      </c>
    </row>
    <row r="206" spans="1:20" x14ac:dyDescent="0.2">
      <c r="A206" s="1" t="s">
        <v>507</v>
      </c>
      <c r="B206" s="4" t="str">
        <f>$B$38</f>
        <v>From Fiscal</v>
      </c>
      <c r="D206" s="15">
        <f>'Fiscal Forecasts'!D$255</f>
        <v>-0.72099999999999997</v>
      </c>
      <c r="E206" s="15">
        <f>'Fiscal Forecasts'!E$255</f>
        <v>-0.623</v>
      </c>
      <c r="F206" s="16">
        <f>'Fiscal Forecasts'!F$255</f>
        <v>-0.52900000000000003</v>
      </c>
      <c r="G206" s="16">
        <f>'Fiscal Forecasts'!G$255</f>
        <v>-0.437</v>
      </c>
      <c r="H206" s="16">
        <f>'Fiscal Forecasts'!H$255</f>
        <v>-0.45200000000000001</v>
      </c>
      <c r="I206" s="16">
        <f>'Fiscal Forecasts'!I$255</f>
        <v>-0.47</v>
      </c>
      <c r="J206" s="16">
        <f>'Fiscal Forecasts'!J$255</f>
        <v>-0.47699999999999998</v>
      </c>
      <c r="K206" s="7">
        <f ca="1">IF(K$6=OFFSET(Assumptions!$B$8,0,$C$1),AVERAGE(H$206/SUM(H$204:H$206),I$206/SUM(I$204:I$206),J$206/SUM(J$204:J$206)),J$206/SUM(J$204:J$206))*(K$88-K$461)</f>
        <v>-0.60264718501214332</v>
      </c>
      <c r="L206" s="7">
        <f ca="1">IF(L$6=OFFSET(Assumptions!$B$8,0,$C$1),AVERAGE(I$206/SUM(I$204:I$206),J$206/SUM(J$204:J$206),K$206/SUM(K$204:K$206)),K$206/SUM(K$204:K$206))*(L$88-L$461)</f>
        <v>-0.64320728893182622</v>
      </c>
      <c r="M206" s="7">
        <f ca="1">IF(M$6=OFFSET(Assumptions!$B$8,0,$C$1),AVERAGE(J$206/SUM(J$204:J$206),K$206/SUM(K$204:K$206),L$206/SUM(L$204:L$206)),L$206/SUM(L$204:L$206))*(M$88-M$461)</f>
        <v>-0.70138653761330527</v>
      </c>
      <c r="N206" s="7">
        <f ca="1">IF(N$6=OFFSET(Assumptions!$B$8,0,$C$1),AVERAGE(K$206/SUM(K$204:K$206),L$206/SUM(L$204:L$206),M$206/SUM(M$204:M$206)),M$206/SUM(M$204:M$206))*(N$88-N$461)</f>
        <v>-0.76366124563433868</v>
      </c>
      <c r="O206" s="7">
        <f ca="1">IF(O$6=OFFSET(Assumptions!$B$8,0,$C$1),AVERAGE(L$206/SUM(L$204:L$206),M$206/SUM(M$204:M$206),N$206/SUM(N$204:N$206)),N$206/SUM(N$204:N$206))*(O$88-O$461)</f>
        <v>-0.83145928731551588</v>
      </c>
      <c r="P206" s="7">
        <f ca="1">IF(P$6=OFFSET(Assumptions!$B$8,0,$C$1),AVERAGE(M$206/SUM(M$204:M$206),N$206/SUM(N$204:N$206),O$206/SUM(O$204:O$206)),O$206/SUM(O$204:O$206))*(P$88-P$461)</f>
        <v>-0.90522829532574833</v>
      </c>
      <c r="Q206" s="7">
        <f ca="1">IF(Q$6=OFFSET(Assumptions!$B$8,0,$C$1),AVERAGE(N$206/SUM(N$204:N$206),O$206/SUM(O$204:O$206),P$206/SUM(P$204:P$206)),P$206/SUM(P$204:P$206))*(Q$88-Q$461)</f>
        <v>-0.98350667113075119</v>
      </c>
      <c r="R206" s="7">
        <f ca="1">IF(R$6=OFFSET(Assumptions!$B$8,0,$C$1),AVERAGE(O$206/SUM(O$204:O$206),P$206/SUM(P$204:P$206),Q$206/SUM(Q$204:Q$206)),Q$206/SUM(Q$204:Q$206))*(R$88-R$461)</f>
        <v>-1.0263192051189944</v>
      </c>
      <c r="S206" s="7">
        <f ca="1">IF(S$6=OFFSET(Assumptions!$B$8,0,$C$1),AVERAGE(P$206/SUM(P$204:P$206),Q$206/SUM(Q$204:Q$206),R$206/SUM(R$204:R$206)),R$206/SUM(R$204:R$206))*(S$88-S$461)</f>
        <v>-1.0695740262152125</v>
      </c>
      <c r="T206" s="7">
        <f ca="1">IF(T$6=OFFSET(Assumptions!$B$8,0,$C$1),AVERAGE(Q$206/SUM(Q$204:Q$206),R$206/SUM(R$204:R$206),S$206/SUM(S$204:S$206)),S$206/SUM(S$204:S$206))*(T$88-T$461)</f>
        <v>-1.1126757151859374</v>
      </c>
    </row>
    <row r="207" spans="1:20" ht="15" x14ac:dyDescent="0.25">
      <c r="A207" s="2" t="s">
        <v>512</v>
      </c>
      <c r="D207" s="35">
        <f t="shared" ref="D207:T207" si="106">SUM(D$203:D$206)</f>
        <v>4.5629999999999997</v>
      </c>
      <c r="E207" s="35">
        <f t="shared" si="106"/>
        <v>4.3359999999999994</v>
      </c>
      <c r="F207" s="34">
        <f t="shared" si="106"/>
        <v>4.1880000000000006</v>
      </c>
      <c r="G207" s="34">
        <f t="shared" si="106"/>
        <v>4.214999999999999</v>
      </c>
      <c r="H207" s="34">
        <f t="shared" si="106"/>
        <v>4.1280000000000001</v>
      </c>
      <c r="I207" s="34">
        <f t="shared" si="106"/>
        <v>4.1779999999999999</v>
      </c>
      <c r="J207" s="34">
        <f t="shared" si="106"/>
        <v>4.1579999999999995</v>
      </c>
      <c r="K207" s="38">
        <f t="shared" ca="1" si="106"/>
        <v>4.4115048236214829</v>
      </c>
      <c r="L207" s="38">
        <f t="shared" ca="1" si="106"/>
        <v>4.5907935921854977</v>
      </c>
      <c r="M207" s="38">
        <f t="shared" ca="1" si="106"/>
        <v>4.7886578648221469</v>
      </c>
      <c r="N207" s="38">
        <f t="shared" ca="1" si="106"/>
        <v>4.9725633223018368</v>
      </c>
      <c r="O207" s="38">
        <f t="shared" ca="1" si="106"/>
        <v>5.1434688466853373</v>
      </c>
      <c r="P207" s="38">
        <f t="shared" ca="1" si="106"/>
        <v>5.3031202344891355</v>
      </c>
      <c r="Q207" s="38">
        <f t="shared" ca="1" si="106"/>
        <v>5.4638039629653008</v>
      </c>
      <c r="R207" s="38">
        <f t="shared" ca="1" si="106"/>
        <v>5.438428055602726</v>
      </c>
      <c r="S207" s="38">
        <f t="shared" ca="1" si="106"/>
        <v>5.462061272228742</v>
      </c>
      <c r="T207" s="38">
        <f t="shared" ca="1" si="106"/>
        <v>5.5567016970271093</v>
      </c>
    </row>
    <row r="208" spans="1:20" x14ac:dyDescent="0.2">
      <c r="A208" s="4" t="s">
        <v>513</v>
      </c>
      <c r="D208" s="51"/>
      <c r="E208" s="51">
        <f t="shared" ref="E208:J208" si="107">E$203/AVERAGE(D$69,E$69)</f>
        <v>3.7653524642606163E-2</v>
      </c>
      <c r="F208" s="52">
        <f t="shared" si="107"/>
        <v>3.7358323307794587E-2</v>
      </c>
      <c r="G208" s="52">
        <f t="shared" si="107"/>
        <v>3.7120244810438921E-2</v>
      </c>
      <c r="H208" s="52">
        <f t="shared" si="107"/>
        <v>3.7104676085910497E-2</v>
      </c>
      <c r="I208" s="52">
        <f t="shared" si="107"/>
        <v>3.7364197193863621E-2</v>
      </c>
      <c r="J208" s="52">
        <f t="shared" si="107"/>
        <v>3.8549442136431702E-2</v>
      </c>
      <c r="K208" s="9">
        <f ca="1">SUM(J$208,IF(K$6=OFFSET(Assumptions!$B$8,0,$C$1),ABS(OFFSET(Assumptions!$B$16,0,$C$1)-J$208)/OFFSET(Assumptions!$B$24,0,$C$1),MIN(ABS(J$208-I$208),ABS(OFFSET(Assumptions!$B$16,0,$C$1)-J$208)))*SIGN(OFFSET(Assumptions!$B$16,0,$C$1)-J$208))</f>
        <v>4.0613807545512887E-2</v>
      </c>
      <c r="L208" s="9">
        <f ca="1">SUM(K$208,IF(L$6=OFFSET(Assumptions!$B$8,0,$C$1),ABS(OFFSET(Assumptions!$B$16,0,$C$1)-K$208)/OFFSET(Assumptions!$B$24,0,$C$1),MIN(ABS(K$208-J$208),ABS(OFFSET(Assumptions!$B$16,0,$C$1)-K$208)))*SIGN(OFFSET(Assumptions!$B$16,0,$C$1)-K$208))</f>
        <v>4.2678172954594071E-2</v>
      </c>
      <c r="M208" s="9">
        <f ca="1">SUM(L$208,IF(M$6=OFFSET(Assumptions!$B$8,0,$C$1),ABS(OFFSET(Assumptions!$B$16,0,$C$1)-L$208)/OFFSET(Assumptions!$B$24,0,$C$1),MIN(ABS(L$208-K$208),ABS(OFFSET(Assumptions!$B$16,0,$C$1)-L$208)))*SIGN(OFFSET(Assumptions!$B$16,0,$C$1)-L$208))</f>
        <v>4.4742538363675255E-2</v>
      </c>
      <c r="N208" s="9">
        <f ca="1">SUM(M$208,IF(N$6=OFFSET(Assumptions!$B$8,0,$C$1),ABS(OFFSET(Assumptions!$B$16,0,$C$1)-M$208)/OFFSET(Assumptions!$B$24,0,$C$1),MIN(ABS(M$208-L$208),ABS(OFFSET(Assumptions!$B$16,0,$C$1)-M$208)))*SIGN(OFFSET(Assumptions!$B$16,0,$C$1)-M$208))</f>
        <v>4.6806903772756439E-2</v>
      </c>
      <c r="O208" s="9">
        <f ca="1">SUM(N$208,IF(O$6=OFFSET(Assumptions!$B$8,0,$C$1),ABS(OFFSET(Assumptions!$B$16,0,$C$1)-N$208)/OFFSET(Assumptions!$B$24,0,$C$1),MIN(ABS(N$208-M$208),ABS(OFFSET(Assumptions!$B$16,0,$C$1)-N$208)))*SIGN(OFFSET(Assumptions!$B$16,0,$C$1)-N$208))</f>
        <v>4.8871269181837623E-2</v>
      </c>
      <c r="P208" s="9">
        <f ca="1">SUM(O$208,IF(P$6=OFFSET(Assumptions!$B$8,0,$C$1),ABS(OFFSET(Assumptions!$B$16,0,$C$1)-O$208)/OFFSET(Assumptions!$B$24,0,$C$1),MIN(ABS(O$208-N$208),ABS(OFFSET(Assumptions!$B$16,0,$C$1)-O$208)))*SIGN(OFFSET(Assumptions!$B$16,0,$C$1)-O$208))</f>
        <v>5.0935634590918807E-2</v>
      </c>
      <c r="Q208" s="9">
        <f ca="1">SUM(P$208,IF(Q$6=OFFSET(Assumptions!$B$8,0,$C$1),ABS(OFFSET(Assumptions!$B$16,0,$C$1)-P$208)/OFFSET(Assumptions!$B$24,0,$C$1),MIN(ABS(P$208-O$208),ABS(OFFSET(Assumptions!$B$16,0,$C$1)-P$208)))*SIGN(OFFSET(Assumptions!$B$16,0,$C$1)-P$208))</f>
        <v>5.2999999999999992E-2</v>
      </c>
      <c r="R208" s="9">
        <f ca="1">SUM(Q$208,IF(R$6=OFFSET(Assumptions!$B$8,0,$C$1),ABS(OFFSET(Assumptions!$B$16,0,$C$1)-Q$208)/OFFSET(Assumptions!$B$24,0,$C$1),MIN(ABS(Q$208-P$208),ABS(OFFSET(Assumptions!$B$16,0,$C$1)-Q$208)))*SIGN(OFFSET(Assumptions!$B$16,0,$C$1)-Q$208))</f>
        <v>5.2999999999999999E-2</v>
      </c>
      <c r="S208" s="9">
        <f ca="1">SUM(R$208,IF(S$6=OFFSET(Assumptions!$B$8,0,$C$1),ABS(OFFSET(Assumptions!$B$16,0,$C$1)-R$208)/OFFSET(Assumptions!$B$24,0,$C$1),MIN(ABS(R$208-Q$208),ABS(OFFSET(Assumptions!$B$16,0,$C$1)-R$208)))*SIGN(OFFSET(Assumptions!$B$16,0,$C$1)-R$208))</f>
        <v>5.2999999999999999E-2</v>
      </c>
      <c r="T208" s="9">
        <f ca="1">SUM(S$208,IF(T$6=OFFSET(Assumptions!$B$8,0,$C$1),ABS(OFFSET(Assumptions!$B$16,0,$C$1)-S$208)/OFFSET(Assumptions!$B$24,0,$C$1),MIN(ABS(S$208-R$208),ABS(OFFSET(Assumptions!$B$16,0,$C$1)-S$208)))*SIGN(OFFSET(Assumptions!$B$16,0,$C$1)-S$208))</f>
        <v>5.2999999999999999E-2</v>
      </c>
    </row>
    <row r="209" spans="1:20" x14ac:dyDescent="0.2">
      <c r="A209" s="4"/>
      <c r="D209" s="51"/>
      <c r="E209" s="51"/>
      <c r="F209" s="52"/>
      <c r="G209" s="52"/>
      <c r="H209" s="52"/>
      <c r="I209" s="52"/>
      <c r="J209" s="52"/>
      <c r="K209" s="9"/>
      <c r="L209" s="9"/>
      <c r="M209" s="9"/>
      <c r="N209" s="9"/>
      <c r="O209" s="9"/>
      <c r="P209" s="9"/>
      <c r="Q209" s="9"/>
      <c r="R209" s="9"/>
      <c r="S209" s="9"/>
      <c r="T209" s="9"/>
    </row>
    <row r="210" spans="1:20" x14ac:dyDescent="0.2">
      <c r="A210" s="19" t="s">
        <v>154</v>
      </c>
    </row>
    <row r="211" spans="1:20" x14ac:dyDescent="0.2">
      <c r="A211" s="1" t="s">
        <v>307</v>
      </c>
      <c r="B211" s="4" t="str">
        <f t="shared" ref="B211:B227" si="108">$B$38</f>
        <v>From Fiscal</v>
      </c>
      <c r="D211" s="15">
        <f>'Fiscal Forecasts'!D$161</f>
        <v>6.0000000000000001E-3</v>
      </c>
      <c r="E211" s="15">
        <f>'Fiscal Forecasts'!E$161</f>
        <v>0</v>
      </c>
      <c r="F211" s="16">
        <f>'Fiscal Forecasts'!F$161</f>
        <v>3.0000000000000001E-3</v>
      </c>
      <c r="G211" s="16">
        <f>'Fiscal Forecasts'!G$161</f>
        <v>0</v>
      </c>
      <c r="H211" s="16">
        <f>'Fiscal Forecasts'!H$161</f>
        <v>4.0000000000000001E-3</v>
      </c>
      <c r="I211" s="16">
        <f>'Fiscal Forecasts'!I$161</f>
        <v>0</v>
      </c>
      <c r="J211" s="16">
        <f>'Fiscal Forecasts'!J$161</f>
        <v>0</v>
      </c>
      <c r="K211" s="7">
        <f ca="1">IF(K$6=OFFSET(Assumptions!$B$8,0,$C$1),0,J$211)</f>
        <v>0</v>
      </c>
      <c r="L211" s="7">
        <f ca="1">IF(L$6=OFFSET(Assumptions!$B$8,0,$C$1),0,K$211)</f>
        <v>0</v>
      </c>
      <c r="M211" s="7">
        <f ca="1">IF(M$6=OFFSET(Assumptions!$B$8,0,$C$1),0,L$211)</f>
        <v>0</v>
      </c>
      <c r="N211" s="7">
        <f ca="1">IF(N$6=OFFSET(Assumptions!$B$8,0,$C$1),0,M$211)</f>
        <v>0</v>
      </c>
      <c r="O211" s="7">
        <f ca="1">IF(O$6=OFFSET(Assumptions!$B$8,0,$C$1),0,N$211)</f>
        <v>0</v>
      </c>
      <c r="P211" s="7">
        <f ca="1">IF(P$6=OFFSET(Assumptions!$B$8,0,$C$1),0,O$211)</f>
        <v>0</v>
      </c>
      <c r="Q211" s="7">
        <f ca="1">IF(Q$6=OFFSET(Assumptions!$B$8,0,$C$1),0,P$211)</f>
        <v>0</v>
      </c>
      <c r="R211" s="7">
        <f ca="1">IF(R$6=OFFSET(Assumptions!$B$8,0,$C$1),0,Q$211)</f>
        <v>0</v>
      </c>
      <c r="S211" s="7">
        <f ca="1">IF(S$6=OFFSET(Assumptions!$B$8,0,$C$1),0,R$211)</f>
        <v>0</v>
      </c>
      <c r="T211" s="7">
        <f ca="1">IF(T$6=OFFSET(Assumptions!$B$8,0,$C$1),0,S$211)</f>
        <v>0</v>
      </c>
    </row>
    <row r="212" spans="1:20" x14ac:dyDescent="0.2">
      <c r="A212" s="1" t="s">
        <v>279</v>
      </c>
      <c r="B212" s="4" t="str">
        <f t="shared" si="108"/>
        <v>From Fiscal</v>
      </c>
      <c r="D212" s="15">
        <f>'Fiscal Forecasts'!D$190</f>
        <v>4.085</v>
      </c>
      <c r="E212" s="15">
        <f>'Fiscal Forecasts'!E$190</f>
        <v>4.7050000000000001</v>
      </c>
      <c r="F212" s="16">
        <f>'Fiscal Forecasts'!F$190</f>
        <v>5.2320000000000002</v>
      </c>
      <c r="G212" s="16">
        <f>'Fiscal Forecasts'!G$190</f>
        <v>4.5919999999999996</v>
      </c>
      <c r="H212" s="16">
        <f>'Fiscal Forecasts'!H$190</f>
        <v>5.0449999999999999</v>
      </c>
      <c r="I212" s="16">
        <f>'Fiscal Forecasts'!I$190</f>
        <v>5.617</v>
      </c>
      <c r="J212" s="16">
        <f>'Fiscal Forecasts'!J$190</f>
        <v>5.9450000000000003</v>
      </c>
      <c r="K212" s="7">
        <f ca="1">IF(K$6=OFFSET(Assumptions!$B$8,0,$C$1),AVERAGE(H$212/SUM(H$215:H$216),I$212/SUM(I$215:I$216),J$212/SUM(J$215:J$216)),J$212/SUM(J$215:J$216))*SUM(K$215:K$216)</f>
        <v>6.1833336490453101</v>
      </c>
      <c r="L212" s="7">
        <f ca="1">IF(L$6=OFFSET(Assumptions!$B$8,0,$C$1),AVERAGE(I$212/SUM(I$215:I$216),J$212/SUM(J$215:J$216),K$212/SUM(K$215:K$216)),K$212/SUM(K$215:K$216))*SUM(L$215:L$216)</f>
        <v>6.4647321457142795</v>
      </c>
      <c r="M212" s="7">
        <f ca="1">IF(M$6=OFFSET(Assumptions!$B$8,0,$C$1),AVERAGE(J$212/SUM(J$215:J$216),K$212/SUM(K$215:K$216),L$212/SUM(L$215:L$216)),L$212/SUM(L$215:L$216))*SUM(M$215:M$216)</f>
        <v>6.7731888593900935</v>
      </c>
      <c r="N212" s="7">
        <f ca="1">IF(N$6=OFFSET(Assumptions!$B$8,0,$C$1),AVERAGE(K$212/SUM(K$215:K$216),L$212/SUM(L$215:L$216),M$212/SUM(M$215:M$216)),M$212/SUM(M$215:M$216))*SUM(N$215:N$216)</f>
        <v>7.0567140634741543</v>
      </c>
      <c r="O212" s="7">
        <f ca="1">IF(O$6=OFFSET(Assumptions!$B$8,0,$C$1),AVERAGE(L$212/SUM(L$215:L$216),M$212/SUM(M$215:M$216),N$212/SUM(N$215:N$216)),N$212/SUM(N$215:N$216))*SUM(O$215:O$216)</f>
        <v>7.3532992092772824</v>
      </c>
      <c r="P212" s="7">
        <f ca="1">IF(P$6=OFFSET(Assumptions!$B$8,0,$C$1),AVERAGE(M$212/SUM(M$215:M$216),N$212/SUM(N$215:N$216),O$212/SUM(O$215:O$216)),O$212/SUM(O$215:O$216))*SUM(P$215:P$216)</f>
        <v>7.643531696918302</v>
      </c>
      <c r="Q212" s="7">
        <f ca="1">IF(Q$6=OFFSET(Assumptions!$B$8,0,$C$1),AVERAGE(N$212/SUM(N$215:N$216),O$212/SUM(O$215:O$216),P$212/SUM(P$215:P$216)),P$212/SUM(P$215:P$216))*SUM(Q$215:Q$216)</f>
        <v>7.9425785499004515</v>
      </c>
      <c r="R212" s="7">
        <f ca="1">IF(R$6=OFFSET(Assumptions!$B$8,0,$C$1),AVERAGE(O$212/SUM(O$215:O$216),P$212/SUM(P$215:P$216),Q$212/SUM(Q$215:Q$216)),Q$212/SUM(Q$215:Q$216))*SUM(R$215:R$216)</f>
        <v>8.2507996117677642</v>
      </c>
      <c r="S212" s="7">
        <f ca="1">IF(S$6=OFFSET(Assumptions!$B$8,0,$C$1),AVERAGE(P$212/SUM(P$215:P$216),Q$212/SUM(Q$215:Q$216),R$212/SUM(R$215:R$216)),R$212/SUM(R$215:R$216))*SUM(S$215:S$216)</f>
        <v>8.5686257870625759</v>
      </c>
      <c r="T212" s="7">
        <f ca="1">IF(T$6=OFFSET(Assumptions!$B$8,0,$C$1),AVERAGE(Q$212/SUM(Q$215:Q$216),R$212/SUM(R$215:R$216),S$212/SUM(S$215:S$216)),S$212/SUM(S$215:S$216))*SUM(T$215:T$216)</f>
        <v>8.8964456458656862</v>
      </c>
    </row>
    <row r="213" spans="1:20" x14ac:dyDescent="0.2">
      <c r="A213" s="1" t="s">
        <v>506</v>
      </c>
      <c r="B213" s="4" t="str">
        <f t="shared" si="108"/>
        <v>From Fiscal</v>
      </c>
      <c r="D213" s="15">
        <f>SUM('Fiscal Forecasts'!D$191:D$192)</f>
        <v>1.9E-2</v>
      </c>
      <c r="E213" s="15">
        <f>SUM('Fiscal Forecasts'!E$191:E$192)</f>
        <v>1.9999999999999997E-2</v>
      </c>
      <c r="F213" s="16">
        <f>SUM('Fiscal Forecasts'!F$191:F$192)</f>
        <v>5.0000000000000001E-3</v>
      </c>
      <c r="G213" s="16">
        <f>SUM('Fiscal Forecasts'!G$191:G$192)</f>
        <v>6.0000000000000001E-3</v>
      </c>
      <c r="H213" s="16">
        <f>SUM('Fiscal Forecasts'!H$191:H$192)</f>
        <v>2E-3</v>
      </c>
      <c r="I213" s="16">
        <f>SUM('Fiscal Forecasts'!I$191:I$192)</f>
        <v>6.0000000000000001E-3</v>
      </c>
      <c r="J213" s="16">
        <f>SUM('Fiscal Forecasts'!J$191:J$192)</f>
        <v>6.0000000000000001E-3</v>
      </c>
      <c r="K213" s="7">
        <f ca="1">SUM(K$215:K216,-K$212)</f>
        <v>6.7330667105078845E-3</v>
      </c>
      <c r="L213" s="7">
        <f ca="1">SUM(L$215:L216,-L$212)</f>
        <v>7.039483112702527E-3</v>
      </c>
      <c r="M213" s="7">
        <f ca="1">SUM(M$215:M216,-M$212)</f>
        <v>7.375363359243714E-3</v>
      </c>
      <c r="N213" s="7">
        <f ca="1">SUM(N$215:N216,-N$212)</f>
        <v>7.6840955450769854E-3</v>
      </c>
      <c r="O213" s="7">
        <f ca="1">SUM(O$215:O216,-O$212)</f>
        <v>8.0070487747390118E-3</v>
      </c>
      <c r="P213" s="7">
        <f ca="1">SUM(P$215:P216,-P$212)</f>
        <v>8.3230845592785485E-3</v>
      </c>
      <c r="Q213" s="7">
        <f ca="1">SUM(Q$215:Q216,-Q$212)</f>
        <v>8.6487183557029113E-3</v>
      </c>
      <c r="R213" s="7">
        <f ca="1">SUM(R$215:R216,-R$212)</f>
        <v>8.9843419996658014E-3</v>
      </c>
      <c r="S213" s="7">
        <f ca="1">SUM(S$215:S216,-S$212)</f>
        <v>9.3304247055439049E-3</v>
      </c>
      <c r="T213" s="7">
        <f ca="1">SUM(T$215:T216,-T$212)</f>
        <v>9.6873895894766804E-3</v>
      </c>
    </row>
    <row r="214" spans="1:20" ht="15" x14ac:dyDescent="0.25">
      <c r="A214" s="2" t="s">
        <v>514</v>
      </c>
      <c r="D214" s="35">
        <f t="shared" ref="D214:T214" si="109">SUM(D$211:D$213)</f>
        <v>4.1100000000000003</v>
      </c>
      <c r="E214" s="35">
        <f t="shared" si="109"/>
        <v>4.7249999999999996</v>
      </c>
      <c r="F214" s="34">
        <f t="shared" si="109"/>
        <v>5.24</v>
      </c>
      <c r="G214" s="34">
        <f t="shared" si="109"/>
        <v>4.5979999999999999</v>
      </c>
      <c r="H214" s="34">
        <f t="shared" si="109"/>
        <v>5.0509999999999993</v>
      </c>
      <c r="I214" s="34">
        <f t="shared" si="109"/>
        <v>5.6230000000000002</v>
      </c>
      <c r="J214" s="34">
        <f t="shared" si="109"/>
        <v>5.9510000000000005</v>
      </c>
      <c r="K214" s="38">
        <f t="shared" ca="1" si="109"/>
        <v>6.190066715755818</v>
      </c>
      <c r="L214" s="38">
        <f t="shared" ca="1" si="109"/>
        <v>6.471771628826982</v>
      </c>
      <c r="M214" s="38">
        <f t="shared" ca="1" si="109"/>
        <v>6.7805642227493372</v>
      </c>
      <c r="N214" s="38">
        <f t="shared" ca="1" si="109"/>
        <v>7.0643981590192313</v>
      </c>
      <c r="O214" s="38">
        <f t="shared" ca="1" si="109"/>
        <v>7.3613062580520214</v>
      </c>
      <c r="P214" s="38">
        <f t="shared" ca="1" si="109"/>
        <v>7.6518547814775806</v>
      </c>
      <c r="Q214" s="38">
        <f t="shared" ca="1" si="109"/>
        <v>7.9512272682561544</v>
      </c>
      <c r="R214" s="38">
        <f t="shared" ca="1" si="109"/>
        <v>8.25978395376743</v>
      </c>
      <c r="S214" s="38">
        <f t="shared" ca="1" si="109"/>
        <v>8.5779562117681198</v>
      </c>
      <c r="T214" s="38">
        <f t="shared" ca="1" si="109"/>
        <v>8.9061330354551629</v>
      </c>
    </row>
    <row r="215" spans="1:20" x14ac:dyDescent="0.2">
      <c r="A215" s="1" t="s">
        <v>515</v>
      </c>
      <c r="B215" s="4" t="str">
        <f t="shared" si="108"/>
        <v>From Fiscal</v>
      </c>
      <c r="D215" s="15">
        <f>'Fiscal Forecasts'!D$258</f>
        <v>4.1040000000000001</v>
      </c>
      <c r="E215" s="15">
        <f>'Fiscal Forecasts'!E$258</f>
        <v>4.1660000000000004</v>
      </c>
      <c r="F215" s="16">
        <f>'Fiscal Forecasts'!F$258</f>
        <v>4.5970000000000004</v>
      </c>
      <c r="G215" s="16">
        <f>'Fiscal Forecasts'!G$258</f>
        <v>4.7990000000000004</v>
      </c>
      <c r="H215" s="16">
        <f>'Fiscal Forecasts'!H$258</f>
        <v>4.968</v>
      </c>
      <c r="I215" s="16">
        <f>'Fiscal Forecasts'!I$258</f>
        <v>5.415</v>
      </c>
      <c r="J215" s="16">
        <f>'Fiscal Forecasts'!J$258</f>
        <v>5.7430000000000003</v>
      </c>
      <c r="K215" s="7">
        <f>J$215*Exogenous!R$25/Exogenous!Q$25</f>
        <v>6.0110561326782772</v>
      </c>
      <c r="L215" s="7">
        <f>K$215*Exogenous!S$25/Exogenous!R$25</f>
        <v>6.2849072373734414</v>
      </c>
      <c r="M215" s="7">
        <f>L$215*Exogenous!T$25/Exogenous!S$25</f>
        <v>6.5855338953505189</v>
      </c>
      <c r="N215" s="7">
        <f>M$215*Exogenous!U$25/Exogenous!T$25</f>
        <v>6.8608542665942522</v>
      </c>
      <c r="O215" s="7">
        <f>N$215*Exogenous!V$25/Exogenous!U$25</f>
        <v>7.1489656955488066</v>
      </c>
      <c r="P215" s="7">
        <f>O$215*Exogenous!W$25/Exogenous!V$25</f>
        <v>7.4303997016919583</v>
      </c>
      <c r="Q215" s="7">
        <f>P$215*Exogenous!X$25/Exogenous!W$25</f>
        <v>7.7203539210845937</v>
      </c>
      <c r="R215" s="7">
        <f>Q$215*Exogenous!Y$25/Exogenous!X$25</f>
        <v>8.0191990912873301</v>
      </c>
      <c r="S215" s="7">
        <f>R$215*Exogenous!Z$25/Exogenous!Y$25</f>
        <v>8.3273225031034706</v>
      </c>
      <c r="T215" s="7">
        <f>S$215*Exogenous!AA$25/Exogenous!Z$25</f>
        <v>8.6451287552818847</v>
      </c>
    </row>
    <row r="216" spans="1:20" x14ac:dyDescent="0.2">
      <c r="A216" s="1" t="s">
        <v>516</v>
      </c>
      <c r="B216" s="4" t="str">
        <f t="shared" si="108"/>
        <v>From Fiscal</v>
      </c>
      <c r="D216" s="15">
        <f>SUM('Fiscal Forecasts'!D$259:D$260)</f>
        <v>6.0000000000000053E-3</v>
      </c>
      <c r="E216" s="15">
        <f>SUM('Fiscal Forecasts'!E$259:E$260)</f>
        <v>0.55900000000000005</v>
      </c>
      <c r="F216" s="16">
        <f>SUM('Fiscal Forecasts'!F$259:F$260)</f>
        <v>0.64300000000000002</v>
      </c>
      <c r="G216" s="16">
        <f>SUM('Fiscal Forecasts'!G$259:G$260)</f>
        <v>-0.20099999999999998</v>
      </c>
      <c r="H216" s="16">
        <f>SUM('Fiscal Forecasts'!H$259:H$260)</f>
        <v>8.299999999999999E-2</v>
      </c>
      <c r="I216" s="16">
        <f>SUM('Fiscal Forecasts'!I$259:I$260)</f>
        <v>0.20800000000000002</v>
      </c>
      <c r="J216" s="16">
        <f>SUM('Fiscal Forecasts'!J$259:J$260)</f>
        <v>0.20800000000000002</v>
      </c>
      <c r="K216" s="7">
        <f ca="1">IF(K$6=OFFSET(Assumptions!$B$8,0,$C$1),AVERAGE(H$216/H$13,I$216/I$13,J$216/J$13),J$216/J$13)*K$13</f>
        <v>0.17901058307754064</v>
      </c>
      <c r="L216" s="7">
        <f ca="1">IF(L$6=OFFSET(Assumptions!$B$8,0,$C$1),AVERAGE(I$216/I$13,J$216/J$13,K$216/K$13),K$216/K$13)*L$13</f>
        <v>0.1868643914535407</v>
      </c>
      <c r="M216" s="7">
        <f ca="1">IF(M$6=OFFSET(Assumptions!$B$8,0,$C$1),AVERAGE(J$216/J$13,K$216/K$13,L$216/L$13),L$216/L$13)*M$13</f>
        <v>0.1950303273988187</v>
      </c>
      <c r="N216" s="7">
        <f ca="1">IF(N$6=OFFSET(Assumptions!$B$8,0,$C$1),AVERAGE(K$216/K$13,L$216/L$13,M$216/M$13),M$216/M$13)*N$13</f>
        <v>0.20354389242497881</v>
      </c>
      <c r="O216" s="7">
        <f ca="1">IF(O$6=OFFSET(Assumptions!$B$8,0,$C$1),AVERAGE(L$216/L$13,M$216/M$13,N$216/N$13),N$216/N$13)*O$13</f>
        <v>0.21234056250321479</v>
      </c>
      <c r="P216" s="7">
        <f ca="1">IF(P$6=OFFSET(Assumptions!$B$8,0,$C$1),AVERAGE(M$216/M$13,N$216/N$13,O$216/O$13),O$216/O$13)*P$13</f>
        <v>0.22145507978562259</v>
      </c>
      <c r="Q216" s="7">
        <f ca="1">IF(Q$6=OFFSET(Assumptions!$B$8,0,$C$1),AVERAGE(N$216/N$13,O$216/O$13,P$216/P$13),P$216/P$13)*Q$13</f>
        <v>0.23087334717156094</v>
      </c>
      <c r="R216" s="7">
        <f ca="1">IF(R$6=OFFSET(Assumptions!$B$8,0,$C$1),AVERAGE(O$216/O$13,P$216/P$13,Q$216/Q$13),Q$216/Q$13)*R$13</f>
        <v>0.2405848624800995</v>
      </c>
      <c r="S216" s="7">
        <f ca="1">IF(S$6=OFFSET(Assumptions!$B$8,0,$C$1),AVERAGE(P$216/P$13,Q$216/Q$13,R$216/R$13),R$216/R$13)*S$13</f>
        <v>0.25063370866464951</v>
      </c>
      <c r="T216" s="7">
        <f ca="1">IF(T$6=OFFSET(Assumptions!$B$8,0,$C$1),AVERAGE(Q$216/Q$13,R$216/R$13,S$216/S$13),S$216/S$13)*T$13</f>
        <v>0.26100428017327898</v>
      </c>
    </row>
    <row r="217" spans="1:20" x14ac:dyDescent="0.2">
      <c r="B217" s="4"/>
      <c r="D217" s="15"/>
      <c r="E217" s="15"/>
      <c r="F217" s="16"/>
      <c r="G217" s="16"/>
      <c r="H217" s="16"/>
      <c r="I217" s="16"/>
      <c r="J217" s="16"/>
      <c r="K217" s="7"/>
      <c r="L217" s="7"/>
      <c r="M217" s="7"/>
      <c r="N217" s="7"/>
      <c r="O217" s="7"/>
      <c r="P217" s="7"/>
      <c r="Q217" s="7"/>
      <c r="R217" s="7"/>
      <c r="S217" s="7"/>
      <c r="T217" s="7"/>
    </row>
    <row r="218" spans="1:20" x14ac:dyDescent="0.2">
      <c r="A218" s="19" t="s">
        <v>597</v>
      </c>
    </row>
    <row r="219" spans="1:20" ht="15" x14ac:dyDescent="0.25">
      <c r="A219" s="2" t="s">
        <v>517</v>
      </c>
      <c r="B219" s="4"/>
      <c r="D219" s="40">
        <f>SUM($D$220:D$220)</f>
        <v>0</v>
      </c>
      <c r="E219" s="40">
        <f>SUM($D$220:E$220)</f>
        <v>0</v>
      </c>
      <c r="F219" s="39">
        <f ca="1">IF(OFFSET(Assumptions!$B$57,0,$C$1)="Yes",0,SUM($D$220:F$220))</f>
        <v>0</v>
      </c>
      <c r="G219" s="39">
        <f ca="1">IF(OFFSET(Assumptions!$B$57,0,$C$1)="Yes",0,SUM($D$220:G$220))</f>
        <v>0.49199999999999999</v>
      </c>
      <c r="H219" s="39">
        <f ca="1">IF(OFFSET(Assumptions!$B$57,0,$C$1)="Yes",0,SUM($D$220:H$220))</f>
        <v>2.0339999999999998</v>
      </c>
      <c r="I219" s="39">
        <f ca="1">IF(OFFSET(Assumptions!$B$57,0,$C$1)="Yes",0,SUM($D$220:I$220))</f>
        <v>3.746</v>
      </c>
      <c r="J219" s="39">
        <f ca="1">IF(OFFSET(Assumptions!$B$57,0,$C$1)="Yes",0,SUM($D$220:J$220))</f>
        <v>5.4950000000000001</v>
      </c>
      <c r="K219" s="8">
        <f ca="1">IF(OFFSET(Assumptions!$B$57,0,$C$1)="Yes",0,SUM($D$220:K$220))</f>
        <v>7.4950000000000001</v>
      </c>
      <c r="L219" s="8">
        <f ca="1">IF(OFFSET(Assumptions!$B$57,0,$C$1)="Yes",0,SUM($D$220:L$220))</f>
        <v>9.5749999999999993</v>
      </c>
      <c r="M219" s="8">
        <f ca="1">IF(OFFSET(Assumptions!$B$57,0,$C$1)="Yes",0,SUM($D$220:M$220))</f>
        <v>11.738199999999999</v>
      </c>
      <c r="N219" s="8">
        <f ca="1">IF(OFFSET(Assumptions!$B$57,0,$C$1)="Yes",0,SUM($D$220:N$220))</f>
        <v>13.987928</v>
      </c>
      <c r="O219" s="8">
        <f ca="1">IF(OFFSET(Assumptions!$B$57,0,$C$1)="Yes",0,SUM($D$220:O$220))</f>
        <v>16.32764512</v>
      </c>
      <c r="P219" s="8">
        <f ca="1">IF(OFFSET(Assumptions!$B$57,0,$C$1)="Yes",0,SUM($D$220:P$220))</f>
        <v>18.760950924799999</v>
      </c>
      <c r="Q219" s="8">
        <f ca="1">IF(OFFSET(Assumptions!$B$57,0,$C$1)="Yes",0,SUM($D$220:Q$220))</f>
        <v>21.291588961792002</v>
      </c>
      <c r="R219" s="8">
        <f ca="1">IF(OFFSET(Assumptions!$B$57,0,$C$1)="Yes",0,SUM($D$220:R$220))</f>
        <v>23.923452520263684</v>
      </c>
      <c r="S219" s="8">
        <f ca="1">IF(OFFSET(Assumptions!$B$57,0,$C$1)="Yes",0,SUM($D$220:S$220))</f>
        <v>26.660590621074231</v>
      </c>
      <c r="T219" s="8">
        <f ca="1">IF(OFFSET(Assumptions!$B$57,0,$C$1)="Yes",0,SUM($D$220:T$220))</f>
        <v>29.507214245917201</v>
      </c>
    </row>
    <row r="220" spans="1:20" x14ac:dyDescent="0.2">
      <c r="A220" s="1" t="s">
        <v>894</v>
      </c>
      <c r="B220" s="4" t="str">
        <f t="shared" si="108"/>
        <v>From Fiscal</v>
      </c>
      <c r="D220" s="15">
        <f>'Fiscal Forecasts'!D$21-'Fiscal Forecasts'!C$21</f>
        <v>0</v>
      </c>
      <c r="E220" s="15">
        <f>'Fiscal Forecasts'!E$21-'Fiscal Forecasts'!D$21</f>
        <v>0</v>
      </c>
      <c r="F220" s="16">
        <f>'Fiscal Forecasts'!F$21-'Fiscal Forecasts'!E$21 +IF($C$2="Yes",'Fiscal Forecast Adjuster'!C$25/1000,0)</f>
        <v>0</v>
      </c>
      <c r="G220" s="16">
        <f>'Fiscal Forecasts'!G$21-'Fiscal Forecasts'!F$21 +IF($C$2="Yes",'Fiscal Forecast Adjuster'!D$25/1000,0)</f>
        <v>0.49199999999999999</v>
      </c>
      <c r="H220" s="16">
        <f>'Fiscal Forecasts'!H$21-'Fiscal Forecasts'!G$21 +IF($C$2="Yes",'Fiscal Forecast Adjuster'!E$25/1000,0)</f>
        <v>1.5419999999999998</v>
      </c>
      <c r="I220" s="16">
        <f>'Fiscal Forecasts'!I$21-'Fiscal Forecasts'!H$21 +IF($C$2="Yes",'Fiscal Forecast Adjuster'!F$25/1000,0)</f>
        <v>1.7120000000000002</v>
      </c>
      <c r="J220" s="16">
        <f>'Fiscal Forecasts'!J$21-'Fiscal Forecasts'!I$21 +IF($C$2="Yes",'Fiscal Forecast Adjuster'!G$25/1000,0)</f>
        <v>1.7490000000000001</v>
      </c>
      <c r="K220" s="7">
        <f ca="1">IF(AND(OFFSET(Assumptions!$B$87,0,$C$1)="Yes",K$6&gt;=OFFSET(Assumptions!$B$88,0,$C$1)),K$221*K$13,IF(K$6=OFFSET(Assumptions!$B$8,0,$C$1),OFFSET(Assumptions!$B$55,0,$C$1),J$220*(1+OFFSET(Assumptions!$B$56,0,$C$1))))</f>
        <v>2</v>
      </c>
      <c r="L220" s="7">
        <f ca="1">IF(AND(OFFSET(Assumptions!$B$87,0,$C$1)="Yes",L$6&gt;=OFFSET(Assumptions!$B$88,0,$C$1)),L$221*L$13,IF(L$6=OFFSET(Assumptions!$B$8,0,$C$1),OFFSET(Assumptions!$B$55,0,$C$1),K$220*(1+OFFSET(Assumptions!$B$56,0,$C$1))))</f>
        <v>2.08</v>
      </c>
      <c r="M220" s="7">
        <f ca="1">IF(AND(OFFSET(Assumptions!$B$87,0,$C$1)="Yes",M$6&gt;=OFFSET(Assumptions!$B$88,0,$C$1)),M$221*M$13,IF(M$6=OFFSET(Assumptions!$B$8,0,$C$1),OFFSET(Assumptions!$B$55,0,$C$1),L$220*(1+OFFSET(Assumptions!$B$56,0,$C$1))))</f>
        <v>2.1632000000000002</v>
      </c>
      <c r="N220" s="7">
        <f ca="1">IF(AND(OFFSET(Assumptions!$B$87,0,$C$1)="Yes",N$6&gt;=OFFSET(Assumptions!$B$88,0,$C$1)),N$221*N$13,IF(N$6=OFFSET(Assumptions!$B$8,0,$C$1),OFFSET(Assumptions!$B$55,0,$C$1),M$220*(1+OFFSET(Assumptions!$B$56,0,$C$1))))</f>
        <v>2.2497280000000002</v>
      </c>
      <c r="O220" s="7">
        <f ca="1">IF(AND(OFFSET(Assumptions!$B$87,0,$C$1)="Yes",O$6&gt;=OFFSET(Assumptions!$B$88,0,$C$1)),O$221*O$13,IF(O$6=OFFSET(Assumptions!$B$8,0,$C$1),OFFSET(Assumptions!$B$55,0,$C$1),N$220*(1+OFFSET(Assumptions!$B$56,0,$C$1))))</f>
        <v>2.3397171200000004</v>
      </c>
      <c r="P220" s="7">
        <f ca="1">IF(AND(OFFSET(Assumptions!$B$87,0,$C$1)="Yes",P$6&gt;=OFFSET(Assumptions!$B$88,0,$C$1)),P$221*P$13,IF(P$6=OFFSET(Assumptions!$B$8,0,$C$1),OFFSET(Assumptions!$B$55,0,$C$1),O$220*(1+OFFSET(Assumptions!$B$56,0,$C$1))))</f>
        <v>2.4333058048000007</v>
      </c>
      <c r="Q220" s="7">
        <f ca="1">IF(AND(OFFSET(Assumptions!$B$87,0,$C$1)="Yes",Q$6&gt;=OFFSET(Assumptions!$B$88,0,$C$1)),Q$221*Q$13,IF(Q$6=OFFSET(Assumptions!$B$8,0,$C$1),OFFSET(Assumptions!$B$55,0,$C$1),P$220*(1+OFFSET(Assumptions!$B$56,0,$C$1))))</f>
        <v>2.5306380369920007</v>
      </c>
      <c r="R220" s="7">
        <f ca="1">IF(AND(OFFSET(Assumptions!$B$87,0,$C$1)="Yes",R$6&gt;=OFFSET(Assumptions!$B$88,0,$C$1)),R$221*R$13,IF(R$6=OFFSET(Assumptions!$B$8,0,$C$1),OFFSET(Assumptions!$B$55,0,$C$1),Q$220*(1+OFFSET(Assumptions!$B$56,0,$C$1))))</f>
        <v>2.631863558471681</v>
      </c>
      <c r="S220" s="7">
        <f ca="1">IF(AND(OFFSET(Assumptions!$B$87,0,$C$1)="Yes",S$6&gt;=OFFSET(Assumptions!$B$88,0,$C$1)),S$221*S$13,IF(S$6=OFFSET(Assumptions!$B$8,0,$C$1),OFFSET(Assumptions!$B$55,0,$C$1),R$220*(1+OFFSET(Assumptions!$B$56,0,$C$1))))</f>
        <v>2.7371381008105482</v>
      </c>
      <c r="T220" s="7">
        <f ca="1">IF(AND(OFFSET(Assumptions!$B$87,0,$C$1)="Yes",T$6&gt;=OFFSET(Assumptions!$B$88,0,$C$1)),T$221*T$13,IF(T$6=OFFSET(Assumptions!$B$8,0,$C$1),OFFSET(Assumptions!$B$55,0,$C$1),S$220*(1+OFFSET(Assumptions!$B$56,0,$C$1))))</f>
        <v>2.8466236248429704</v>
      </c>
    </row>
    <row r="221" spans="1:20" x14ac:dyDescent="0.2">
      <c r="A221" s="1" t="s">
        <v>869</v>
      </c>
      <c r="B221" s="4"/>
      <c r="D221" s="51">
        <f t="shared" ref="D221:J221" si="110">D$220/D$13</f>
        <v>0</v>
      </c>
      <c r="E221" s="51">
        <f t="shared" si="110"/>
        <v>0</v>
      </c>
      <c r="F221" s="52">
        <f t="shared" si="110"/>
        <v>0</v>
      </c>
      <c r="G221" s="52">
        <f t="shared" si="110"/>
        <v>1.7408164853905869E-3</v>
      </c>
      <c r="H221" s="52">
        <f t="shared" si="110"/>
        <v>5.1998327420855976E-3</v>
      </c>
      <c r="I221" s="52">
        <f t="shared" si="110"/>
        <v>5.5129241361099755E-3</v>
      </c>
      <c r="J221" s="52">
        <f t="shared" si="110"/>
        <v>5.41084024254424E-3</v>
      </c>
      <c r="K221" s="9">
        <f ca="1">IF(J$76/J$13-OFFSET(Assumptions!$B$89,0,$C$1)&gt;OFFSET(Assumptions!$B$90,0,$C$1),OFFSET(Assumptions!$B$91,0,$C$1),IF(J$76/J$13-OFFSET(Assumptions!$B$89,0,$C$1)&lt;-OFFSET(Assumptions!$B$90,0,$C$1),OFFSET(Assumptions!$B$93,0,$C$1),OFFSET(Assumptions!$B$92,0,$C$1)))</f>
        <v>5.0000000000000001E-3</v>
      </c>
      <c r="L221" s="9">
        <f ca="1">IF(K$76/K$13-OFFSET(Assumptions!$B$89,0,$C$1)&gt;OFFSET(Assumptions!$B$90,0,$C$1),OFFSET(Assumptions!$B$91,0,$C$1),IF(K$76/K$13-OFFSET(Assumptions!$B$89,0,$C$1)&lt;-OFFSET(Assumptions!$B$90,0,$C$1),OFFSET(Assumptions!$B$93,0,$C$1),OFFSET(Assumptions!$B$92,0,$C$1)))</f>
        <v>5.0000000000000001E-3</v>
      </c>
      <c r="M221" s="9">
        <f ca="1">IF(L$76/L$13-OFFSET(Assumptions!$B$89,0,$C$1)&gt;OFFSET(Assumptions!$B$90,0,$C$1),OFFSET(Assumptions!$B$91,0,$C$1),IF(L$76/L$13-OFFSET(Assumptions!$B$89,0,$C$1)&lt;-OFFSET(Assumptions!$B$90,0,$C$1),OFFSET(Assumptions!$B$93,0,$C$1),OFFSET(Assumptions!$B$92,0,$C$1)))</f>
        <v>7.4999999999999997E-3</v>
      </c>
      <c r="N221" s="9">
        <f ca="1">IF(M$76/M$13-OFFSET(Assumptions!$B$89,0,$C$1)&gt;OFFSET(Assumptions!$B$90,0,$C$1),OFFSET(Assumptions!$B$91,0,$C$1),IF(M$76/M$13-OFFSET(Assumptions!$B$89,0,$C$1)&lt;-OFFSET(Assumptions!$B$90,0,$C$1),OFFSET(Assumptions!$B$93,0,$C$1),OFFSET(Assumptions!$B$92,0,$C$1)))</f>
        <v>7.4999999999999997E-3</v>
      </c>
      <c r="O221" s="9">
        <f ca="1">IF(N$76/N$13-OFFSET(Assumptions!$B$89,0,$C$1)&gt;OFFSET(Assumptions!$B$90,0,$C$1),OFFSET(Assumptions!$B$91,0,$C$1),IF(N$76/N$13-OFFSET(Assumptions!$B$89,0,$C$1)&lt;-OFFSET(Assumptions!$B$90,0,$C$1),OFFSET(Assumptions!$B$93,0,$C$1),OFFSET(Assumptions!$B$92,0,$C$1)))</f>
        <v>7.4999999999999997E-3</v>
      </c>
      <c r="P221" s="9">
        <f ca="1">IF(O$76/O$13-OFFSET(Assumptions!$B$89,0,$C$1)&gt;OFFSET(Assumptions!$B$90,0,$C$1),OFFSET(Assumptions!$B$91,0,$C$1),IF(O$76/O$13-OFFSET(Assumptions!$B$89,0,$C$1)&lt;-OFFSET(Assumptions!$B$90,0,$C$1),OFFSET(Assumptions!$B$93,0,$C$1),OFFSET(Assumptions!$B$92,0,$C$1)))</f>
        <v>7.4999999999999997E-3</v>
      </c>
      <c r="Q221" s="9">
        <f ca="1">IF(P$76/P$13-OFFSET(Assumptions!$B$89,0,$C$1)&gt;OFFSET(Assumptions!$B$90,0,$C$1),OFFSET(Assumptions!$B$91,0,$C$1),IF(P$76/P$13-OFFSET(Assumptions!$B$89,0,$C$1)&lt;-OFFSET(Assumptions!$B$90,0,$C$1),OFFSET(Assumptions!$B$93,0,$C$1),OFFSET(Assumptions!$B$92,0,$C$1)))</f>
        <v>7.4999999999999997E-3</v>
      </c>
      <c r="R221" s="9">
        <f ca="1">IF(Q$76/Q$13-OFFSET(Assumptions!$B$89,0,$C$1)&gt;OFFSET(Assumptions!$B$90,0,$C$1),OFFSET(Assumptions!$B$91,0,$C$1),IF(Q$76/Q$13-OFFSET(Assumptions!$B$89,0,$C$1)&lt;-OFFSET(Assumptions!$B$90,0,$C$1),OFFSET(Assumptions!$B$93,0,$C$1),OFFSET(Assumptions!$B$92,0,$C$1)))</f>
        <v>7.4999999999999997E-3</v>
      </c>
      <c r="S221" s="9">
        <f ca="1">IF(R$76/R$13-OFFSET(Assumptions!$B$89,0,$C$1)&gt;OFFSET(Assumptions!$B$90,0,$C$1),OFFSET(Assumptions!$B$91,0,$C$1),IF(R$76/R$13-OFFSET(Assumptions!$B$89,0,$C$1)&lt;-OFFSET(Assumptions!$B$90,0,$C$1),OFFSET(Assumptions!$B$93,0,$C$1),OFFSET(Assumptions!$B$92,0,$C$1)))</f>
        <v>7.4999999999999997E-3</v>
      </c>
      <c r="T221" s="9">
        <f ca="1">IF(S$76/S$13-OFFSET(Assumptions!$B$89,0,$C$1)&gt;OFFSET(Assumptions!$B$90,0,$C$1),OFFSET(Assumptions!$B$91,0,$C$1),IF(S$76/S$13-OFFSET(Assumptions!$B$89,0,$C$1)&lt;-OFFSET(Assumptions!$B$90,0,$C$1),OFFSET(Assumptions!$B$93,0,$C$1),OFFSET(Assumptions!$B$92,0,$C$1)))</f>
        <v>7.4999999999999997E-3</v>
      </c>
    </row>
    <row r="222" spans="1:20" ht="15" x14ac:dyDescent="0.25">
      <c r="A222" s="2" t="s">
        <v>156</v>
      </c>
      <c r="B222" s="4"/>
      <c r="D222" s="40">
        <f>SUM($D$223:D$223)</f>
        <v>0</v>
      </c>
      <c r="E222" s="40">
        <f>SUM($D$223:E$223)</f>
        <v>0</v>
      </c>
      <c r="F222" s="39">
        <f ca="1">IF(OFFSET(Assumptions!$B$57,0,$C$1)="Yes",0,SUM($D$223:F$223))</f>
        <v>0</v>
      </c>
      <c r="G222" s="39">
        <f ca="1">IF(OFFSET(Assumptions!$B$57,0,$C$1)="Yes",0,SUM($D$223:G$223))</f>
        <v>-1.175</v>
      </c>
      <c r="H222" s="39">
        <f ca="1">IF(OFFSET(Assumptions!$B$57,0,$C$1)="Yes",0,SUM($D$223:H$223))</f>
        <v>-0.56999999999999995</v>
      </c>
      <c r="I222" s="39">
        <f ca="1">IF(OFFSET(Assumptions!$B$57,0,$C$1)="Yes",0,SUM($D$223:I$223))</f>
        <v>-0.52500000000000002</v>
      </c>
      <c r="J222" s="39">
        <f ca="1">IF(OFFSET(Assumptions!$B$57,0,$C$1)="Yes",0,SUM($D$223:J$223))</f>
        <v>-0.5</v>
      </c>
      <c r="K222" s="8">
        <f ca="1">IF(OFFSET(Assumptions!$B$57,0,$C$1)="Yes",0,SUM($D$223:K$223))</f>
        <v>-0.52</v>
      </c>
      <c r="L222" s="8">
        <f ca="1">IF(OFFSET(Assumptions!$B$57,0,$C$1)="Yes",0,SUM($D$223:L$223))</f>
        <v>-0.54080000000000006</v>
      </c>
      <c r="M222" s="8">
        <f ca="1">IF(OFFSET(Assumptions!$B$57,0,$C$1)="Yes",0,SUM($D$223:M$223))</f>
        <v>-0.56243200000000004</v>
      </c>
      <c r="N222" s="8">
        <f ca="1">IF(OFFSET(Assumptions!$B$57,0,$C$1)="Yes",0,SUM($D$223:N$223))</f>
        <v>-0.58492928</v>
      </c>
      <c r="O222" s="8">
        <f ca="1">IF(OFFSET(Assumptions!$B$57,0,$C$1)="Yes",0,SUM($D$223:O$223))</f>
        <v>-0.60832645119999995</v>
      </c>
      <c r="P222" s="8">
        <f ca="1">IF(OFFSET(Assumptions!$B$57,0,$C$1)="Yes",0,SUM($D$223:P$223))</f>
        <v>-0.63265950924799996</v>
      </c>
      <c r="Q222" s="8">
        <f ca="1">IF(OFFSET(Assumptions!$B$57,0,$C$1)="Yes",0,SUM($D$223:Q$223))</f>
        <v>-0.65796588961791991</v>
      </c>
      <c r="R222" s="8">
        <f ca="1">IF(OFFSET(Assumptions!$B$57,0,$C$1)="Yes",0,SUM($D$223:R$223))</f>
        <v>-0.68428452520263672</v>
      </c>
      <c r="S222" s="8">
        <f ca="1">IF(OFFSET(Assumptions!$B$57,0,$C$1)="Yes",0,SUM($D$223:S$223))</f>
        <v>-0.71165590621074215</v>
      </c>
      <c r="T222" s="8">
        <f ca="1">IF(OFFSET(Assumptions!$B$57,0,$C$1)="Yes",0,SUM($D$223:T$223))</f>
        <v>-0.74012214245917185</v>
      </c>
    </row>
    <row r="223" spans="1:20" x14ac:dyDescent="0.2">
      <c r="A223" s="1" t="s">
        <v>895</v>
      </c>
      <c r="B223" s="4" t="str">
        <f t="shared" si="108"/>
        <v>From Fiscal</v>
      </c>
      <c r="D223" s="15">
        <f>'Fiscal Forecasts'!D$22-'Fiscal Forecasts'!C$22</f>
        <v>0</v>
      </c>
      <c r="E223" s="15">
        <f>'Fiscal Forecasts'!E$22-'Fiscal Forecasts'!D$22</f>
        <v>0</v>
      </c>
      <c r="F223" s="16">
        <f>'Fiscal Forecasts'!F$22-'Fiscal Forecasts'!E$22</f>
        <v>0</v>
      </c>
      <c r="G223" s="16">
        <f>'Fiscal Forecasts'!G$22-'Fiscal Forecasts'!F$22</f>
        <v>-1.175</v>
      </c>
      <c r="H223" s="16">
        <f>'Fiscal Forecasts'!H$22-'Fiscal Forecasts'!G$22</f>
        <v>0.60500000000000009</v>
      </c>
      <c r="I223" s="16">
        <f>'Fiscal Forecasts'!I$22-'Fiscal Forecasts'!H$22</f>
        <v>4.4999999999999929E-2</v>
      </c>
      <c r="J223" s="16">
        <f>'Fiscal Forecasts'!J$22-'Fiscal Forecasts'!I$22</f>
        <v>2.5000000000000022E-2</v>
      </c>
      <c r="K223" s="7">
        <f ca="1">SUM($D$223:J$223)*OFFSET(Assumptions!$B$56,0,$C$1)</f>
        <v>-0.02</v>
      </c>
      <c r="L223" s="7">
        <f ca="1">SUM($D$223:K$223)*OFFSET(Assumptions!$B$56,0,$C$1)</f>
        <v>-2.0800000000000003E-2</v>
      </c>
      <c r="M223" s="7">
        <f ca="1">SUM($D$223:L$223)*OFFSET(Assumptions!$B$56,0,$C$1)</f>
        <v>-2.1632000000000002E-2</v>
      </c>
      <c r="N223" s="7">
        <f ca="1">SUM($D$223:M$223)*OFFSET(Assumptions!$B$56,0,$C$1)</f>
        <v>-2.2497280000000001E-2</v>
      </c>
      <c r="O223" s="7">
        <f ca="1">SUM($D$223:N$223)*OFFSET(Assumptions!$B$56,0,$C$1)</f>
        <v>-2.3397171200000001E-2</v>
      </c>
      <c r="P223" s="7">
        <f ca="1">SUM($D$223:O$223)*OFFSET(Assumptions!$B$56,0,$C$1)</f>
        <v>-2.4333058047999997E-2</v>
      </c>
      <c r="Q223" s="7">
        <f ca="1">SUM($D$223:P$223)*OFFSET(Assumptions!$B$56,0,$C$1)</f>
        <v>-2.5306380369920001E-2</v>
      </c>
      <c r="R223" s="7">
        <f ca="1">SUM($D$223:Q$223)*OFFSET(Assumptions!$B$56,0,$C$1)</f>
        <v>-2.6318635584716796E-2</v>
      </c>
      <c r="S223" s="7">
        <f ca="1">SUM($D$223:R$223)*OFFSET(Assumptions!$B$56,0,$C$1)</f>
        <v>-2.7371381008105468E-2</v>
      </c>
      <c r="T223" s="7">
        <f ca="1">SUM($D$223:S$223)*OFFSET(Assumptions!$B$56,0,$C$1)</f>
        <v>-2.8466236248429685E-2</v>
      </c>
    </row>
    <row r="224" spans="1:20" x14ac:dyDescent="0.2">
      <c r="B224" s="4"/>
      <c r="D224" s="15"/>
      <c r="E224" s="15"/>
      <c r="F224" s="16"/>
      <c r="G224" s="16"/>
      <c r="H224" s="16"/>
      <c r="I224" s="16"/>
      <c r="J224" s="16"/>
      <c r="K224" s="7"/>
      <c r="L224" s="7"/>
      <c r="M224" s="7"/>
      <c r="N224" s="7"/>
      <c r="O224" s="7"/>
      <c r="P224" s="7"/>
      <c r="Q224" s="7"/>
      <c r="R224" s="7"/>
      <c r="S224" s="7"/>
      <c r="T224" s="7"/>
    </row>
    <row r="225" spans="1:20" x14ac:dyDescent="0.2">
      <c r="A225" s="19" t="s">
        <v>598</v>
      </c>
    </row>
    <row r="226" spans="1:20" ht="15" x14ac:dyDescent="0.25">
      <c r="A226" s="2" t="s">
        <v>599</v>
      </c>
      <c r="B226" s="4" t="str">
        <f t="shared" si="108"/>
        <v>From Fiscal</v>
      </c>
      <c r="D226" s="40">
        <f>'Fiscal Forecasts'!D$54</f>
        <v>0.35799999999999998</v>
      </c>
      <c r="E226" s="40">
        <f>'Fiscal Forecasts'!E$54</f>
        <v>0.27100000000000002</v>
      </c>
      <c r="F226" s="39">
        <f>'Fiscal Forecasts'!F$54</f>
        <v>0.218</v>
      </c>
      <c r="G226" s="39">
        <f>'Fiscal Forecasts'!G$54</f>
        <v>0.151</v>
      </c>
      <c r="H226" s="39">
        <f>'Fiscal Forecasts'!H$54</f>
        <v>0.19700000000000001</v>
      </c>
      <c r="I226" s="39">
        <f>'Fiscal Forecasts'!I$54</f>
        <v>0.224</v>
      </c>
      <c r="J226" s="39">
        <f>'Fiscal Forecasts'!J$54</f>
        <v>0.24</v>
      </c>
      <c r="K226" s="8">
        <f>J$226*Exogenous!R$32/Exogenous!Q$32</f>
        <v>0.23158878504672895</v>
      </c>
      <c r="L226" s="8">
        <f>K$226*Exogenous!S$32/Exogenous!R$32</f>
        <v>0.22766355140186914</v>
      </c>
      <c r="M226" s="8">
        <f>L$226*Exogenous!T$32/Exogenous!S$32</f>
        <v>0.22934579439252331</v>
      </c>
      <c r="N226" s="8">
        <f>M$226*Exogenous!U$32/Exogenous!T$32</f>
        <v>0.2304672897196261</v>
      </c>
      <c r="O226" s="8">
        <f>N$226*Exogenous!V$32/Exogenous!U$32</f>
        <v>0.23158878504672889</v>
      </c>
      <c r="P226" s="8">
        <f>O$226*Exogenous!W$32/Exogenous!V$32</f>
        <v>0.2321495327102803</v>
      </c>
      <c r="Q226" s="8">
        <f>P$226*Exogenous!X$32/Exogenous!W$32</f>
        <v>0.22934579439252328</v>
      </c>
      <c r="R226" s="8">
        <f>Q$226*Exogenous!Y$32/Exogenous!X$32</f>
        <v>0.22037383177570086</v>
      </c>
      <c r="S226" s="8">
        <f>R$226*Exogenous!Z$32/Exogenous!Y$32</f>
        <v>0.21196261682242984</v>
      </c>
      <c r="T226" s="8">
        <f>S$226*Exogenous!AA$32/Exogenous!Z$32</f>
        <v>0.202429906542056</v>
      </c>
    </row>
    <row r="227" spans="1:20" ht="15" x14ac:dyDescent="0.25">
      <c r="A227" s="2" t="s">
        <v>600</v>
      </c>
      <c r="B227" s="4" t="str">
        <f t="shared" si="108"/>
        <v>From Fiscal</v>
      </c>
      <c r="D227" s="40">
        <f>'Fiscal Forecasts'!D$37</f>
        <v>0.373</v>
      </c>
      <c r="E227" s="40">
        <f>'Fiscal Forecasts'!E$37</f>
        <v>0.28599999999999998</v>
      </c>
      <c r="F227" s="39">
        <f>'Fiscal Forecasts'!F$37</f>
        <v>0.23400000000000001</v>
      </c>
      <c r="G227" s="39">
        <f>'Fiscal Forecasts'!G$37</f>
        <v>0.16700000000000001</v>
      </c>
      <c r="H227" s="39">
        <f>'Fiscal Forecasts'!H$37</f>
        <v>0.21299999999999999</v>
      </c>
      <c r="I227" s="39">
        <f>'Fiscal Forecasts'!I$37</f>
        <v>0.24</v>
      </c>
      <c r="J227" s="39">
        <f>'Fiscal Forecasts'!J$37</f>
        <v>0.25600000000000001</v>
      </c>
      <c r="K227" s="8">
        <f>J$227*Exogenous!R$32/Exogenous!Q$32</f>
        <v>0.24702803738317758</v>
      </c>
      <c r="L227" s="8">
        <f>K$227*Exogenous!S$32/Exogenous!R$32</f>
        <v>0.24284112149532713</v>
      </c>
      <c r="M227" s="8">
        <f>L$227*Exogenous!T$32/Exogenous!S$32</f>
        <v>0.2446355140186916</v>
      </c>
      <c r="N227" s="8">
        <f>M$227*Exogenous!U$32/Exogenous!T$32</f>
        <v>0.24583177570093462</v>
      </c>
      <c r="O227" s="8">
        <f>N$227*Exogenous!V$32/Exogenous!U$32</f>
        <v>0.24702803738317761</v>
      </c>
      <c r="P227" s="8">
        <f>O$227*Exogenous!W$32/Exogenous!V$32</f>
        <v>0.24762616822429909</v>
      </c>
      <c r="Q227" s="8">
        <f>P$227*Exogenous!X$32/Exogenous!W$32</f>
        <v>0.2446355140186916</v>
      </c>
      <c r="R227" s="8">
        <f>Q$227*Exogenous!Y$32/Exogenous!X$32</f>
        <v>0.23506542056074772</v>
      </c>
      <c r="S227" s="8">
        <f>R$227*Exogenous!Z$32/Exogenous!Y$32</f>
        <v>0.2260934579439253</v>
      </c>
      <c r="T227" s="8">
        <f>S$227*Exogenous!AA$32/Exogenous!Z$32</f>
        <v>0.21592523364485985</v>
      </c>
    </row>
    <row r="228" spans="1:20" ht="15" x14ac:dyDescent="0.25">
      <c r="A228" s="2"/>
      <c r="B228" s="4"/>
      <c r="D228" s="40"/>
      <c r="E228" s="40"/>
      <c r="F228" s="39"/>
      <c r="G228" s="39"/>
      <c r="H228" s="39"/>
      <c r="I228" s="39"/>
      <c r="J228" s="39"/>
      <c r="K228" s="8"/>
      <c r="L228" s="8"/>
      <c r="M228" s="8"/>
      <c r="N228" s="8"/>
      <c r="O228" s="8"/>
      <c r="P228" s="8"/>
      <c r="Q228" s="8"/>
      <c r="R228" s="8"/>
      <c r="S228" s="8"/>
      <c r="T228" s="8"/>
    </row>
    <row r="229" spans="1:20" x14ac:dyDescent="0.2">
      <c r="A229" s="19" t="s">
        <v>520</v>
      </c>
    </row>
    <row r="230" spans="1:20" x14ac:dyDescent="0.2">
      <c r="A230" s="1" t="s">
        <v>307</v>
      </c>
      <c r="B230" s="4" t="str">
        <f>$B$38</f>
        <v>From Fiscal</v>
      </c>
      <c r="D230" s="15">
        <f>'Fiscal Forecasts'!D$55</f>
        <v>15.058</v>
      </c>
      <c r="E230" s="15">
        <f>'Fiscal Forecasts'!E$55</f>
        <v>15.625999999999999</v>
      </c>
      <c r="F230" s="16">
        <f ca="1">'Fiscal Forecasts'!F$55 +IF(OFFSET(Assumptions!$B$57,0,$C$1)="Yes",Allocate!C$15 +IF($C$2="Yes",Allocate!$B$15*'Fiscal Forecast Adjuster'!C$26/1000,0),0)</f>
        <v>16.189</v>
      </c>
      <c r="G230" s="16">
        <f ca="1">'Fiscal Forecasts'!G$55 +IF(OFFSET(Assumptions!$B$57,0,$C$1)="Yes",Allocate!D$15 +IF($C$2="Yes",Allocate!$B$15*'Fiscal Forecast Adjuster'!D$26/1000,0),0)</f>
        <v>17.12</v>
      </c>
      <c r="H230" s="16">
        <f ca="1">'Fiscal Forecasts'!H$55 +IF(OFFSET(Assumptions!$B$57,0,$C$1)="Yes",Allocate!E$15 +IF($C$2="Yes",Allocate!$B$15*'Fiscal Forecast Adjuster'!E$26/1000,0),0)</f>
        <v>17.225000000000001</v>
      </c>
      <c r="I230" s="16">
        <f ca="1">'Fiscal Forecasts'!I$55 +IF(OFFSET(Assumptions!$B$57,0,$C$1)="Yes",Allocate!F$15 +IF($C$2="Yes",Allocate!$B$15*'Fiscal Forecast Adjuster'!F$26/1000,0),0)</f>
        <v>17.234000000000002</v>
      </c>
      <c r="J230" s="16">
        <f ca="1">'Fiscal Forecasts'!J$55 +IF(OFFSET(Assumptions!$B$57,0,$C$1)="Yes",Allocate!G$15 +IF($C$2="Yes",Allocate!$B$15*'Fiscal Forecast Adjuster'!G$26/1000,0),0)</f>
        <v>17.193000000000001</v>
      </c>
      <c r="K230" s="7">
        <f ca="1">SUM(J$230,IF(OFFSET(Assumptions!$B$57,0,$C$1)="Yes",Allocate!$B$15,0)*SUM(K$220,K$223))</f>
        <v>17.193000000000001</v>
      </c>
      <c r="L230" s="7">
        <f ca="1">SUM(K$230,IF(OFFSET(Assumptions!$B$57,0,$C$1)="Yes",Allocate!$B$15,0)*SUM(L$220,L$223))</f>
        <v>17.193000000000001</v>
      </c>
      <c r="M230" s="7">
        <f ca="1">SUM(L$230,IF(OFFSET(Assumptions!$B$57,0,$C$1)="Yes",Allocate!$B$15,0)*SUM(M$220,M$223))</f>
        <v>17.193000000000001</v>
      </c>
      <c r="N230" s="7">
        <f ca="1">SUM(M$230,IF(OFFSET(Assumptions!$B$57,0,$C$1)="Yes",Allocate!$B$15,0)*SUM(N$220,N$223))</f>
        <v>17.193000000000001</v>
      </c>
      <c r="O230" s="7">
        <f ca="1">SUM(N$230,IF(OFFSET(Assumptions!$B$57,0,$C$1)="Yes",Allocate!$B$15,0)*SUM(O$220,O$223))</f>
        <v>17.193000000000001</v>
      </c>
      <c r="P230" s="7">
        <f ca="1">SUM(O$230,IF(OFFSET(Assumptions!$B$57,0,$C$1)="Yes",Allocate!$B$15,0)*SUM(P$220,P$223))</f>
        <v>17.193000000000001</v>
      </c>
      <c r="Q230" s="7">
        <f ca="1">SUM(P$230,IF(OFFSET(Assumptions!$B$57,0,$C$1)="Yes",Allocate!$B$15,0)*SUM(Q$220,Q$223))</f>
        <v>17.193000000000001</v>
      </c>
      <c r="R230" s="7">
        <f ca="1">SUM(Q$230,IF(OFFSET(Assumptions!$B$57,0,$C$1)="Yes",Allocate!$B$15,0)*SUM(R$220,R$223))</f>
        <v>17.193000000000001</v>
      </c>
      <c r="S230" s="7">
        <f ca="1">SUM(R$230,IF(OFFSET(Assumptions!$B$57,0,$C$1)="Yes",Allocate!$B$15,0)*SUM(S$220,S$223))</f>
        <v>17.193000000000001</v>
      </c>
      <c r="T230" s="7">
        <f ca="1">SUM(S$230,IF(OFFSET(Assumptions!$B$57,0,$C$1)="Yes",Allocate!$B$15,0)*SUM(T$220,T$223))</f>
        <v>17.193000000000001</v>
      </c>
    </row>
    <row r="231" spans="1:20" x14ac:dyDescent="0.2">
      <c r="A231" s="1" t="s">
        <v>279</v>
      </c>
      <c r="B231" s="4" t="str">
        <f>$B$38</f>
        <v>From Fiscal</v>
      </c>
      <c r="D231" s="15">
        <f>'Fiscal Forecasts'!D$195</f>
        <v>12.922000000000001</v>
      </c>
      <c r="E231" s="15">
        <f>'Fiscal Forecasts'!E$195</f>
        <v>13.347</v>
      </c>
      <c r="F231" s="16">
        <f>'Fiscal Forecasts'!F$195</f>
        <v>14.004</v>
      </c>
      <c r="G231" s="16">
        <f>'Fiscal Forecasts'!G$195</f>
        <v>14.398</v>
      </c>
      <c r="H231" s="16">
        <f>'Fiscal Forecasts'!H$195</f>
        <v>14.458</v>
      </c>
      <c r="I231" s="16">
        <f>'Fiscal Forecasts'!I$195</f>
        <v>14.465</v>
      </c>
      <c r="J231" s="16">
        <f>'Fiscal Forecasts'!J$195</f>
        <v>14.413</v>
      </c>
      <c r="K231" s="7">
        <f ca="1">IF(K$6=OFFSET(Assumptions!$B$8,0,$C$1),AVERAGE(H$231/H$230,I$231/I$230,J$231/J$230),J$231/J$230)*K$230</f>
        <v>14.424909312288088</v>
      </c>
      <c r="L231" s="7">
        <f ca="1">IF(L$6=OFFSET(Assumptions!$B$8,0,$C$1),AVERAGE(I$231/I$230,J$231/J$230,K$231/K$230),K$231/K$230)*L$230</f>
        <v>14.424909312288088</v>
      </c>
      <c r="M231" s="7">
        <f ca="1">IF(M$6=OFFSET(Assumptions!$B$8,0,$C$1),AVERAGE(J$231/J$230,K$231/K$230,L$231/L$230),L$231/L$230)*M$230</f>
        <v>14.424909312288088</v>
      </c>
      <c r="N231" s="7">
        <f ca="1">IF(N$6=OFFSET(Assumptions!$B$8,0,$C$1),AVERAGE(K$231/K$230,L$231/L$230,M$231/M$230),M$231/M$230)*N$230</f>
        <v>14.424909312288088</v>
      </c>
      <c r="O231" s="7">
        <f ca="1">IF(O$6=OFFSET(Assumptions!$B$8,0,$C$1),AVERAGE(L$231/L$230,M$231/M$230,N$231/N$230),N$231/N$230)*O$230</f>
        <v>14.424909312288088</v>
      </c>
      <c r="P231" s="7">
        <f ca="1">IF(P$6=OFFSET(Assumptions!$B$8,0,$C$1),AVERAGE(M$231/M$230,N$231/N$230,O$231/O$230),O$231/O$230)*P$230</f>
        <v>14.424909312288088</v>
      </c>
      <c r="Q231" s="7">
        <f ca="1">IF(Q$6=OFFSET(Assumptions!$B$8,0,$C$1),AVERAGE(N$231/N$230,O$231/O$230,P$231/P$230),P$231/P$230)*Q$230</f>
        <v>14.424909312288088</v>
      </c>
      <c r="R231" s="7">
        <f ca="1">IF(R$6=OFFSET(Assumptions!$B$8,0,$C$1),AVERAGE(O$231/O$230,P$231/P$230,Q$231/Q$230),Q$231/Q$230)*R$230</f>
        <v>14.424909312288088</v>
      </c>
      <c r="S231" s="7">
        <f ca="1">IF(S$6=OFFSET(Assumptions!$B$8,0,$C$1),AVERAGE(P$231/P$230,Q$231/Q$230,R$231/R$230),R$231/R$230)*S$230</f>
        <v>14.424909312288088</v>
      </c>
      <c r="T231" s="7">
        <f ca="1">IF(T$6=OFFSET(Assumptions!$B$8,0,$C$1),AVERAGE(Q$231/Q$230,R$231/R$230,S$231/S$230),S$231/S$230)*T$230</f>
        <v>14.424909312288088</v>
      </c>
    </row>
    <row r="232" spans="1:20" x14ac:dyDescent="0.2">
      <c r="A232" s="1" t="s">
        <v>507</v>
      </c>
      <c r="B232" s="4" t="str">
        <f>$B$38</f>
        <v>From Fiscal</v>
      </c>
      <c r="D232" s="15">
        <f>'Fiscal Forecasts'!D$38-SUM(D$230:D$231)</f>
        <v>-13.284000000000001</v>
      </c>
      <c r="E232" s="15">
        <f>'Fiscal Forecasts'!E$38-SUM(E$230:E$231)</f>
        <v>-13.812999999999999</v>
      </c>
      <c r="F232" s="16">
        <f ca="1">'Fiscal Forecasts'!F$38-SUM(F$230:F$231) +IF(OFFSET(Assumptions!$B$57,0,$C$1)="Yes",Allocate!C$15 +IF($C$2="Yes",Allocate!$B$15*'Fiscal Forecast Adjuster'!C$26/1000,0),0)</f>
        <v>-14.470999999999998</v>
      </c>
      <c r="G232" s="16">
        <f ca="1">'Fiscal Forecasts'!G$38-SUM(G$230:G$231) +IF(OFFSET(Assumptions!$B$57,0,$C$1)="Yes",Allocate!D$15 +IF($C$2="Yes",Allocate!$B$15*'Fiscal Forecast Adjuster'!D$26/1000,0),0)</f>
        <v>-15.086000000000002</v>
      </c>
      <c r="H232" s="16">
        <f ca="1">'Fiscal Forecasts'!H$38-SUM(H$230:H$231) +IF(OFFSET(Assumptions!$B$57,0,$C$1)="Yes",Allocate!E$15 +IF($C$2="Yes",Allocate!$B$15*'Fiscal Forecast Adjuster'!E$26/1000,0),0)</f>
        <v>-15.233999999999998</v>
      </c>
      <c r="I232" s="16">
        <f ca="1">'Fiscal Forecasts'!I$38-SUM(I$230:I$231) +IF(OFFSET(Assumptions!$B$57,0,$C$1)="Yes",Allocate!F$15 +IF($C$2="Yes",Allocate!$B$15*'Fiscal Forecast Adjuster'!F$26/1000,0),0)</f>
        <v>-15.218</v>
      </c>
      <c r="J232" s="16">
        <f ca="1">'Fiscal Forecasts'!J$38-SUM(J$230:J$231) +IF(OFFSET(Assumptions!$B$57,0,$C$1)="Yes",Allocate!G$15 +IF($C$2="Yes",Allocate!$B$15*'Fiscal Forecast Adjuster'!G$26/1000,0),0)</f>
        <v>-15.21</v>
      </c>
      <c r="K232" s="7">
        <f ca="1">IF(K$6=OFFSET(Assumptions!$B$8,0,$C$1),AVERAGE(H$232/H$230,I$232/I$230,J$232/J$230),J$232/J$230)*K$230</f>
        <v>-15.199164970200162</v>
      </c>
      <c r="L232" s="7">
        <f ca="1">IF(L$6=OFFSET(Assumptions!$B$8,0,$C$1),AVERAGE(I$232/I$230,J$232/J$230,K$232/K$230),K$232/K$230)*L$230</f>
        <v>-15.199164970200162</v>
      </c>
      <c r="M232" s="7">
        <f ca="1">IF(M$6=OFFSET(Assumptions!$B$8,0,$C$1),AVERAGE(J$232/J$230,K$232/K$230,L$232/L$230),L$232/L$230)*M$230</f>
        <v>-15.199164970200162</v>
      </c>
      <c r="N232" s="7">
        <f ca="1">IF(N$6=OFFSET(Assumptions!$B$8,0,$C$1),AVERAGE(K$232/K$230,L$232/L$230,M$232/M$230),M$232/M$230)*N$230</f>
        <v>-15.199164970200162</v>
      </c>
      <c r="O232" s="7">
        <f ca="1">IF(O$6=OFFSET(Assumptions!$B$8,0,$C$1),AVERAGE(L$232/L$230,M$232/M$230,N$232/N$230),N$232/N$230)*O$230</f>
        <v>-15.199164970200162</v>
      </c>
      <c r="P232" s="7">
        <f ca="1">IF(P$6=OFFSET(Assumptions!$B$8,0,$C$1),AVERAGE(M$232/M$230,N$232/N$230,O$232/O$230),O$232/O$230)*P$230</f>
        <v>-15.199164970200162</v>
      </c>
      <c r="Q232" s="7">
        <f ca="1">IF(Q$6=OFFSET(Assumptions!$B$8,0,$C$1),AVERAGE(N$232/N$230,O$232/O$230,P$232/P$230),P$232/P$230)*Q$230</f>
        <v>-15.199164970200162</v>
      </c>
      <c r="R232" s="7">
        <f ca="1">IF(R$6=OFFSET(Assumptions!$B$8,0,$C$1),AVERAGE(O$232/O$230,P$232/P$230,Q$232/Q$230),Q$232/Q$230)*R$230</f>
        <v>-15.199164970200162</v>
      </c>
      <c r="S232" s="7">
        <f ca="1">IF(S$6=OFFSET(Assumptions!$B$8,0,$C$1),AVERAGE(P$232/P$230,Q$232/Q$230,R$232/R$230),R$232/R$230)*S$230</f>
        <v>-15.199164970200162</v>
      </c>
      <c r="T232" s="7">
        <f ca="1">IF(T$6=OFFSET(Assumptions!$B$8,0,$C$1),AVERAGE(Q$232/Q$230,R$232/R$230,S$232/S$230),S$232/S$230)*T$230</f>
        <v>-15.199164970200162</v>
      </c>
    </row>
    <row r="233" spans="1:20" ht="15" x14ac:dyDescent="0.25">
      <c r="A233" s="2" t="s">
        <v>521</v>
      </c>
      <c r="D233" s="35">
        <f t="shared" ref="D233:T233" si="111">SUM(D$230:D$232)</f>
        <v>14.696</v>
      </c>
      <c r="E233" s="35">
        <f t="shared" si="111"/>
        <v>15.16</v>
      </c>
      <c r="F233" s="34">
        <f t="shared" ca="1" si="111"/>
        <v>15.722</v>
      </c>
      <c r="G233" s="34">
        <f t="shared" ca="1" si="111"/>
        <v>16.431999999999999</v>
      </c>
      <c r="H233" s="34">
        <f t="shared" ca="1" si="111"/>
        <v>16.449000000000002</v>
      </c>
      <c r="I233" s="34">
        <f t="shared" ca="1" si="111"/>
        <v>16.481000000000002</v>
      </c>
      <c r="J233" s="34">
        <f t="shared" ca="1" si="111"/>
        <v>16.396000000000001</v>
      </c>
      <c r="K233" s="38">
        <f t="shared" ca="1" si="111"/>
        <v>16.41874434208793</v>
      </c>
      <c r="L233" s="38">
        <f t="shared" ca="1" si="111"/>
        <v>16.41874434208793</v>
      </c>
      <c r="M233" s="38">
        <f t="shared" ca="1" si="111"/>
        <v>16.41874434208793</v>
      </c>
      <c r="N233" s="38">
        <f t="shared" ca="1" si="111"/>
        <v>16.41874434208793</v>
      </c>
      <c r="O233" s="38">
        <f t="shared" ca="1" si="111"/>
        <v>16.41874434208793</v>
      </c>
      <c r="P233" s="38">
        <f t="shared" ca="1" si="111"/>
        <v>16.41874434208793</v>
      </c>
      <c r="Q233" s="38">
        <f t="shared" ca="1" si="111"/>
        <v>16.41874434208793</v>
      </c>
      <c r="R233" s="38">
        <f t="shared" ca="1" si="111"/>
        <v>16.41874434208793</v>
      </c>
      <c r="S233" s="38">
        <f t="shared" ca="1" si="111"/>
        <v>16.41874434208793</v>
      </c>
      <c r="T233" s="38">
        <f t="shared" ca="1" si="111"/>
        <v>16.41874434208793</v>
      </c>
    </row>
    <row r="234" spans="1:20" ht="15" x14ac:dyDescent="0.25">
      <c r="A234" s="2"/>
      <c r="D234" s="47"/>
      <c r="E234" s="47"/>
      <c r="F234" s="48"/>
      <c r="G234" s="48"/>
      <c r="H234" s="48"/>
      <c r="I234" s="48"/>
      <c r="J234" s="48"/>
      <c r="K234" s="49"/>
      <c r="L234" s="49"/>
      <c r="M234" s="49"/>
      <c r="N234" s="49"/>
      <c r="O234" s="49"/>
      <c r="P234" s="49"/>
      <c r="Q234" s="49"/>
      <c r="R234" s="49"/>
      <c r="S234" s="49"/>
      <c r="T234" s="49"/>
    </row>
    <row r="235" spans="1:20" x14ac:dyDescent="0.2">
      <c r="A235" s="19" t="s">
        <v>522</v>
      </c>
    </row>
    <row r="236" spans="1:20" x14ac:dyDescent="0.2">
      <c r="A236" s="1" t="s">
        <v>301</v>
      </c>
      <c r="D236" s="15">
        <f t="shared" ref="D236:T236" si="112">D$165</f>
        <v>0.51100000000000001</v>
      </c>
      <c r="E236" s="15">
        <f t="shared" si="112"/>
        <v>0.48599999999999999</v>
      </c>
      <c r="F236" s="16">
        <f>F$165 +IF($C$2="Yes",'Fiscal Forecast Adjuster'!C$21/1000,0)</f>
        <v>0.47699999999999998</v>
      </c>
      <c r="G236" s="16">
        <f>G$165 +IF($C$2="Yes",'Fiscal Forecast Adjuster'!D$21/1000,0)</f>
        <v>0.505</v>
      </c>
      <c r="H236" s="16">
        <f>H$165 +IF($C$2="Yes",'Fiscal Forecast Adjuster'!E$21/1000,0)</f>
        <v>0.51700000000000002</v>
      </c>
      <c r="I236" s="16">
        <f>I$165 +IF($C$2="Yes",'Fiscal Forecast Adjuster'!F$21/1000,0)</f>
        <v>0.51900000000000002</v>
      </c>
      <c r="J236" s="16">
        <f>J$165 +IF($C$2="Yes",'Fiscal Forecast Adjuster'!G$21/1000,0)</f>
        <v>0.52600000000000002</v>
      </c>
      <c r="K236" s="7">
        <f t="shared" ca="1" si="112"/>
        <v>0.54231663245195649</v>
      </c>
      <c r="L236" s="7">
        <f t="shared" ca="1" si="112"/>
        <v>0.55936019936259529</v>
      </c>
      <c r="M236" s="7">
        <f t="shared" ca="1" si="112"/>
        <v>0.57678679003081523</v>
      </c>
      <c r="N236" s="7">
        <f t="shared" ca="1" si="112"/>
        <v>0.59477569023127863</v>
      </c>
      <c r="O236" s="7">
        <f t="shared" ca="1" si="112"/>
        <v>0.61301657931610543</v>
      </c>
      <c r="P236" s="7">
        <f t="shared" ca="1" si="112"/>
        <v>0.63150326430209358</v>
      </c>
      <c r="Q236" s="7">
        <f t="shared" ca="1" si="112"/>
        <v>0.65029976301619041</v>
      </c>
      <c r="R236" s="7">
        <f t="shared" ca="1" si="112"/>
        <v>0.66923279420292581</v>
      </c>
      <c r="S236" s="7">
        <f t="shared" ca="1" si="112"/>
        <v>0.68850336701352055</v>
      </c>
      <c r="T236" s="7">
        <f t="shared" ca="1" si="112"/>
        <v>0.70814083689375062</v>
      </c>
    </row>
    <row r="237" spans="1:20" x14ac:dyDescent="0.2">
      <c r="A237" s="1" t="s">
        <v>523</v>
      </c>
      <c r="D237" s="15">
        <f t="shared" ref="D237:T237" si="113">SUM(D$372,D$375)</f>
        <v>0.871</v>
      </c>
      <c r="E237" s="15">
        <f t="shared" si="113"/>
        <v>0.79900000000000004</v>
      </c>
      <c r="F237" s="16">
        <f t="shared" si="113"/>
        <v>0.60000000000000009</v>
      </c>
      <c r="G237" s="16">
        <f t="shared" si="113"/>
        <v>0.77</v>
      </c>
      <c r="H237" s="16">
        <f t="shared" si="113"/>
        <v>0.76900000000000002</v>
      </c>
      <c r="I237" s="16">
        <f t="shared" si="113"/>
        <v>0.77400000000000002</v>
      </c>
      <c r="J237" s="16">
        <f t="shared" si="113"/>
        <v>0.78300000000000003</v>
      </c>
      <c r="K237" s="7">
        <f t="shared" si="113"/>
        <v>0.66800000000000004</v>
      </c>
      <c r="L237" s="7">
        <f t="shared" si="113"/>
        <v>0.68799999999999994</v>
      </c>
      <c r="M237" s="7">
        <f t="shared" si="113"/>
        <v>0.70699999999999996</v>
      </c>
      <c r="N237" s="7">
        <f t="shared" si="113"/>
        <v>0.72699999999999998</v>
      </c>
      <c r="O237" s="7">
        <f t="shared" si="113"/>
        <v>0.74399999999999999</v>
      </c>
      <c r="P237" s="7">
        <f t="shared" si="113"/>
        <v>0.76400000000000001</v>
      </c>
      <c r="Q237" s="7">
        <f t="shared" si="113"/>
        <v>0.78400000000000003</v>
      </c>
      <c r="R237" s="7">
        <f t="shared" si="113"/>
        <v>0.8</v>
      </c>
      <c r="S237" s="7">
        <f t="shared" si="113"/>
        <v>0.81599999999999995</v>
      </c>
      <c r="T237" s="7">
        <f t="shared" si="113"/>
        <v>0.83299999999999996</v>
      </c>
    </row>
    <row r="238" spans="1:20" x14ac:dyDescent="0.2">
      <c r="A238" s="1" t="s">
        <v>526</v>
      </c>
      <c r="B238" s="4" t="str">
        <f>$B$38</f>
        <v>From Fiscal</v>
      </c>
      <c r="D238" s="15">
        <f>'Fiscal Forecasts'!D$56-SUM(D$236:D$237)</f>
        <v>11.497</v>
      </c>
      <c r="E238" s="15">
        <f>'Fiscal Forecasts'!E$56-SUM(E$236:E$237)</f>
        <v>11.872999999999999</v>
      </c>
      <c r="F238" s="16">
        <f ca="1">'Fiscal Forecasts'!F$56-SUM(F$236:F$237) +IF($C$2="Yes",'Fiscal Forecast Adjuster'!C$21/1000,0) +IF(OFFSET(Assumptions!$B$57,0,$C$1)="Yes",Allocate!C$16 +IF($C$2="Yes",Allocate!$B$16*'Fiscal Forecast Adjuster'!C$26/1000,0),0)</f>
        <v>12.239000000000001</v>
      </c>
      <c r="G238" s="16">
        <f ca="1">'Fiscal Forecasts'!G$56-SUM(G$236:G$237) +IF($C$2="Yes",'Fiscal Forecast Adjuster'!D$21/1000,0) +IF(OFFSET(Assumptions!$B$57,0,$C$1)="Yes",Allocate!D$16 +IF($C$2="Yes",Allocate!$B$16*'Fiscal Forecast Adjuster'!D$26/1000,0),0)</f>
        <v>12.757</v>
      </c>
      <c r="H238" s="16">
        <f ca="1">'Fiscal Forecasts'!H$56-SUM(H$236:H$237) +IF($C$2="Yes",'Fiscal Forecast Adjuster'!E$21/1000,0) +IF(OFFSET(Assumptions!$B$57,0,$C$1)="Yes",Allocate!E$16 +IF($C$2="Yes",Allocate!$B$16*'Fiscal Forecast Adjuster'!E$26/1000,0),0)</f>
        <v>12.874000000000001</v>
      </c>
      <c r="I238" s="16">
        <f ca="1">'Fiscal Forecasts'!I$56-SUM(I$236:I$237) +IF($C$2="Yes",'Fiscal Forecast Adjuster'!F$21/1000,0) +IF(OFFSET(Assumptions!$B$57,0,$C$1)="Yes",Allocate!F$16 +IF($C$2="Yes",Allocate!$B$16*'Fiscal Forecast Adjuster'!F$26/1000,0),0)</f>
        <v>12.917000000000002</v>
      </c>
      <c r="J238" s="16">
        <f ca="1">'Fiscal Forecasts'!J$56-SUM(J$236:J$237) +IF($C$2="Yes",'Fiscal Forecast Adjuster'!G$21/1000,0) +IF(OFFSET(Assumptions!$B$57,0,$C$1)="Yes",Allocate!G$16 +IF($C$2="Yes",Allocate!$B$16*'Fiscal Forecast Adjuster'!G$26/1000,0),0)</f>
        <v>13.120999999999999</v>
      </c>
      <c r="K238" s="7">
        <f ca="1">SUM(J$238,IF(OFFSET(Assumptions!$B$57,0,$C$1)="Yes",Allocate!$B$16,0)*SUM(K$220,K$223))</f>
        <v>13.120999999999999</v>
      </c>
      <c r="L238" s="7">
        <f ca="1">SUM(K$238,IF(OFFSET(Assumptions!$B$57,0,$C$1)="Yes",Allocate!$B$16,0)*SUM(L$220,L$223))</f>
        <v>13.120999999999999</v>
      </c>
      <c r="M238" s="7">
        <f ca="1">SUM(L$238,IF(OFFSET(Assumptions!$B$57,0,$C$1)="Yes",Allocate!$B$16,0)*SUM(M$220,M$223))</f>
        <v>13.120999999999999</v>
      </c>
      <c r="N238" s="7">
        <f ca="1">SUM(M$238,IF(OFFSET(Assumptions!$B$57,0,$C$1)="Yes",Allocate!$B$16,0)*SUM(N$220,N$223))</f>
        <v>13.120999999999999</v>
      </c>
      <c r="O238" s="7">
        <f ca="1">SUM(N$238,IF(OFFSET(Assumptions!$B$57,0,$C$1)="Yes",Allocate!$B$16,0)*SUM(O$220,O$223))</f>
        <v>13.120999999999999</v>
      </c>
      <c r="P238" s="7">
        <f ca="1">SUM(O$238,IF(OFFSET(Assumptions!$B$57,0,$C$1)="Yes",Allocate!$B$16,0)*SUM(P$220,P$223))</f>
        <v>13.120999999999999</v>
      </c>
      <c r="Q238" s="7">
        <f ca="1">SUM(P$238,IF(OFFSET(Assumptions!$B$57,0,$C$1)="Yes",Allocate!$B$16,0)*SUM(Q$220,Q$223))</f>
        <v>13.120999999999999</v>
      </c>
      <c r="R238" s="7">
        <f ca="1">SUM(Q$238,IF(OFFSET(Assumptions!$B$57,0,$C$1)="Yes",Allocate!$B$16,0)*SUM(R$220,R$223))</f>
        <v>13.120999999999999</v>
      </c>
      <c r="S238" s="7">
        <f ca="1">SUM(R$238,IF(OFFSET(Assumptions!$B$57,0,$C$1)="Yes",Allocate!$B$16,0)*SUM(S$220,S$223))</f>
        <v>13.120999999999999</v>
      </c>
      <c r="T238" s="7">
        <f ca="1">SUM(S$238,IF(OFFSET(Assumptions!$B$57,0,$C$1)="Yes",Allocate!$B$16,0)*SUM(T$220,T$223))</f>
        <v>13.120999999999999</v>
      </c>
    </row>
    <row r="239" spans="1:20" ht="15" x14ac:dyDescent="0.25">
      <c r="A239" s="2" t="s">
        <v>527</v>
      </c>
      <c r="D239" s="35">
        <f t="shared" ref="D239:T239" si="114">SUM(D$236:D$238)</f>
        <v>12.879</v>
      </c>
      <c r="E239" s="35">
        <f t="shared" si="114"/>
        <v>13.157999999999999</v>
      </c>
      <c r="F239" s="34">
        <f t="shared" ca="1" si="114"/>
        <v>13.316000000000001</v>
      </c>
      <c r="G239" s="34">
        <f t="shared" ca="1" si="114"/>
        <v>14.032</v>
      </c>
      <c r="H239" s="34">
        <f t="shared" ca="1" si="114"/>
        <v>14.16</v>
      </c>
      <c r="I239" s="34">
        <f t="shared" ca="1" si="114"/>
        <v>14.21</v>
      </c>
      <c r="J239" s="34">
        <f t="shared" ca="1" si="114"/>
        <v>14.43</v>
      </c>
      <c r="K239" s="38">
        <f t="shared" ca="1" si="114"/>
        <v>14.331316632451955</v>
      </c>
      <c r="L239" s="38">
        <f t="shared" ca="1" si="114"/>
        <v>14.368360199362595</v>
      </c>
      <c r="M239" s="38">
        <f t="shared" ca="1" si="114"/>
        <v>14.404786790030814</v>
      </c>
      <c r="N239" s="38">
        <f t="shared" ca="1" si="114"/>
        <v>14.442775690231278</v>
      </c>
      <c r="O239" s="38">
        <f t="shared" ca="1" si="114"/>
        <v>14.478016579316105</v>
      </c>
      <c r="P239" s="38">
        <f t="shared" ca="1" si="114"/>
        <v>14.516503264302091</v>
      </c>
      <c r="Q239" s="38">
        <f t="shared" ca="1" si="114"/>
        <v>14.555299763016189</v>
      </c>
      <c r="R239" s="38">
        <f t="shared" ca="1" si="114"/>
        <v>14.590232794202924</v>
      </c>
      <c r="S239" s="38">
        <f t="shared" ca="1" si="114"/>
        <v>14.625503367013518</v>
      </c>
      <c r="T239" s="38">
        <f t="shared" ca="1" si="114"/>
        <v>14.66214083689375</v>
      </c>
    </row>
    <row r="240" spans="1:20" x14ac:dyDescent="0.2">
      <c r="A240" s="1" t="s">
        <v>279</v>
      </c>
      <c r="B240" s="4" t="str">
        <f>$B$38</f>
        <v>From Fiscal</v>
      </c>
      <c r="D240" s="15">
        <f>'Fiscal Forecasts'!D$196</f>
        <v>9.8529999999999998</v>
      </c>
      <c r="E240" s="15">
        <f>'Fiscal Forecasts'!E$196</f>
        <v>10.16</v>
      </c>
      <c r="F240" s="16">
        <f>'Fiscal Forecasts'!F$196</f>
        <v>10.211</v>
      </c>
      <c r="G240" s="16">
        <f>'Fiscal Forecasts'!G$196</f>
        <v>10.601000000000001</v>
      </c>
      <c r="H240" s="16">
        <f>'Fiscal Forecasts'!H$196</f>
        <v>10.64</v>
      </c>
      <c r="I240" s="16">
        <f>'Fiscal Forecasts'!I$196</f>
        <v>10.625999999999999</v>
      </c>
      <c r="J240" s="16">
        <f>'Fiscal Forecasts'!J$196</f>
        <v>10.77</v>
      </c>
      <c r="K240" s="7">
        <f ca="1">IF(K$6=OFFSET(Assumptions!$B$8,0,$C$1),AVERAGE(H$240/H$238,I$240/I$238,J$240/J$238),J$240/J$238)*K$238</f>
        <v>10.802652162748739</v>
      </c>
      <c r="L240" s="7">
        <f ca="1">IF(L$6=OFFSET(Assumptions!$B$8,0,$C$1),AVERAGE(I$240/I$238,J$240/J$238,K$240/K$238),K$240/K$238)*L$238</f>
        <v>10.802652162748739</v>
      </c>
      <c r="M240" s="7">
        <f ca="1">IF(M$6=OFFSET(Assumptions!$B$8,0,$C$1),AVERAGE(J$240/J$238,K$240/K$238,L$240/L$238),L$240/L$238)*M$238</f>
        <v>10.802652162748739</v>
      </c>
      <c r="N240" s="7">
        <f ca="1">IF(N$6=OFFSET(Assumptions!$B$8,0,$C$1),AVERAGE(K$240/K$238,L$240/L$238,M$240/M$238),M$240/M$238)*N$238</f>
        <v>10.802652162748739</v>
      </c>
      <c r="O240" s="7">
        <f ca="1">IF(O$6=OFFSET(Assumptions!$B$8,0,$C$1),AVERAGE(L$240/L$238,M$240/M$238,N$240/N$238),N$240/N$238)*O$238</f>
        <v>10.802652162748739</v>
      </c>
      <c r="P240" s="7">
        <f ca="1">IF(P$6=OFFSET(Assumptions!$B$8,0,$C$1),AVERAGE(M$240/M$238,N$240/N$238,O$240/O$238),O$240/O$238)*P$238</f>
        <v>10.802652162748739</v>
      </c>
      <c r="Q240" s="7">
        <f ca="1">IF(Q$6=OFFSET(Assumptions!$B$8,0,$C$1),AVERAGE(N$240/N$238,O$240/O$238,P$240/P$238),P$240/P$238)*Q$238</f>
        <v>10.802652162748739</v>
      </c>
      <c r="R240" s="7">
        <f ca="1">IF(R$6=OFFSET(Assumptions!$B$8,0,$C$1),AVERAGE(O$240/O$238,P$240/P$238,Q$240/Q$238),Q$240/Q$238)*R$238</f>
        <v>10.802652162748739</v>
      </c>
      <c r="S240" s="7">
        <f ca="1">IF(S$6=OFFSET(Assumptions!$B$8,0,$C$1),AVERAGE(P$240/P$238,Q$240/Q$238,R$240/R$238),R$240/R$238)*S$238</f>
        <v>10.802652162748739</v>
      </c>
      <c r="T240" s="7">
        <f ca="1">IF(T$6=OFFSET(Assumptions!$B$8,0,$C$1),AVERAGE(Q$240/Q$238,R$240/R$238,S$240/S$238),S$240/S$238)*T$238</f>
        <v>10.802652162748739</v>
      </c>
    </row>
    <row r="241" spans="1:20" x14ac:dyDescent="0.2">
      <c r="A241" s="1" t="s">
        <v>507</v>
      </c>
      <c r="B241" s="4" t="str">
        <f>$B$38</f>
        <v>From Fiscal</v>
      </c>
      <c r="D241" s="15">
        <f>'Fiscal Forecasts'!D$39-SUM(D$239:D$240)</f>
        <v>-9.1949999999999985</v>
      </c>
      <c r="E241" s="15">
        <f>'Fiscal Forecasts'!E$39-SUM(E$239:E$240)</f>
        <v>-9.5089999999999986</v>
      </c>
      <c r="F241" s="16">
        <f ca="1">'Fiscal Forecasts'!F$39-SUM(F$239:F$240) +IF($C$2="Yes",'Fiscal Forecast Adjuster'!C$21/1000,0) +IF(OFFSET(Assumptions!$B$57,0,$C$1)="Yes",Allocate!C$16 +IF($C$2="Yes",Allocate!$B$16*'Fiscal Forecast Adjuster'!C$26/1000,0),0)</f>
        <v>-9.5160000000000018</v>
      </c>
      <c r="G241" s="16">
        <f ca="1">'Fiscal Forecasts'!G$39-SUM(G$239:G$240) +IF($C$2="Yes",'Fiscal Forecast Adjuster'!D$21/1000,0) +IF(OFFSET(Assumptions!$B$57,0,$C$1)="Yes",Allocate!D$16 +IF($C$2="Yes",Allocate!$B$16*'Fiscal Forecast Adjuster'!D$26/1000,0),0)</f>
        <v>-9.849000000000002</v>
      </c>
      <c r="H241" s="16">
        <f ca="1">'Fiscal Forecasts'!H$39-SUM(H$239:H$240) +IF($C$2="Yes",'Fiscal Forecast Adjuster'!E$21/1000,0) +IF(OFFSET(Assumptions!$B$57,0,$C$1)="Yes",Allocate!E$16 +IF($C$2="Yes",Allocate!$B$16*'Fiscal Forecast Adjuster'!E$26/1000,0),0)</f>
        <v>-9.89</v>
      </c>
      <c r="I241" s="16">
        <f ca="1">'Fiscal Forecasts'!I$39-SUM(I$239:I$240) +IF($C$2="Yes",'Fiscal Forecast Adjuster'!F$21/1000,0) +IF(OFFSET(Assumptions!$B$57,0,$C$1)="Yes",Allocate!F$16 +IF($C$2="Yes",Allocate!$B$16*'Fiscal Forecast Adjuster'!F$26/1000,0),0)</f>
        <v>-9.8809999999999985</v>
      </c>
      <c r="J241" s="16">
        <f ca="1">'Fiscal Forecasts'!J$39-SUM(J$239:J$240) +IF($C$2="Yes",'Fiscal Forecast Adjuster'!G$21/1000,0) +IF(OFFSET(Assumptions!$B$57,0,$C$1)="Yes",Allocate!G$16 +IF($C$2="Yes",Allocate!$B$16*'Fiscal Forecast Adjuster'!G$26/1000,0),0)</f>
        <v>-10.027999999999999</v>
      </c>
      <c r="K241" s="7">
        <f ca="1">IF(K$6=OFFSET(Assumptions!$B$8,0,$C$1),AVERAGE(H$241/H$238,I$241/I$238,J$241/J$238),J$241/J$238)*K$238</f>
        <v>-10.048267043730206</v>
      </c>
      <c r="L241" s="7">
        <f ca="1">IF(L$6=OFFSET(Assumptions!$B$8,0,$C$1),AVERAGE(I$241/I$238,J$241/J$238,K$241/K$238),K$241/K$238)*L$238</f>
        <v>-10.048267043730206</v>
      </c>
      <c r="M241" s="7">
        <f ca="1">IF(M$6=OFFSET(Assumptions!$B$8,0,$C$1),AVERAGE(J$241/J$238,K$241/K$238,L$241/L$238),L$241/L$238)*M$238</f>
        <v>-10.048267043730206</v>
      </c>
      <c r="N241" s="7">
        <f ca="1">IF(N$6=OFFSET(Assumptions!$B$8,0,$C$1),AVERAGE(K$241/K$238,L$241/L$238,M$241/M$238),M$241/M$238)*N$238</f>
        <v>-10.048267043730206</v>
      </c>
      <c r="O241" s="7">
        <f ca="1">IF(O$6=OFFSET(Assumptions!$B$8,0,$C$1),AVERAGE(L$241/L$238,M$241/M$238,N$241/N$238),N$241/N$238)*O$238</f>
        <v>-10.048267043730206</v>
      </c>
      <c r="P241" s="7">
        <f ca="1">IF(P$6=OFFSET(Assumptions!$B$8,0,$C$1),AVERAGE(M$241/M$238,N$241/N$238,O$241/O$238),O$241/O$238)*P$238</f>
        <v>-10.048267043730206</v>
      </c>
      <c r="Q241" s="7">
        <f ca="1">IF(Q$6=OFFSET(Assumptions!$B$8,0,$C$1),AVERAGE(N$241/N$238,O$241/O$238,P$241/P$238),P$241/P$238)*Q$238</f>
        <v>-10.048267043730206</v>
      </c>
      <c r="R241" s="7">
        <f ca="1">IF(R$6=OFFSET(Assumptions!$B$8,0,$C$1),AVERAGE(O$241/O$238,P$241/P$238,Q$241/Q$238),Q$241/Q$238)*R$238</f>
        <v>-10.048267043730206</v>
      </c>
      <c r="S241" s="7">
        <f ca="1">IF(S$6=OFFSET(Assumptions!$B$8,0,$C$1),AVERAGE(P$241/P$238,Q$241/Q$238,R$241/R$238),R$241/R$238)*S$238</f>
        <v>-10.048267043730206</v>
      </c>
      <c r="T241" s="7">
        <f ca="1">IF(T$6=OFFSET(Assumptions!$B$8,0,$C$1),AVERAGE(Q$241/Q$238,R$241/R$238,S$241/S$238),S$241/S$238)*T$238</f>
        <v>-10.048267043730206</v>
      </c>
    </row>
    <row r="242" spans="1:20" ht="15" x14ac:dyDescent="0.25">
      <c r="A242" s="2" t="s">
        <v>528</v>
      </c>
      <c r="D242" s="35">
        <f t="shared" ref="D242:T242" si="115">SUM(D$239:D$241)</f>
        <v>13.537000000000001</v>
      </c>
      <c r="E242" s="35">
        <f t="shared" si="115"/>
        <v>13.808999999999999</v>
      </c>
      <c r="F242" s="34">
        <f t="shared" ca="1" si="115"/>
        <v>14.010999999999999</v>
      </c>
      <c r="G242" s="34">
        <f t="shared" ca="1" si="115"/>
        <v>14.784000000000001</v>
      </c>
      <c r="H242" s="34">
        <f t="shared" ca="1" si="115"/>
        <v>14.91</v>
      </c>
      <c r="I242" s="34">
        <f t="shared" ca="1" si="115"/>
        <v>14.955</v>
      </c>
      <c r="J242" s="34">
        <f t="shared" ca="1" si="115"/>
        <v>15.172000000000001</v>
      </c>
      <c r="K242" s="38">
        <f t="shared" ca="1" si="115"/>
        <v>15.085701751470488</v>
      </c>
      <c r="L242" s="38">
        <f t="shared" ca="1" si="115"/>
        <v>15.122745318381128</v>
      </c>
      <c r="M242" s="38">
        <f t="shared" ca="1" si="115"/>
        <v>15.159171909049348</v>
      </c>
      <c r="N242" s="38">
        <f t="shared" ca="1" si="115"/>
        <v>15.197160809249809</v>
      </c>
      <c r="O242" s="38">
        <f t="shared" ca="1" si="115"/>
        <v>15.232401698334638</v>
      </c>
      <c r="P242" s="38">
        <f t="shared" ca="1" si="115"/>
        <v>15.270888383320624</v>
      </c>
      <c r="Q242" s="38">
        <f t="shared" ca="1" si="115"/>
        <v>15.309684882034723</v>
      </c>
      <c r="R242" s="38">
        <f t="shared" ca="1" si="115"/>
        <v>15.344617913221455</v>
      </c>
      <c r="S242" s="38">
        <f t="shared" ca="1" si="115"/>
        <v>15.379888486032051</v>
      </c>
      <c r="T242" s="38">
        <f t="shared" ca="1" si="115"/>
        <v>15.416525955912284</v>
      </c>
    </row>
    <row r="243" spans="1:20" ht="15" x14ac:dyDescent="0.25">
      <c r="A243" s="2"/>
      <c r="D243" s="47"/>
      <c r="E243" s="47"/>
      <c r="F243" s="48"/>
      <c r="G243" s="48"/>
      <c r="H243" s="48"/>
      <c r="I243" s="48"/>
      <c r="J243" s="48"/>
      <c r="K243" s="49"/>
      <c r="L243" s="49"/>
      <c r="M243" s="49"/>
      <c r="N243" s="49"/>
      <c r="O243" s="49"/>
      <c r="P243" s="49"/>
      <c r="Q243" s="49"/>
      <c r="R243" s="49"/>
      <c r="S243" s="49"/>
      <c r="T243" s="49"/>
    </row>
    <row r="244" spans="1:20" x14ac:dyDescent="0.2">
      <c r="A244" s="19" t="s">
        <v>529</v>
      </c>
    </row>
    <row r="245" spans="1:20" x14ac:dyDescent="0.2">
      <c r="A245" s="1" t="s">
        <v>1315</v>
      </c>
      <c r="D245" s="15">
        <f>D$349</f>
        <v>0.19800000000000001</v>
      </c>
      <c r="E245" s="15">
        <f t="shared" ref="E245:T245" si="116">E$349</f>
        <v>0.13800000000000001</v>
      </c>
      <c r="F245" s="16">
        <f t="shared" si="116"/>
        <v>0.22800000000000001</v>
      </c>
      <c r="G245" s="16">
        <f t="shared" si="116"/>
        <v>0.17799999999999999</v>
      </c>
      <c r="H245" s="16">
        <f t="shared" si="116"/>
        <v>0.185</v>
      </c>
      <c r="I245" s="16">
        <f t="shared" si="116"/>
        <v>0.19600000000000001</v>
      </c>
      <c r="J245" s="16">
        <f t="shared" si="116"/>
        <v>0.20699999999999999</v>
      </c>
      <c r="K245" s="7">
        <f t="shared" ca="1" si="116"/>
        <v>0.18435421134811586</v>
      </c>
      <c r="L245" s="7">
        <f t="shared" ca="1" si="116"/>
        <v>0.20794399704980085</v>
      </c>
      <c r="M245" s="7">
        <f t="shared" ca="1" si="116"/>
        <v>0.23306419068966891</v>
      </c>
      <c r="N245" s="7">
        <f t="shared" ca="1" si="116"/>
        <v>0.25967070026451827</v>
      </c>
      <c r="O245" s="7">
        <f t="shared" ca="1" si="116"/>
        <v>0.28772883174901842</v>
      </c>
      <c r="P245" s="7">
        <f t="shared" ca="1" si="116"/>
        <v>0.3151090483299861</v>
      </c>
      <c r="Q245" s="7">
        <f t="shared" ca="1" si="116"/>
        <v>0.33688417750952238</v>
      </c>
      <c r="R245" s="7">
        <f t="shared" ca="1" si="116"/>
        <v>0.35841635982851355</v>
      </c>
      <c r="S245" s="7">
        <f t="shared" ca="1" si="116"/>
        <v>0.37978381122813876</v>
      </c>
      <c r="T245" s="7">
        <f t="shared" ca="1" si="116"/>
        <v>0.40107068770808307</v>
      </c>
    </row>
    <row r="246" spans="1:20" x14ac:dyDescent="0.2">
      <c r="A246" s="1" t="s">
        <v>304</v>
      </c>
      <c r="B246" s="4"/>
      <c r="D246" s="15">
        <f t="shared" ref="D246:T246" si="117">D$168</f>
        <v>0.51300000000000001</v>
      </c>
      <c r="E246" s="15">
        <f t="shared" si="117"/>
        <v>0.53400000000000003</v>
      </c>
      <c r="F246" s="16">
        <f t="shared" si="117"/>
        <v>0.53900000000000003</v>
      </c>
      <c r="G246" s="16">
        <f t="shared" si="117"/>
        <v>0.64400000000000002</v>
      </c>
      <c r="H246" s="16">
        <f t="shared" si="117"/>
        <v>0.58599999999999997</v>
      </c>
      <c r="I246" s="16">
        <f t="shared" si="117"/>
        <v>0.58599999999999997</v>
      </c>
      <c r="J246" s="16">
        <f t="shared" si="117"/>
        <v>0.58599999999999997</v>
      </c>
      <c r="K246" s="7">
        <f t="shared" ca="1" si="117"/>
        <v>0.67416903119122229</v>
      </c>
      <c r="L246" s="7">
        <f t="shared" ca="1" si="117"/>
        <v>0.70374713932863886</v>
      </c>
      <c r="M246" s="7">
        <f t="shared" ca="1" si="117"/>
        <v>0.73450074635204587</v>
      </c>
      <c r="N246" s="7">
        <f t="shared" ca="1" si="117"/>
        <v>0.76656355396372577</v>
      </c>
      <c r="O246" s="7">
        <f t="shared" ca="1" si="117"/>
        <v>0.79969255920127835</v>
      </c>
      <c r="P246" s="7">
        <f t="shared" ca="1" si="117"/>
        <v>0.83401860395470417</v>
      </c>
      <c r="Q246" s="7">
        <f t="shared" ca="1" si="117"/>
        <v>0.86948859734793038</v>
      </c>
      <c r="R246" s="7">
        <f t="shared" ca="1" si="117"/>
        <v>0.90606298727726864</v>
      </c>
      <c r="S246" s="7">
        <f t="shared" ca="1" si="117"/>
        <v>0.94390779388232393</v>
      </c>
      <c r="T246" s="7">
        <f t="shared" ca="1" si="117"/>
        <v>0.98296424533158566</v>
      </c>
    </row>
    <row r="247" spans="1:20" x14ac:dyDescent="0.2">
      <c r="A247" s="1" t="s">
        <v>536</v>
      </c>
      <c r="B247" s="4" t="s">
        <v>537</v>
      </c>
      <c r="D247" s="15">
        <f>Exogenous!K$38</f>
        <v>0.873</v>
      </c>
      <c r="E247" s="15">
        <f>Exogenous!L$38</f>
        <v>0.68</v>
      </c>
      <c r="F247" s="16">
        <f>Exogenous!M$38</f>
        <v>0.75</v>
      </c>
      <c r="G247" s="16">
        <f>Exogenous!N$38</f>
        <v>0.8</v>
      </c>
      <c r="H247" s="16">
        <f>Exogenous!O$38</f>
        <v>0.8</v>
      </c>
      <c r="I247" s="16">
        <f>Exogenous!P$38</f>
        <v>0.8</v>
      </c>
      <c r="J247" s="16">
        <f>Exogenous!Q$38</f>
        <v>0.8</v>
      </c>
      <c r="K247" s="7">
        <f ca="1">J$247*K$131/J$131</f>
        <v>0.8402691857387381</v>
      </c>
      <c r="L247" s="7">
        <f t="shared" ref="L247:T247" ca="1" si="118">K$247*L$131/K$131</f>
        <v>0.88236043824282573</v>
      </c>
      <c r="M247" s="7">
        <f t="shared" ca="1" si="118"/>
        <v>0.92464468227119101</v>
      </c>
      <c r="N247" s="7">
        <f t="shared" ca="1" si="118"/>
        <v>0.96730508333731624</v>
      </c>
      <c r="O247" s="7">
        <f t="shared" ca="1" si="118"/>
        <v>1.010890362727902</v>
      </c>
      <c r="P247" s="7">
        <f t="shared" ca="1" si="118"/>
        <v>1.0561390238005954</v>
      </c>
      <c r="Q247" s="7">
        <f t="shared" ca="1" si="118"/>
        <v>1.1029917145282566</v>
      </c>
      <c r="R247" s="7">
        <f t="shared" ca="1" si="118"/>
        <v>1.1495657537866744</v>
      </c>
      <c r="S247" s="7">
        <f t="shared" ca="1" si="118"/>
        <v>1.1975812827760932</v>
      </c>
      <c r="T247" s="7">
        <f t="shared" ca="1" si="118"/>
        <v>1.2471340839399754</v>
      </c>
    </row>
    <row r="248" spans="1:20" x14ac:dyDescent="0.2">
      <c r="A248" s="1" t="s">
        <v>540</v>
      </c>
      <c r="B248" s="4" t="str">
        <f>$B$38</f>
        <v>From Fiscal</v>
      </c>
      <c r="D248" s="15">
        <f>'Fiscal Forecasts'!D$57-SUM(D$245:D$247)</f>
        <v>2.5500000000000003</v>
      </c>
      <c r="E248" s="15">
        <f>'Fiscal Forecasts'!E$57-SUM(E$245:E$247)</f>
        <v>2.75</v>
      </c>
      <c r="F248" s="16">
        <f ca="1">'Fiscal Forecasts'!F$57-SUM(F$245:F$247) +IF(OFFSET(Assumptions!$B$57,0,$C$1)="Yes",Allocate!C$17 +IF($C$2="Yes",Allocate!$B$17*'Fiscal Forecast Adjuster'!C$26/1000,0),0)</f>
        <v>2.64</v>
      </c>
      <c r="G248" s="16">
        <f ca="1">'Fiscal Forecasts'!G$57-SUM(G$245:G$247) +IF(OFFSET(Assumptions!$B$57,0,$C$1)="Yes",Allocate!D$17 +IF($C$2="Yes",Allocate!$B$17*'Fiscal Forecast Adjuster'!D$26/1000,0),0)</f>
        <v>3.593</v>
      </c>
      <c r="H248" s="16">
        <f ca="1">'Fiscal Forecasts'!H$57-SUM(H$245:H$247) +IF(OFFSET(Assumptions!$B$57,0,$C$1)="Yes",Allocate!E$17 +IF($C$2="Yes",Allocate!$B$17*'Fiscal Forecast Adjuster'!E$26/1000,0),0)</f>
        <v>3.0950000000000006</v>
      </c>
      <c r="I248" s="16">
        <f ca="1">'Fiscal Forecasts'!I$57-SUM(I$245:I$247) +IF(OFFSET(Assumptions!$B$57,0,$C$1)="Yes",Allocate!F$17 +IF($C$2="Yes",Allocate!$B$17*'Fiscal Forecast Adjuster'!F$26/1000,0),0)</f>
        <v>2.9219999999999997</v>
      </c>
      <c r="J248" s="16">
        <f ca="1">'Fiscal Forecasts'!J$57-SUM(J$245:J$247) +IF(OFFSET(Assumptions!$B$57,0,$C$1)="Yes",Allocate!G$17 +IF($C$2="Yes",Allocate!$B$17*'Fiscal Forecast Adjuster'!G$26/1000,0),0)</f>
        <v>2.7880000000000003</v>
      </c>
      <c r="K248" s="7">
        <f ca="1">SUM(J$248,IF(OFFSET(Assumptions!$B$57,0,$C$1)="Yes",Allocate!$B$17,0)*SUM(K$220,K$223))</f>
        <v>2.7880000000000003</v>
      </c>
      <c r="L248" s="7">
        <f ca="1">SUM(K$248,IF(OFFSET(Assumptions!$B$57,0,$C$1)="Yes",Allocate!$B$17,0)*SUM(L$220,L$223))</f>
        <v>2.7880000000000003</v>
      </c>
      <c r="M248" s="7">
        <f ca="1">SUM(L$248,IF(OFFSET(Assumptions!$B$57,0,$C$1)="Yes",Allocate!$B$17,0)*SUM(M$220,M$223))</f>
        <v>2.7880000000000003</v>
      </c>
      <c r="N248" s="7">
        <f ca="1">SUM(M$248,IF(OFFSET(Assumptions!$B$57,0,$C$1)="Yes",Allocate!$B$17,0)*SUM(N$220,N$223))</f>
        <v>2.7880000000000003</v>
      </c>
      <c r="O248" s="7">
        <f ca="1">SUM(N$248,IF(OFFSET(Assumptions!$B$57,0,$C$1)="Yes",Allocate!$B$17,0)*SUM(O$220,O$223))</f>
        <v>2.7880000000000003</v>
      </c>
      <c r="P248" s="7">
        <f ca="1">SUM(O$248,IF(OFFSET(Assumptions!$B$57,0,$C$1)="Yes",Allocate!$B$17,0)*SUM(P$220,P$223))</f>
        <v>2.7880000000000003</v>
      </c>
      <c r="Q248" s="7">
        <f ca="1">SUM(P$248,IF(OFFSET(Assumptions!$B$57,0,$C$1)="Yes",Allocate!$B$17,0)*SUM(Q$220,Q$223))</f>
        <v>2.7880000000000003</v>
      </c>
      <c r="R248" s="7">
        <f ca="1">SUM(Q$248,IF(OFFSET(Assumptions!$B$57,0,$C$1)="Yes",Allocate!$B$17,0)*SUM(R$220,R$223))</f>
        <v>2.7880000000000003</v>
      </c>
      <c r="S248" s="7">
        <f ca="1">SUM(R$248,IF(OFFSET(Assumptions!$B$57,0,$C$1)="Yes",Allocate!$B$17,0)*SUM(S$220,S$223))</f>
        <v>2.7880000000000003</v>
      </c>
      <c r="T248" s="7">
        <f ca="1">SUM(S$248,IF(OFFSET(Assumptions!$B$57,0,$C$1)="Yes",Allocate!$B$17,0)*SUM(T$220,T$223))</f>
        <v>2.7880000000000003</v>
      </c>
    </row>
    <row r="249" spans="1:20" ht="15" x14ac:dyDescent="0.25">
      <c r="A249" s="2" t="s">
        <v>541</v>
      </c>
      <c r="D249" s="35">
        <f>SUM(D$245:D$248)</f>
        <v>4.1340000000000003</v>
      </c>
      <c r="E249" s="35">
        <f>SUM(E$245:E$248)</f>
        <v>4.1020000000000003</v>
      </c>
      <c r="F249" s="34">
        <f ca="1">SUM(F$245:F$248)</f>
        <v>4.157</v>
      </c>
      <c r="G249" s="34">
        <f t="shared" ref="G249:T249" ca="1" si="119">SUM(G$245:G$248)</f>
        <v>5.2149999999999999</v>
      </c>
      <c r="H249" s="34">
        <f t="shared" ca="1" si="119"/>
        <v>4.6660000000000004</v>
      </c>
      <c r="I249" s="34">
        <f t="shared" ca="1" si="119"/>
        <v>4.5039999999999996</v>
      </c>
      <c r="J249" s="34">
        <f t="shared" ca="1" si="119"/>
        <v>4.3810000000000002</v>
      </c>
      <c r="K249" s="38">
        <f t="shared" ca="1" si="119"/>
        <v>4.4867924282780764</v>
      </c>
      <c r="L249" s="38">
        <f t="shared" ca="1" si="119"/>
        <v>4.582051574621266</v>
      </c>
      <c r="M249" s="38">
        <f t="shared" ca="1" si="119"/>
        <v>4.6802096193129064</v>
      </c>
      <c r="N249" s="38">
        <f t="shared" ca="1" si="119"/>
        <v>4.7815393375655608</v>
      </c>
      <c r="O249" s="38">
        <f t="shared" ca="1" si="119"/>
        <v>4.886311753678199</v>
      </c>
      <c r="P249" s="38">
        <f t="shared" ca="1" si="119"/>
        <v>4.9932666760852857</v>
      </c>
      <c r="Q249" s="38">
        <f t="shared" ca="1" si="119"/>
        <v>5.0973644893857095</v>
      </c>
      <c r="R249" s="38">
        <f t="shared" ca="1" si="119"/>
        <v>5.2020451008924571</v>
      </c>
      <c r="S249" s="38">
        <f t="shared" ca="1" si="119"/>
        <v>5.3092728878865563</v>
      </c>
      <c r="T249" s="38">
        <f t="shared" ca="1" si="119"/>
        <v>5.4191690169796445</v>
      </c>
    </row>
    <row r="250" spans="1:20" ht="15" x14ac:dyDescent="0.25">
      <c r="A250" s="2" t="s">
        <v>542</v>
      </c>
      <c r="B250" s="4" t="str">
        <f>$B$38</f>
        <v>From Fiscal</v>
      </c>
      <c r="D250" s="40">
        <f>'Fiscal Forecasts'!D$40</f>
        <v>3.8980000000000001</v>
      </c>
      <c r="E250" s="40">
        <f>'Fiscal Forecasts'!E$40</f>
        <v>3.95</v>
      </c>
      <c r="F250" s="39">
        <f ca="1">'Fiscal Forecasts'!F$40 +IF(OFFSET(Assumptions!$B$57,0,$C$1)="Yes",Allocate!C$17 +IF($C$2="Yes",Allocate!$B$17*'Fiscal Forecast Adjuster'!C$26/1000,0),0)</f>
        <v>4.1529999999999996</v>
      </c>
      <c r="G250" s="39">
        <f ca="1">'Fiscal Forecasts'!G$40 +IF(OFFSET(Assumptions!$B$57,0,$C$1)="Yes",Allocate!D$17 +IF($C$2="Yes",Allocate!$B$17*'Fiscal Forecast Adjuster'!D$26/1000,0),0)</f>
        <v>5.343</v>
      </c>
      <c r="H250" s="39">
        <f ca="1">'Fiscal Forecasts'!H$40 +IF(OFFSET(Assumptions!$B$57,0,$C$1)="Yes",Allocate!E$17 +IF($C$2="Yes",Allocate!$B$17*'Fiscal Forecast Adjuster'!E$26/1000,0),0)</f>
        <v>4.6550000000000002</v>
      </c>
      <c r="I250" s="39">
        <f ca="1">'Fiscal Forecasts'!I$40 +IF(OFFSET(Assumptions!$B$57,0,$C$1)="Yes",Allocate!F$17 +IF($C$2="Yes",Allocate!$B$17*'Fiscal Forecast Adjuster'!F$26/1000,0),0)</f>
        <v>4.4770000000000003</v>
      </c>
      <c r="J250" s="39">
        <f ca="1">'Fiscal Forecasts'!J$40 +IF(OFFSET(Assumptions!$B$57,0,$C$1)="Yes",Allocate!G$17 +IF($C$2="Yes",Allocate!$B$17*'Fiscal Forecast Adjuster'!G$26/1000,0),0)</f>
        <v>4.32</v>
      </c>
      <c r="K250" s="8">
        <f ca="1">IF(K$6=OFFSET(Assumptions!$B$8,0,$C$1),AVERAGE(H$250/H$249,I$250/I$249,J$250/J$249),J$250/J$249)*K$249</f>
        <v>4.4534766294043955</v>
      </c>
      <c r="L250" s="8">
        <f ca="1">IF(L$6=OFFSET(Assumptions!$B$8,0,$C$1),AVERAGE(I$250/I$249,J$250/J$249,K$250/K$249),K$250/K$249)*L$249</f>
        <v>4.5480284476036648</v>
      </c>
      <c r="M250" s="8">
        <f ca="1">IF(M$6=OFFSET(Assumptions!$B$8,0,$C$1),AVERAGE(J$250/J$249,K$250/K$249,L$250/L$249),L$250/L$249)*M$249</f>
        <v>4.645457638949166</v>
      </c>
      <c r="N250" s="8">
        <f ca="1">IF(N$6=OFFSET(Assumptions!$B$8,0,$C$1),AVERAGE(K$250/K$249,L$250/L$249,M$250/M$249),M$250/M$249)*N$249</f>
        <v>4.7460349532145187</v>
      </c>
      <c r="O250" s="8">
        <f ca="1">IF(O$6=OFFSET(Assumptions!$B$8,0,$C$1),AVERAGE(L$250/L$249,M$250/M$249,N$250/N$249),N$250/N$249)*O$249</f>
        <v>4.8500294022608141</v>
      </c>
      <c r="P250" s="8">
        <f ca="1">IF(P$6=OFFSET(Assumptions!$B$8,0,$C$1),AVERAGE(M$250/M$249,N$250/N$249,O$250/O$249),O$250/O$249)*P$249</f>
        <v>4.9561901518282996</v>
      </c>
      <c r="Q250" s="8">
        <f ca="1">IF(Q$6=OFFSET(Assumptions!$B$8,0,$C$1),AVERAGE(N$250/N$249,O$250/O$249,P$250/P$249),P$250/P$249)*Q$249</f>
        <v>5.0595150071935064</v>
      </c>
      <c r="R250" s="8">
        <f ca="1">IF(R$6=OFFSET(Assumptions!$B$8,0,$C$1),AVERAGE(O$250/O$249,P$250/P$249,Q$250/Q$249),Q$250/Q$249)*R$249</f>
        <v>5.1634183333110411</v>
      </c>
      <c r="S250" s="8">
        <f ca="1">IF(S$6=OFFSET(Assumptions!$B$8,0,$C$1),AVERAGE(P$250/P$249,Q$250/Q$249,R$250/R$249),R$250/R$249)*S$249</f>
        <v>5.2698499213629626</v>
      </c>
      <c r="T250" s="8">
        <f ca="1">IF(T$6=OFFSET(Assumptions!$B$8,0,$C$1),AVERAGE(Q$250/Q$249,R$250/R$249,S$250/S$249),S$250/S$249)*T$249</f>
        <v>5.3789300382619532</v>
      </c>
    </row>
    <row r="251" spans="1:20" ht="15" x14ac:dyDescent="0.25">
      <c r="A251" s="2"/>
      <c r="B251" s="4"/>
      <c r="D251" s="40"/>
      <c r="E251" s="40"/>
      <c r="F251" s="39"/>
      <c r="G251" s="39"/>
      <c r="H251" s="39"/>
      <c r="I251" s="39"/>
      <c r="J251" s="39"/>
      <c r="K251" s="8"/>
      <c r="L251" s="8"/>
      <c r="M251" s="8"/>
      <c r="N251" s="8"/>
      <c r="O251" s="8"/>
      <c r="P251" s="8"/>
      <c r="Q251" s="8"/>
      <c r="R251" s="8"/>
      <c r="S251" s="8"/>
      <c r="T251" s="8"/>
    </row>
    <row r="252" spans="1:20" ht="15" x14ac:dyDescent="0.25">
      <c r="A252" s="19" t="s">
        <v>601</v>
      </c>
      <c r="B252" s="4"/>
      <c r="C252" s="8"/>
      <c r="D252" s="8"/>
      <c r="E252" s="8"/>
      <c r="F252" s="8"/>
      <c r="G252" s="8"/>
      <c r="H252" s="8"/>
      <c r="I252" s="8"/>
      <c r="J252" s="8"/>
      <c r="K252" s="8"/>
      <c r="L252" s="8"/>
      <c r="M252" s="8"/>
      <c r="N252" s="8"/>
      <c r="O252" s="8"/>
      <c r="P252" s="8"/>
      <c r="Q252" s="8"/>
      <c r="R252" s="8"/>
      <c r="S252" s="8"/>
      <c r="T252" s="8"/>
    </row>
    <row r="253" spans="1:20" ht="15" x14ac:dyDescent="0.25">
      <c r="A253" s="2" t="s">
        <v>543</v>
      </c>
      <c r="B253" s="4" t="str">
        <f t="shared" ref="B253:B258" si="120">$B$38</f>
        <v>From Fiscal</v>
      </c>
      <c r="D253" s="40">
        <f>'Fiscal Forecasts'!D$58</f>
        <v>3.5150000000000001</v>
      </c>
      <c r="E253" s="40">
        <f>'Fiscal Forecasts'!E$58</f>
        <v>3.6480000000000001</v>
      </c>
      <c r="F253" s="39">
        <f ca="1">'Fiscal Forecasts'!F$58 +IF(OFFSET(Assumptions!$B$57,0,$C$1)="Yes",Allocate!C$18 +IF($C$2="Yes",Allocate!$B$18*'Fiscal Forecast Adjuster'!C$26/1000,0),0)</f>
        <v>3.9860000000000002</v>
      </c>
      <c r="G253" s="39">
        <f ca="1">'Fiscal Forecasts'!G$58 +IF(OFFSET(Assumptions!$B$57,0,$C$1)="Yes",Allocate!D$18 +IF($C$2="Yes",Allocate!$B$18*'Fiscal Forecast Adjuster'!D$26/1000,0),0)</f>
        <v>4.1189999999999998</v>
      </c>
      <c r="H253" s="39">
        <f ca="1">'Fiscal Forecasts'!H$58 +IF(OFFSET(Assumptions!$B$57,0,$C$1)="Yes",Allocate!E$18 +IF($C$2="Yes",Allocate!$B$18*'Fiscal Forecast Adjuster'!E$26/1000,0),0)</f>
        <v>4.1779999999999999</v>
      </c>
      <c r="I253" s="39">
        <f ca="1">'Fiscal Forecasts'!I$58 +IF(OFFSET(Assumptions!$B$57,0,$C$1)="Yes",Allocate!F$18 +IF($C$2="Yes",Allocate!$B$18*'Fiscal Forecast Adjuster'!F$26/1000,0),0)</f>
        <v>4.2220000000000004</v>
      </c>
      <c r="J253" s="39">
        <f ca="1">'Fiscal Forecasts'!J$58 +IF(OFFSET(Assumptions!$B$57,0,$C$1)="Yes",Allocate!G$18 +IF($C$2="Yes",Allocate!$B$18*'Fiscal Forecast Adjuster'!G$26/1000,0),0)</f>
        <v>4.2779999999999996</v>
      </c>
      <c r="K253" s="8">
        <f ca="1">SUM(J$253,IF(OFFSET(Assumptions!$B$57,0,$C$1)="Yes",Allocate!$B$18,0)*SUM(K$220,K$223))</f>
        <v>4.2779999999999996</v>
      </c>
      <c r="L253" s="8">
        <f ca="1">SUM(K$253,IF(OFFSET(Assumptions!$B$57,0,$C$1)="Yes",Allocate!$B$18,0)*SUM(L$220,L$223))</f>
        <v>4.2779999999999996</v>
      </c>
      <c r="M253" s="8">
        <f ca="1">SUM(L$253,IF(OFFSET(Assumptions!$B$57,0,$C$1)="Yes",Allocate!$B$18,0)*SUM(M$220,M$223))</f>
        <v>4.2779999999999996</v>
      </c>
      <c r="N253" s="8">
        <f ca="1">SUM(M$253,IF(OFFSET(Assumptions!$B$57,0,$C$1)="Yes",Allocate!$B$18,0)*SUM(N$220,N$223))</f>
        <v>4.2779999999999996</v>
      </c>
      <c r="O253" s="8">
        <f ca="1">SUM(N$253,IF(OFFSET(Assumptions!$B$57,0,$C$1)="Yes",Allocate!$B$18,0)*SUM(O$220,O$223))</f>
        <v>4.2779999999999996</v>
      </c>
      <c r="P253" s="8">
        <f ca="1">SUM(O$253,IF(OFFSET(Assumptions!$B$57,0,$C$1)="Yes",Allocate!$B$18,0)*SUM(P$220,P$223))</f>
        <v>4.2779999999999996</v>
      </c>
      <c r="Q253" s="8">
        <f ca="1">SUM(P$253,IF(OFFSET(Assumptions!$B$57,0,$C$1)="Yes",Allocate!$B$18,0)*SUM(Q$220,Q$223))</f>
        <v>4.2779999999999996</v>
      </c>
      <c r="R253" s="8">
        <f ca="1">SUM(Q$253,IF(OFFSET(Assumptions!$B$57,0,$C$1)="Yes",Allocate!$B$18,0)*SUM(R$220,R$223))</f>
        <v>4.2779999999999996</v>
      </c>
      <c r="S253" s="8">
        <f ca="1">SUM(R$253,IF(OFFSET(Assumptions!$B$57,0,$C$1)="Yes",Allocate!$B$18,0)*SUM(S$220,S$223))</f>
        <v>4.2779999999999996</v>
      </c>
      <c r="T253" s="8">
        <f ca="1">SUM(S$253,IF(OFFSET(Assumptions!$B$57,0,$C$1)="Yes",Allocate!$B$18,0)*SUM(T$220,T$223))</f>
        <v>4.2779999999999996</v>
      </c>
    </row>
    <row r="254" spans="1:20" ht="15" x14ac:dyDescent="0.25">
      <c r="A254" s="2" t="s">
        <v>544</v>
      </c>
      <c r="B254" s="4" t="str">
        <f t="shared" si="120"/>
        <v>From Fiscal</v>
      </c>
      <c r="D254" s="40">
        <f>'Fiscal Forecasts'!D$41</f>
        <v>3.73</v>
      </c>
      <c r="E254" s="40">
        <f>'Fiscal Forecasts'!E$41</f>
        <v>3.8940000000000001</v>
      </c>
      <c r="F254" s="39">
        <f ca="1">'Fiscal Forecasts'!F$41 +IF(OFFSET(Assumptions!$B$57,0,$C$1)="Yes",Allocate!C$18 +IF($C$2="Yes",Allocate!$B$18*'Fiscal Forecast Adjuster'!C$26/1000,0),0)</f>
        <v>4.2530000000000001</v>
      </c>
      <c r="G254" s="39">
        <f ca="1">'Fiscal Forecasts'!G$41 +IF(OFFSET(Assumptions!$B$57,0,$C$1)="Yes",Allocate!D$18 +IF($C$2="Yes",Allocate!$B$18*'Fiscal Forecast Adjuster'!D$26/1000,0),0)</f>
        <v>4.4349999999999996</v>
      </c>
      <c r="H254" s="39">
        <f ca="1">'Fiscal Forecasts'!H$41 +IF(OFFSET(Assumptions!$B$57,0,$C$1)="Yes",Allocate!E$18 +IF($C$2="Yes",Allocate!$B$18*'Fiscal Forecast Adjuster'!E$26/1000,0),0)</f>
        <v>4.5369999999999999</v>
      </c>
      <c r="I254" s="39">
        <f ca="1">'Fiscal Forecasts'!I$41 +IF(OFFSET(Assumptions!$B$57,0,$C$1)="Yes",Allocate!F$18 +IF($C$2="Yes",Allocate!$B$18*'Fiscal Forecast Adjuster'!F$26/1000,0),0)</f>
        <v>4.59</v>
      </c>
      <c r="J254" s="39">
        <f ca="1">'Fiscal Forecasts'!J$41 +IF(OFFSET(Assumptions!$B$57,0,$C$1)="Yes",Allocate!G$18 +IF($C$2="Yes",Allocate!$B$18*'Fiscal Forecast Adjuster'!G$26/1000,0),0)</f>
        <v>4.6310000000000002</v>
      </c>
      <c r="K254" s="8">
        <f ca="1">IF(K$6=OFFSET(Assumptions!$B$8,0,$C$1),AVERAGE(H$254/H$253,I$254/I$253,J$254/J$253),J$254/J$253)*K$253</f>
        <v>4.6424912423523033</v>
      </c>
      <c r="L254" s="8">
        <f ca="1">IF(L$6=OFFSET(Assumptions!$B$8,0,$C$1),AVERAGE(I$254/I$253,J$254/J$253,K$254/K$253),K$254/K$253)*L$253</f>
        <v>4.6424912423523033</v>
      </c>
      <c r="M254" s="8">
        <f ca="1">IF(M$6=OFFSET(Assumptions!$B$8,0,$C$1),AVERAGE(J$254/J$253,K$254/K$253,L$254/L$253),L$254/L$253)*M$253</f>
        <v>4.6424912423523033</v>
      </c>
      <c r="N254" s="8">
        <f ca="1">IF(N$6=OFFSET(Assumptions!$B$8,0,$C$1),AVERAGE(K$254/K$253,L$254/L$253,M$254/M$253),M$254/M$253)*N$253</f>
        <v>4.6424912423523033</v>
      </c>
      <c r="O254" s="8">
        <f ca="1">IF(O$6=OFFSET(Assumptions!$B$8,0,$C$1),AVERAGE(L$254/L$253,M$254/M$253,N$254/N$253),N$254/N$253)*O$253</f>
        <v>4.6424912423523033</v>
      </c>
      <c r="P254" s="8">
        <f ca="1">IF(P$6=OFFSET(Assumptions!$B$8,0,$C$1),AVERAGE(M$254/M$253,N$254/N$253,O$254/O$253),O$254/O$253)*P$253</f>
        <v>4.6424912423523033</v>
      </c>
      <c r="Q254" s="8">
        <f ca="1">IF(Q$6=OFFSET(Assumptions!$B$8,0,$C$1),AVERAGE(N$254/N$253,O$254/O$253,P$254/P$253),P$254/P$253)*Q$253</f>
        <v>4.6424912423523033</v>
      </c>
      <c r="R254" s="8">
        <f ca="1">IF(R$6=OFFSET(Assumptions!$B$8,0,$C$1),AVERAGE(O$254/O$253,P$254/P$253,Q$254/Q$253),Q$254/Q$253)*R$253</f>
        <v>4.6424912423523033</v>
      </c>
      <c r="S254" s="8">
        <f ca="1">IF(S$6=OFFSET(Assumptions!$B$8,0,$C$1),AVERAGE(P$254/P$253,Q$254/Q$253,R$254/R$253),R$254/R$253)*S$253</f>
        <v>4.6424912423523033</v>
      </c>
      <c r="T254" s="8">
        <f ca="1">IF(T$6=OFFSET(Assumptions!$B$8,0,$C$1),AVERAGE(Q$254/Q$253,R$254/R$253,S$254/S$253),S$254/S$253)*T$253</f>
        <v>4.6424912423523033</v>
      </c>
    </row>
    <row r="255" spans="1:20" ht="15" x14ac:dyDescent="0.25">
      <c r="A255" s="2"/>
      <c r="B255" s="4"/>
      <c r="D255" s="40"/>
      <c r="E255" s="40"/>
      <c r="F255" s="39"/>
      <c r="G255" s="39"/>
      <c r="H255" s="39"/>
      <c r="I255" s="39"/>
      <c r="J255" s="39"/>
      <c r="K255" s="8"/>
      <c r="L255" s="8"/>
      <c r="M255" s="8"/>
      <c r="N255" s="8"/>
      <c r="O255" s="8"/>
      <c r="P255" s="8"/>
      <c r="Q255" s="8"/>
      <c r="R255" s="8"/>
      <c r="S255" s="8"/>
      <c r="T255" s="8"/>
    </row>
    <row r="256" spans="1:20" ht="15" x14ac:dyDescent="0.25">
      <c r="A256" s="19" t="s">
        <v>602</v>
      </c>
      <c r="B256" s="4"/>
      <c r="D256" s="40"/>
      <c r="E256" s="40"/>
      <c r="F256" s="40"/>
      <c r="G256" s="40"/>
      <c r="H256" s="40"/>
      <c r="I256" s="40"/>
      <c r="J256" s="40"/>
      <c r="K256" s="8"/>
      <c r="L256" s="8"/>
      <c r="M256" s="8"/>
      <c r="N256" s="8"/>
      <c r="O256" s="8"/>
      <c r="P256" s="8"/>
      <c r="Q256" s="8"/>
      <c r="R256" s="8"/>
      <c r="S256" s="8"/>
      <c r="T256" s="8"/>
    </row>
    <row r="257" spans="1:20" ht="15" x14ac:dyDescent="0.25">
      <c r="A257" s="2" t="s">
        <v>545</v>
      </c>
      <c r="B257" s="4" t="str">
        <f t="shared" si="120"/>
        <v>From Fiscal</v>
      </c>
      <c r="D257" s="40">
        <f>'Fiscal Forecasts'!D$59</f>
        <v>1.9610000000000001</v>
      </c>
      <c r="E257" s="40">
        <f>'Fiscal Forecasts'!E$59</f>
        <v>2.0259999999999998</v>
      </c>
      <c r="F257" s="39">
        <f ca="1">'Fiscal Forecasts'!F$59 +IF(OFFSET(Assumptions!$B$57,0,$C$1)="Yes",Allocate!C$19 +IF($C$2="Yes",Allocate!$B$19*'Fiscal Forecast Adjuster'!C$26/1000,0),0)</f>
        <v>2.145</v>
      </c>
      <c r="G257" s="39">
        <f ca="1">'Fiscal Forecasts'!G$59 +IF(OFFSET(Assumptions!$B$57,0,$C$1)="Yes",Allocate!D$19 +IF($C$2="Yes",Allocate!$B$19*'Fiscal Forecast Adjuster'!D$26/1000,0),0)</f>
        <v>2.294</v>
      </c>
      <c r="H257" s="39">
        <f ca="1">'Fiscal Forecasts'!H$59 +IF(OFFSET(Assumptions!$B$57,0,$C$1)="Yes",Allocate!E$19 +IF($C$2="Yes",Allocate!$B$19*'Fiscal Forecast Adjuster'!E$26/1000,0),0)</f>
        <v>2.36</v>
      </c>
      <c r="I257" s="39">
        <f ca="1">'Fiscal Forecasts'!I$59 +IF(OFFSET(Assumptions!$B$57,0,$C$1)="Yes",Allocate!F$19 +IF($C$2="Yes",Allocate!$B$19*'Fiscal Forecast Adjuster'!F$26/1000,0),0)</f>
        <v>2.37</v>
      </c>
      <c r="J257" s="39">
        <f ca="1">'Fiscal Forecasts'!J$59 +IF(OFFSET(Assumptions!$B$57,0,$C$1)="Yes",Allocate!G$19 +IF($C$2="Yes",Allocate!$B$19*'Fiscal Forecast Adjuster'!G$26/1000,0),0)</f>
        <v>2.38</v>
      </c>
      <c r="K257" s="8">
        <f ca="1">SUM(J$257,IF(OFFSET(Assumptions!$B$57,0,$C$1)="Yes",Allocate!$B$19,0)*SUM(K$220,K$223))</f>
        <v>2.38</v>
      </c>
      <c r="L257" s="8">
        <f ca="1">SUM(K$257,IF(OFFSET(Assumptions!$B$57,0,$C$1)="Yes",Allocate!$B$19,0)*SUM(L$220,L$223))</f>
        <v>2.38</v>
      </c>
      <c r="M257" s="8">
        <f ca="1">SUM(L$257,IF(OFFSET(Assumptions!$B$57,0,$C$1)="Yes",Allocate!$B$19,0)*SUM(M$220,M$223))</f>
        <v>2.38</v>
      </c>
      <c r="N257" s="8">
        <f ca="1">SUM(M$257,IF(OFFSET(Assumptions!$B$57,0,$C$1)="Yes",Allocate!$B$19,0)*SUM(N$220,N$223))</f>
        <v>2.38</v>
      </c>
      <c r="O257" s="8">
        <f ca="1">SUM(N$257,IF(OFFSET(Assumptions!$B$57,0,$C$1)="Yes",Allocate!$B$19,0)*SUM(O$220,O$223))</f>
        <v>2.38</v>
      </c>
      <c r="P257" s="8">
        <f ca="1">SUM(O$257,IF(OFFSET(Assumptions!$B$57,0,$C$1)="Yes",Allocate!$B$19,0)*SUM(P$220,P$223))</f>
        <v>2.38</v>
      </c>
      <c r="Q257" s="8">
        <f ca="1">SUM(P$257,IF(OFFSET(Assumptions!$B$57,0,$C$1)="Yes",Allocate!$B$19,0)*SUM(Q$220,Q$223))</f>
        <v>2.38</v>
      </c>
      <c r="R257" s="8">
        <f ca="1">SUM(Q$257,IF(OFFSET(Assumptions!$B$57,0,$C$1)="Yes",Allocate!$B$19,0)*SUM(R$220,R$223))</f>
        <v>2.38</v>
      </c>
      <c r="S257" s="8">
        <f ca="1">SUM(R$257,IF(OFFSET(Assumptions!$B$57,0,$C$1)="Yes",Allocate!$B$19,0)*SUM(S$220,S$223))</f>
        <v>2.38</v>
      </c>
      <c r="T257" s="8">
        <f ca="1">SUM(S$257,IF(OFFSET(Assumptions!$B$57,0,$C$1)="Yes",Allocate!$B$19,0)*SUM(T$220,T$223))</f>
        <v>2.38</v>
      </c>
    </row>
    <row r="258" spans="1:20" ht="15" x14ac:dyDescent="0.25">
      <c r="A258" s="2" t="s">
        <v>546</v>
      </c>
      <c r="B258" s="4" t="str">
        <f t="shared" si="120"/>
        <v>From Fiscal</v>
      </c>
      <c r="D258" s="40">
        <f>'Fiscal Forecasts'!D$42</f>
        <v>1.917</v>
      </c>
      <c r="E258" s="40">
        <f>'Fiscal Forecasts'!E$42</f>
        <v>2.0129999999999999</v>
      </c>
      <c r="F258" s="39">
        <f ca="1">'Fiscal Forecasts'!F$42 +IF(OFFSET(Assumptions!$B$57,0,$C$1)="Yes",Allocate!C$19 +IF($C$2="Yes",Allocate!$B$19*'Fiscal Forecast Adjuster'!C$26/1000,0),0)</f>
        <v>2.137</v>
      </c>
      <c r="G258" s="39">
        <f ca="1">'Fiscal Forecasts'!G$42 +IF(OFFSET(Assumptions!$B$57,0,$C$1)="Yes",Allocate!D$19 +IF($C$2="Yes",Allocate!$B$19*'Fiscal Forecast Adjuster'!D$26/1000,0),0)</f>
        <v>2.286</v>
      </c>
      <c r="H258" s="39">
        <f ca="1">'Fiscal Forecasts'!H$42 +IF(OFFSET(Assumptions!$B$57,0,$C$1)="Yes",Allocate!E$19 +IF($C$2="Yes",Allocate!$B$19*'Fiscal Forecast Adjuster'!E$26/1000,0),0)</f>
        <v>2.351</v>
      </c>
      <c r="I258" s="39">
        <f ca="1">'Fiscal Forecasts'!I$42 +IF(OFFSET(Assumptions!$B$57,0,$C$1)="Yes",Allocate!F$19 +IF($C$2="Yes",Allocate!$B$19*'Fiscal Forecast Adjuster'!F$26/1000,0),0)</f>
        <v>2.3620000000000001</v>
      </c>
      <c r="J258" s="39">
        <f ca="1">'Fiscal Forecasts'!J$42 +IF(OFFSET(Assumptions!$B$57,0,$C$1)="Yes",Allocate!G$19 +IF($C$2="Yes",Allocate!$B$19*'Fiscal Forecast Adjuster'!G$26/1000,0),0)</f>
        <v>2.3719999999999999</v>
      </c>
      <c r="K258" s="8">
        <f ca="1">IF(K$6=OFFSET(Assumptions!$B$8,0,$C$1),AVERAGE(H$258/H$257,I$258/I$257,J$258/J$257),J$258/J$257)*K$257</f>
        <v>2.3716299911797658</v>
      </c>
      <c r="L258" s="8">
        <f ca="1">IF(L$6=OFFSET(Assumptions!$B$8,0,$C$1),AVERAGE(I$258/I$257,J$258/J$257,K$258/K$257),K$258/K$257)*L$257</f>
        <v>2.3716299911797658</v>
      </c>
      <c r="M258" s="8">
        <f ca="1">IF(M$6=OFFSET(Assumptions!$B$8,0,$C$1),AVERAGE(J$258/J$257,K$258/K$257,L$258/L$257),L$258/L$257)*M$257</f>
        <v>2.3716299911797658</v>
      </c>
      <c r="N258" s="8">
        <f ca="1">IF(N$6=OFFSET(Assumptions!$B$8,0,$C$1),AVERAGE(K$258/K$257,L$258/L$257,M$258/M$257),M$258/M$257)*N$257</f>
        <v>2.3716299911797658</v>
      </c>
      <c r="O258" s="8">
        <f ca="1">IF(O$6=OFFSET(Assumptions!$B$8,0,$C$1),AVERAGE(L$258/L$257,M$258/M$257,N$258/N$257),N$258/N$257)*O$257</f>
        <v>2.3716299911797658</v>
      </c>
      <c r="P258" s="8">
        <f ca="1">IF(P$6=OFFSET(Assumptions!$B$8,0,$C$1),AVERAGE(M$258/M$257,N$258/N$257,O$258/O$257),O$258/O$257)*P$257</f>
        <v>2.3716299911797658</v>
      </c>
      <c r="Q258" s="8">
        <f ca="1">IF(Q$6=OFFSET(Assumptions!$B$8,0,$C$1),AVERAGE(N$258/N$257,O$258/O$257,P$258/P$257),P$258/P$257)*Q$257</f>
        <v>2.3716299911797658</v>
      </c>
      <c r="R258" s="8">
        <f ca="1">IF(R$6=OFFSET(Assumptions!$B$8,0,$C$1),AVERAGE(O$258/O$257,P$258/P$257,Q$258/Q$257),Q$258/Q$257)*R$257</f>
        <v>2.3716299911797658</v>
      </c>
      <c r="S258" s="8">
        <f ca="1">IF(S$6=OFFSET(Assumptions!$B$8,0,$C$1),AVERAGE(P$258/P$257,Q$258/Q$257,R$258/R$257),R$258/R$257)*S$257</f>
        <v>2.3716299911797658</v>
      </c>
      <c r="T258" s="8">
        <f ca="1">IF(T$6=OFFSET(Assumptions!$B$8,0,$C$1),AVERAGE(Q$258/Q$257,R$258/R$257,S$258/S$257),S$258/S$257)*T$257</f>
        <v>2.3716299911797658</v>
      </c>
    </row>
    <row r="259" spans="1:20" ht="15" x14ac:dyDescent="0.25">
      <c r="A259" s="2"/>
      <c r="B259" s="4"/>
      <c r="D259" s="40"/>
      <c r="E259" s="40"/>
      <c r="F259" s="39"/>
      <c r="G259" s="39"/>
      <c r="H259" s="39"/>
      <c r="I259" s="39"/>
      <c r="J259" s="39"/>
      <c r="K259" s="8"/>
      <c r="L259" s="8"/>
      <c r="M259" s="8"/>
      <c r="N259" s="8"/>
      <c r="O259" s="8"/>
      <c r="P259" s="8"/>
      <c r="Q259" s="8"/>
      <c r="R259" s="8"/>
      <c r="S259" s="8"/>
      <c r="T259" s="8"/>
    </row>
    <row r="260" spans="1:20" ht="15" x14ac:dyDescent="0.25">
      <c r="A260" s="19" t="s">
        <v>547</v>
      </c>
      <c r="B260" s="4"/>
      <c r="D260" s="8"/>
      <c r="E260" s="8"/>
      <c r="F260" s="8"/>
      <c r="G260" s="8"/>
      <c r="H260" s="8"/>
      <c r="I260" s="8"/>
      <c r="J260" s="8"/>
      <c r="K260" s="8"/>
      <c r="L260" s="8"/>
      <c r="M260" s="8"/>
      <c r="N260" s="8"/>
      <c r="O260" s="8"/>
      <c r="P260" s="8"/>
      <c r="Q260" s="8"/>
      <c r="R260" s="8"/>
      <c r="S260" s="8"/>
      <c r="T260" s="8"/>
    </row>
    <row r="261" spans="1:20" x14ac:dyDescent="0.2">
      <c r="A261" s="1" t="s">
        <v>307</v>
      </c>
      <c r="B261" s="4" t="str">
        <f t="shared" ref="B261:B264" si="121">$B$38</f>
        <v>From Fiscal</v>
      </c>
      <c r="D261" s="15">
        <f>'Fiscal Forecasts'!D$60</f>
        <v>2.2909999999999999</v>
      </c>
      <c r="E261" s="15">
        <f>'Fiscal Forecasts'!E$60</f>
        <v>2.1779999999999999</v>
      </c>
      <c r="F261" s="16">
        <f>'Fiscal Forecasts'!F$60</f>
        <v>2.1819999999999999</v>
      </c>
      <c r="G261" s="16">
        <f>'Fiscal Forecasts'!G$60</f>
        <v>2.5369999999999999</v>
      </c>
      <c r="H261" s="16">
        <f>'Fiscal Forecasts'!H$60</f>
        <v>2.34</v>
      </c>
      <c r="I261" s="16">
        <f>'Fiscal Forecasts'!I$60</f>
        <v>2.274</v>
      </c>
      <c r="J261" s="16">
        <f>'Fiscal Forecasts'!J$60</f>
        <v>2.8069999999999999</v>
      </c>
      <c r="K261" s="7">
        <f ca="1">IF(K$6=OFFSET(Assumptions!$B$8,0,$C$1),AVERAGE(H$261/H$127,I$261/I$127,J$261/J$127),J$261/J$127)*K$127</f>
        <v>2.7325527866780224</v>
      </c>
      <c r="L261" s="7">
        <f ca="1">IF(L$6=OFFSET(Assumptions!$B$8,0,$C$1),AVERAGE(I$261/I$127,J$261/J$127,K$261/K$127),K$261/K$127)*L$127</f>
        <v>2.9678183995832921</v>
      </c>
      <c r="M261" s="7">
        <f ca="1">IF(M$6=OFFSET(Assumptions!$B$8,0,$C$1),AVERAGE(J$261/J$127,K$261/K$127,L$261/L$127),L$261/L$127)*M$127</f>
        <v>3.1309510298639762</v>
      </c>
      <c r="N261" s="7">
        <f ca="1">IF(N$6=OFFSET(Assumptions!$B$8,0,$C$1),AVERAGE(K$261/K$127,L$261/L$127,M$261/M$127),M$261/M$127)*N$127</f>
        <v>3.2676249284416148</v>
      </c>
      <c r="O261" s="7">
        <f ca="1">IF(O$6=OFFSET(Assumptions!$B$8,0,$C$1),AVERAGE(L$261/L$127,M$261/M$127,N$261/N$127),N$261/N$127)*O$127</f>
        <v>3.4088436999432692</v>
      </c>
      <c r="P261" s="7">
        <f ca="1">IF(P$6=OFFSET(Assumptions!$B$8,0,$C$1),AVERAGE(M$261/M$127,N$261/N$127,O$261/O$127),O$261/O$127)*P$127</f>
        <v>3.5551650831490309</v>
      </c>
      <c r="Q261" s="7">
        <f ca="1">IF(Q$6=OFFSET(Assumptions!$B$8,0,$C$1),AVERAGE(N$261/N$127,O$261/O$127,P$261/P$127),P$261/P$127)*Q$127</f>
        <v>3.7063627679646722</v>
      </c>
      <c r="R261" s="7">
        <f ca="1">IF(R$6=OFFSET(Assumptions!$B$8,0,$C$1),AVERAGE(O$261/O$127,P$261/P$127,Q$261/Q$127),Q$261/Q$127)*R$127</f>
        <v>3.8622681559232874</v>
      </c>
      <c r="S261" s="7">
        <f ca="1">IF(S$6=OFFSET(Assumptions!$B$8,0,$C$1),AVERAGE(P$261/P$127,Q$261/Q$127,R$261/R$127),R$261/R$127)*S$127</f>
        <v>4.0235889398756406</v>
      </c>
      <c r="T261" s="7">
        <f ca="1">IF(T$6=OFFSET(Assumptions!$B$8,0,$C$1),AVERAGE(Q$261/Q$127,R$261/R$127,S$261/S$127),S$261/S$127)*T$127</f>
        <v>4.1900745935597667</v>
      </c>
    </row>
    <row r="262" spans="1:20" x14ac:dyDescent="0.2">
      <c r="A262" s="1" t="s">
        <v>279</v>
      </c>
      <c r="B262" s="4" t="str">
        <f t="shared" si="121"/>
        <v>From Fiscal</v>
      </c>
      <c r="D262" s="15">
        <f>'Fiscal Forecasts'!D$198</f>
        <v>2.5640000000000001</v>
      </c>
      <c r="E262" s="15">
        <f>'Fiscal Forecasts'!E$198</f>
        <v>2.6579999999999999</v>
      </c>
      <c r="F262" s="16">
        <f>'Fiscal Forecasts'!F$198</f>
        <v>2.6339999999999999</v>
      </c>
      <c r="G262" s="16">
        <f>'Fiscal Forecasts'!G$198</f>
        <v>2.8359999999999999</v>
      </c>
      <c r="H262" s="16">
        <f>'Fiscal Forecasts'!H$198</f>
        <v>2.6459999999999999</v>
      </c>
      <c r="I262" s="16">
        <f>'Fiscal Forecasts'!I$198</f>
        <v>2.5430000000000001</v>
      </c>
      <c r="J262" s="16">
        <f>'Fiscal Forecasts'!J$198</f>
        <v>3.0489999999999999</v>
      </c>
      <c r="K262" s="7">
        <f ca="1">IF(K$6=OFFSET(Assumptions!$B$8,0,$C$1),AVERAGE(H$262/H$261,I$262/I$261,J$262/J$261),J$262/J$261)*K$261</f>
        <v>3.0379392655736557</v>
      </c>
      <c r="L262" s="7">
        <f ca="1">IF(L$6=OFFSET(Assumptions!$B$8,0,$C$1),AVERAGE(I$262/I$261,J$262/J$261,K$262/K$261),K$262/K$261)*L$261</f>
        <v>3.299497851657939</v>
      </c>
      <c r="M262" s="7">
        <f ca="1">IF(M$6=OFFSET(Assumptions!$B$8,0,$C$1),AVERAGE(J$262/J$261,K$262/K$261,L$262/L$261),L$262/L$261)*M$261</f>
        <v>3.4808619685533668</v>
      </c>
      <c r="N262" s="7">
        <f ca="1">IF(N$6=OFFSET(Assumptions!$B$8,0,$C$1),AVERAGE(K$262/K$261,L$262/L$261,M$262/M$261),M$262/M$261)*N$261</f>
        <v>3.632810360947575</v>
      </c>
      <c r="O262" s="7">
        <f ca="1">IF(O$6=OFFSET(Assumptions!$B$8,0,$C$1),AVERAGE(L$262/L$261,M$262/M$261,N$262/N$261),N$262/N$261)*O$261</f>
        <v>3.7898115552419789</v>
      </c>
      <c r="P262" s="7">
        <f ca="1">IF(P$6=OFFSET(Assumptions!$B$8,0,$C$1),AVERAGE(M$262/M$261,N$262/N$261,O$262/O$261),O$262/O$261)*P$261</f>
        <v>3.9524856223637461</v>
      </c>
      <c r="Q262" s="7">
        <f ca="1">IF(Q$6=OFFSET(Assumptions!$B$8,0,$C$1),AVERAGE(N$262/N$261,O$262/O$261,P$262/P$261),P$262/P$261)*Q$261</f>
        <v>4.1205809601023722</v>
      </c>
      <c r="R262" s="7">
        <f ca="1">IF(R$6=OFFSET(Assumptions!$B$8,0,$C$1),AVERAGE(O$262/O$261,P$262/P$261,Q$262/Q$261),Q$262/Q$261)*R$261</f>
        <v>4.2939101276496778</v>
      </c>
      <c r="S262" s="7">
        <f ca="1">IF(S$6=OFFSET(Assumptions!$B$8,0,$C$1),AVERAGE(P$262/P$261,Q$262/Q$261,R$262/R$261),R$262/R$261)*S$261</f>
        <v>4.4732599086717579</v>
      </c>
      <c r="T262" s="7">
        <f ca="1">IF(T$6=OFFSET(Assumptions!$B$8,0,$C$1),AVERAGE(Q$262/Q$261,R$262/R$261,S$262/S$261),S$262/S$261)*T$261</f>
        <v>4.6583517784235493</v>
      </c>
    </row>
    <row r="263" spans="1:20" x14ac:dyDescent="0.2">
      <c r="A263" s="1" t="s">
        <v>506</v>
      </c>
      <c r="B263" s="4" t="str">
        <f t="shared" si="121"/>
        <v>From Fiscal</v>
      </c>
      <c r="D263" s="15">
        <f>'Fiscal Forecasts'!D$199</f>
        <v>6.9189999999999996</v>
      </c>
      <c r="E263" s="15">
        <f>'Fiscal Forecasts'!E$199</f>
        <v>7.0590000000000002</v>
      </c>
      <c r="F263" s="16">
        <f>'Fiscal Forecasts'!F$199</f>
        <v>6.9130000000000003</v>
      </c>
      <c r="G263" s="16">
        <f>'Fiscal Forecasts'!G$199</f>
        <v>7.2080000000000002</v>
      </c>
      <c r="H263" s="16">
        <f>'Fiscal Forecasts'!H$199</f>
        <v>7.5880000000000001</v>
      </c>
      <c r="I263" s="16">
        <f>'Fiscal Forecasts'!I$199</f>
        <v>7.9039999999999999</v>
      </c>
      <c r="J263" s="16">
        <f>'Fiscal Forecasts'!J$199</f>
        <v>8.2989999999999995</v>
      </c>
      <c r="K263" s="7">
        <f ca="1">IF(K$6=OFFSET(Assumptions!$B$8,0,$C$1),AVERAGE(H$263/H$13,I$263/I$13,J$263/J$13),J$263/J$13)*K$13</f>
        <v>8.6197428120669279</v>
      </c>
      <c r="L263" s="7">
        <f ca="1">IF(L$6=OFFSET(Assumptions!$B$8,0,$C$1),AVERAGE(I$263/I$13,J$263/J$13,K$263/K$13),K$263/K$13)*L$13</f>
        <v>8.9979204992880994</v>
      </c>
      <c r="M263" s="7">
        <f ca="1">IF(M$6=OFFSET(Assumptions!$B$8,0,$C$1),AVERAGE(J$263/J$13,K$263/K$13,L$263/L$13),L$263/L$13)*M$13</f>
        <v>9.3911277971919311</v>
      </c>
      <c r="N263" s="7">
        <f ca="1">IF(N$6=OFFSET(Assumptions!$B$8,0,$C$1),AVERAGE(K$263/K$13,L$263/L$13,M$263/M$13),M$263/M$13)*N$13</f>
        <v>9.801074179565985</v>
      </c>
      <c r="O263" s="7">
        <f ca="1">IF(O$6=OFFSET(Assumptions!$B$8,0,$C$1),AVERAGE(L$263/L$13,M$263/M$13,N$263/N$13),N$263/N$13)*O$13</f>
        <v>10.22465267628623</v>
      </c>
      <c r="P263" s="7">
        <f ca="1">IF(P$6=OFFSET(Assumptions!$B$8,0,$C$1),AVERAGE(M$263/M$13,N$263/N$13,O$263/O$13),O$263/O$13)*P$13</f>
        <v>10.663536196354221</v>
      </c>
      <c r="Q263" s="7">
        <f ca="1">IF(Q$6=OFFSET(Assumptions!$B$8,0,$C$1),AVERAGE(N$263/N$13,O$263/O$13,P$263/P$13),P$263/P$13)*Q$13</f>
        <v>11.11704593419414</v>
      </c>
      <c r="R263" s="7">
        <f ca="1">IF(R$6=OFFSET(Assumptions!$B$8,0,$C$1),AVERAGE(O$263/O$13,P$263/P$13,Q$263/Q$13),Q$263/Q$13)*R$13</f>
        <v>11.584676187310475</v>
      </c>
      <c r="S263" s="7">
        <f ca="1">IF(S$6=OFFSET(Assumptions!$B$8,0,$C$1),AVERAGE(P$263/P$13,Q$263/Q$13,R$263/R$13),R$263/R$13)*S$13</f>
        <v>12.068549644285483</v>
      </c>
      <c r="T263" s="7">
        <f ca="1">IF(T$6=OFFSET(Assumptions!$B$8,0,$C$1),AVERAGE(Q$263/Q$13,R$263/R$13,S$263/S$13),S$263/S$13)*T$13</f>
        <v>12.567914864384305</v>
      </c>
    </row>
    <row r="264" spans="1:20" x14ac:dyDescent="0.2">
      <c r="A264" s="1" t="s">
        <v>507</v>
      </c>
      <c r="B264" s="4" t="str">
        <f t="shared" si="121"/>
        <v>From Fiscal</v>
      </c>
      <c r="D264" s="15">
        <f>'Fiscal Forecasts'!D$43-SUM(D$261:D$263)</f>
        <v>-2.495000000000001</v>
      </c>
      <c r="E264" s="15">
        <f>'Fiscal Forecasts'!E$43-SUM(E$261:E$263)</f>
        <v>-2.4949999999999992</v>
      </c>
      <c r="F264" s="16">
        <f>'Fiscal Forecasts'!F$43-SUM(F$261:F$263)</f>
        <v>-2.4329999999999998</v>
      </c>
      <c r="G264" s="16">
        <f>'Fiscal Forecasts'!G$43-SUM(G$261:G$263)</f>
        <v>-2.802999999999999</v>
      </c>
      <c r="H264" s="16">
        <f>'Fiscal Forecasts'!H$43-SUM(H$261:H$263)</f>
        <v>-2.4909999999999997</v>
      </c>
      <c r="I264" s="16">
        <f>'Fiscal Forecasts'!I$43-SUM(I$261:I$263)</f>
        <v>-2.5299999999999994</v>
      </c>
      <c r="J264" s="16">
        <f>'Fiscal Forecasts'!J$43-SUM(J$261:J$263)</f>
        <v>-3.0350000000000001</v>
      </c>
      <c r="K264" s="7">
        <f ca="1">IF(K$6=OFFSET(Assumptions!$B$8,0,$C$1),AVERAGE(H$264/H$261,I$264/I$261,J$264/J$261),J$264/J$261)*K$261</f>
        <v>-2.9678550741383645</v>
      </c>
      <c r="L264" s="7">
        <f ca="1">IF(L$6=OFFSET(Assumptions!$B$8,0,$C$1),AVERAGE(I$264/I$261,J$264/J$261,K$264/K$261),K$264/K$261)*L$261</f>
        <v>-3.223379595543868</v>
      </c>
      <c r="M264" s="7">
        <f ca="1">IF(M$6=OFFSET(Assumptions!$B$8,0,$C$1),AVERAGE(J$264/J$261,K$264/K$261,L$264/L$261),L$264/L$261)*M$261</f>
        <v>-3.4005597059872805</v>
      </c>
      <c r="N264" s="7">
        <f ca="1">IF(N$6=OFFSET(Assumptions!$B$8,0,$C$1),AVERAGE(K$264/K$261,L$264/L$261,M$264/M$261),M$264/M$261)*N$261</f>
        <v>-3.5490027023580994</v>
      </c>
      <c r="O264" s="7">
        <f ca="1">IF(O$6=OFFSET(Assumptions!$B$8,0,$C$1),AVERAGE(L$264/L$261,M$264/M$261,N$264/N$261),N$264/N$261)*O$261</f>
        <v>-3.7023819342646469</v>
      </c>
      <c r="P264" s="7">
        <f ca="1">IF(P$6=OFFSET(Assumptions!$B$8,0,$C$1),AVERAGE(M$264/M$261,N$264/N$261,O$264/O$261),O$264/O$261)*P$261</f>
        <v>-3.8613031678156728</v>
      </c>
      <c r="Q264" s="7">
        <f ca="1">IF(Q$6=OFFSET(Assumptions!$B$8,0,$C$1),AVERAGE(N$264/N$261,O$264/O$261,P$264/P$261),P$264/P$261)*Q$261</f>
        <v>-4.0255206051752639</v>
      </c>
      <c r="R264" s="7">
        <f ca="1">IF(R$6=OFFSET(Assumptions!$B$8,0,$C$1),AVERAGE(O$264/O$261,P$264/P$261,Q$264/Q$261),Q$264/Q$261)*R$261</f>
        <v>-4.1948511297288258</v>
      </c>
      <c r="S264" s="7">
        <f ca="1">IF(S$6=OFFSET(Assumptions!$B$8,0,$C$1),AVERAGE(P$264/P$261,Q$264/Q$261,R$264/R$261),R$264/R$261)*S$261</f>
        <v>-4.3700633743197237</v>
      </c>
      <c r="T264" s="7">
        <f ca="1">IF(T$6=OFFSET(Assumptions!$B$8,0,$C$1),AVERAGE(Q$264/Q$261,R$264/R$261,S$264/S$261),S$264/S$261)*T$261</f>
        <v>-4.550885239670901</v>
      </c>
    </row>
    <row r="265" spans="1:20" ht="15" x14ac:dyDescent="0.25">
      <c r="A265" s="2" t="s">
        <v>548</v>
      </c>
      <c r="D265" s="35">
        <f t="shared" ref="D265:T265" si="122">SUM(D$261:D$264)</f>
        <v>9.2789999999999999</v>
      </c>
      <c r="E265" s="35">
        <f t="shared" si="122"/>
        <v>9.4</v>
      </c>
      <c r="F265" s="34">
        <f t="shared" si="122"/>
        <v>9.2959999999999994</v>
      </c>
      <c r="G265" s="34">
        <f t="shared" si="122"/>
        <v>9.7780000000000005</v>
      </c>
      <c r="H265" s="34">
        <f t="shared" si="122"/>
        <v>10.083</v>
      </c>
      <c r="I265" s="34">
        <f t="shared" si="122"/>
        <v>10.191000000000001</v>
      </c>
      <c r="J265" s="34">
        <f t="shared" si="122"/>
        <v>11.12</v>
      </c>
      <c r="K265" s="38">
        <f t="shared" ca="1" si="122"/>
        <v>11.422379790180241</v>
      </c>
      <c r="L265" s="38">
        <f t="shared" ca="1" si="122"/>
        <v>12.041857154985463</v>
      </c>
      <c r="M265" s="38">
        <f t="shared" ca="1" si="122"/>
        <v>12.602381089621993</v>
      </c>
      <c r="N265" s="38">
        <f t="shared" ca="1" si="122"/>
        <v>13.152506766597075</v>
      </c>
      <c r="O265" s="38">
        <f t="shared" ca="1" si="122"/>
        <v>13.72092599720683</v>
      </c>
      <c r="P265" s="38">
        <f t="shared" ca="1" si="122"/>
        <v>14.309883734051322</v>
      </c>
      <c r="Q265" s="38">
        <f t="shared" ca="1" si="122"/>
        <v>14.918469057085922</v>
      </c>
      <c r="R265" s="38">
        <f t="shared" ca="1" si="122"/>
        <v>15.546003341154616</v>
      </c>
      <c r="S265" s="38">
        <f t="shared" ca="1" si="122"/>
        <v>16.195335118513157</v>
      </c>
      <c r="T265" s="38">
        <f t="shared" ca="1" si="122"/>
        <v>16.865455996696721</v>
      </c>
    </row>
    <row r="266" spans="1:20" ht="15" x14ac:dyDescent="0.25">
      <c r="A266" s="2"/>
      <c r="D266" s="47"/>
      <c r="E266" s="47"/>
      <c r="F266" s="48"/>
      <c r="G266" s="48"/>
      <c r="H266" s="48"/>
      <c r="I266" s="48"/>
      <c r="J266" s="48"/>
      <c r="K266" s="49"/>
      <c r="L266" s="49"/>
      <c r="M266" s="49"/>
      <c r="N266" s="49"/>
      <c r="O266" s="49"/>
      <c r="P266" s="49"/>
      <c r="Q266" s="49"/>
      <c r="R266" s="49"/>
      <c r="S266" s="49"/>
      <c r="T266" s="49"/>
    </row>
    <row r="267" spans="1:20" ht="15" x14ac:dyDescent="0.25">
      <c r="A267" s="19" t="s">
        <v>549</v>
      </c>
      <c r="D267" s="47"/>
      <c r="E267" s="47"/>
      <c r="F267" s="48"/>
      <c r="G267" s="48"/>
      <c r="H267" s="48"/>
      <c r="I267" s="48"/>
      <c r="J267" s="48"/>
      <c r="K267" s="49"/>
      <c r="L267" s="49"/>
      <c r="M267" s="49"/>
      <c r="N267" s="49"/>
      <c r="O267" s="49"/>
      <c r="P267" s="49"/>
      <c r="Q267" s="49"/>
      <c r="R267" s="49"/>
      <c r="S267" s="49"/>
      <c r="T267" s="49"/>
    </row>
    <row r="268" spans="1:20" x14ac:dyDescent="0.2">
      <c r="A268" s="1" t="s">
        <v>1326</v>
      </c>
      <c r="D268" s="15">
        <f>D$211</f>
        <v>6.0000000000000001E-3</v>
      </c>
      <c r="E268" s="15">
        <f t="shared" ref="E268:T268" si="123">E$211</f>
        <v>0</v>
      </c>
      <c r="F268" s="16">
        <f t="shared" si="123"/>
        <v>3.0000000000000001E-3</v>
      </c>
      <c r="G268" s="16">
        <f t="shared" si="123"/>
        <v>0</v>
      </c>
      <c r="H268" s="16">
        <f t="shared" si="123"/>
        <v>4.0000000000000001E-3</v>
      </c>
      <c r="I268" s="16">
        <f t="shared" si="123"/>
        <v>0</v>
      </c>
      <c r="J268" s="16">
        <f t="shared" si="123"/>
        <v>0</v>
      </c>
      <c r="K268" s="7">
        <f t="shared" ca="1" si="123"/>
        <v>0</v>
      </c>
      <c r="L268" s="7">
        <f t="shared" ca="1" si="123"/>
        <v>0</v>
      </c>
      <c r="M268" s="7">
        <f t="shared" ca="1" si="123"/>
        <v>0</v>
      </c>
      <c r="N268" s="7">
        <f t="shared" ca="1" si="123"/>
        <v>0</v>
      </c>
      <c r="O268" s="7">
        <f t="shared" ca="1" si="123"/>
        <v>0</v>
      </c>
      <c r="P268" s="7">
        <f t="shared" ca="1" si="123"/>
        <v>0</v>
      </c>
      <c r="Q268" s="7">
        <f t="shared" ca="1" si="123"/>
        <v>0</v>
      </c>
      <c r="R268" s="7">
        <f t="shared" ca="1" si="123"/>
        <v>0</v>
      </c>
      <c r="S268" s="7">
        <f t="shared" ca="1" si="123"/>
        <v>0</v>
      </c>
      <c r="T268" s="7">
        <f t="shared" ca="1" si="123"/>
        <v>0</v>
      </c>
    </row>
    <row r="269" spans="1:20" x14ac:dyDescent="0.2">
      <c r="A269" s="1" t="s">
        <v>497</v>
      </c>
      <c r="D269" s="15">
        <f t="shared" ref="D269:T269" si="124">D$167</f>
        <v>0.85599999999999998</v>
      </c>
      <c r="E269" s="15">
        <f t="shared" si="124"/>
        <v>0.69799999999999995</v>
      </c>
      <c r="F269" s="16">
        <f>F$167 +IF($C$2="Yes",'Fiscal Forecast Adjuster'!C$22/1000,0)</f>
        <v>0.80500000000000005</v>
      </c>
      <c r="G269" s="16">
        <f>G$167 +IF($C$2="Yes",'Fiscal Forecast Adjuster'!D$22/1000,0)</f>
        <v>0.82799999999999996</v>
      </c>
      <c r="H269" s="16">
        <f>H$167 +IF($C$2="Yes",'Fiscal Forecast Adjuster'!E$22/1000,0)</f>
        <v>0.86899999999999999</v>
      </c>
      <c r="I269" s="16">
        <f>I$167 +IF($C$2="Yes",'Fiscal Forecast Adjuster'!F$22/1000,0)</f>
        <v>0.90900000000000003</v>
      </c>
      <c r="J269" s="16">
        <f>J$167 +IF($C$2="Yes",'Fiscal Forecast Adjuster'!G$22/1000,0)</f>
        <v>0.95399999999999996</v>
      </c>
      <c r="K269" s="7">
        <f t="shared" ca="1" si="124"/>
        <v>0.995</v>
      </c>
      <c r="L269" s="7">
        <f t="shared" ca="1" si="124"/>
        <v>1.0386540633507413</v>
      </c>
      <c r="M269" s="7">
        <f t="shared" ca="1" si="124"/>
        <v>1.0840430349180374</v>
      </c>
      <c r="N269" s="7">
        <f t="shared" ca="1" si="124"/>
        <v>1.1313642438398583</v>
      </c>
      <c r="O269" s="7">
        <f t="shared" ca="1" si="124"/>
        <v>1.1802590442330478</v>
      </c>
      <c r="P269" s="7">
        <f t="shared" ca="1" si="124"/>
        <v>1.2309205444643914</v>
      </c>
      <c r="Q269" s="7">
        <f t="shared" ca="1" si="124"/>
        <v>1.2832703881881529</v>
      </c>
      <c r="R269" s="7">
        <f t="shared" ca="1" si="124"/>
        <v>1.3372502008107967</v>
      </c>
      <c r="S269" s="7">
        <f t="shared" ca="1" si="124"/>
        <v>1.3931050099608024</v>
      </c>
      <c r="T269" s="7">
        <f t="shared" ca="1" si="124"/>
        <v>1.4507480748214796</v>
      </c>
    </row>
    <row r="270" spans="1:20" x14ac:dyDescent="0.2">
      <c r="A270" s="1" t="s">
        <v>550</v>
      </c>
      <c r="B270" s="4" t="str">
        <f>$B$38</f>
        <v>From Fiscal</v>
      </c>
      <c r="D270" s="15">
        <f>'Fiscal Forecasts'!D$61-SUM(D$268:D$269)</f>
        <v>1.3660000000000001</v>
      </c>
      <c r="E270" s="15">
        <f>'Fiscal Forecasts'!E$61-SUM(E$268:E$269)</f>
        <v>1.4090000000000003</v>
      </c>
      <c r="F270" s="16">
        <f ca="1">'Fiscal Forecasts'!F$61-SUM(F$268:F$269) +IF($C$2="Yes",'Fiscal Forecast Adjuster'!C$22/1000,0) +IF(OFFSET(Assumptions!$B$57,0,$C$1)="Yes",Allocate!C$20 +IF($C$2="Yes",Allocate!$B$20*'Fiscal Forecast Adjuster'!C$26/1000,0),0)</f>
        <v>1.7750000000000001</v>
      </c>
      <c r="G270" s="16">
        <f ca="1">'Fiscal Forecasts'!G$61-SUM(G$268:G$269) +IF($C$2="Yes",'Fiscal Forecast Adjuster'!D$22/1000,0) +IF(OFFSET(Assumptions!$B$57,0,$C$1)="Yes",Allocate!D$20 +IF($C$2="Yes",Allocate!$B$20*'Fiscal Forecast Adjuster'!D$26/1000,0),0)</f>
        <v>2.0060000000000002</v>
      </c>
      <c r="H270" s="16">
        <f ca="1">'Fiscal Forecasts'!H$61-SUM(H$268:H$269) +IF($C$2="Yes",'Fiscal Forecast Adjuster'!E$22/1000,0) +IF(OFFSET(Assumptions!$B$57,0,$C$1)="Yes",Allocate!E$20 +IF($C$2="Yes",Allocate!$B$20*'Fiscal Forecast Adjuster'!E$26/1000,0),0)</f>
        <v>1.9080000000000001</v>
      </c>
      <c r="I270" s="16">
        <f ca="1">'Fiscal Forecasts'!I$61-SUM(I$268:I$269) +IF($C$2="Yes",'Fiscal Forecast Adjuster'!F$22/1000,0) +IF(OFFSET(Assumptions!$B$57,0,$C$1)="Yes",Allocate!F$20 +IF($C$2="Yes",Allocate!$B$20*'Fiscal Forecast Adjuster'!F$26/1000,0),0)</f>
        <v>1.8299999999999998</v>
      </c>
      <c r="J270" s="16">
        <f ca="1">'Fiscal Forecasts'!J$61-SUM(J$268:J$269) +IF($C$2="Yes",'Fiscal Forecast Adjuster'!G$22/1000,0) +IF(OFFSET(Assumptions!$B$57,0,$C$1)="Yes",Allocate!G$20 +IF($C$2="Yes",Allocate!$B$20*'Fiscal Forecast Adjuster'!G$26/1000,0),0)</f>
        <v>1.7950000000000002</v>
      </c>
      <c r="K270" s="7">
        <f ca="1">SUM(J$270,IF(OFFSET(Assumptions!$B$57,0,$C$1)="Yes",Allocate!$B$20,0)*SUM(K$220,K$223))</f>
        <v>1.7950000000000002</v>
      </c>
      <c r="L270" s="7">
        <f ca="1">SUM(K$270,IF(OFFSET(Assumptions!$B$57,0,$C$1)="Yes",Allocate!$B$20,0)*SUM(L$220,L$223))</f>
        <v>1.7950000000000002</v>
      </c>
      <c r="M270" s="7">
        <f ca="1">SUM(L$270,IF(OFFSET(Assumptions!$B$57,0,$C$1)="Yes",Allocate!$B$20,0)*SUM(M$220,M$223))</f>
        <v>1.7950000000000002</v>
      </c>
      <c r="N270" s="7">
        <f ca="1">SUM(M$270,IF(OFFSET(Assumptions!$B$57,0,$C$1)="Yes",Allocate!$B$20,0)*SUM(N$220,N$223))</f>
        <v>1.7950000000000002</v>
      </c>
      <c r="O270" s="7">
        <f ca="1">SUM(N$270,IF(OFFSET(Assumptions!$B$57,0,$C$1)="Yes",Allocate!$B$20,0)*SUM(O$220,O$223))</f>
        <v>1.7950000000000002</v>
      </c>
      <c r="P270" s="7">
        <f ca="1">SUM(O$270,IF(OFFSET(Assumptions!$B$57,0,$C$1)="Yes",Allocate!$B$20,0)*SUM(P$220,P$223))</f>
        <v>1.7950000000000002</v>
      </c>
      <c r="Q270" s="7">
        <f ca="1">SUM(P$270,IF(OFFSET(Assumptions!$B$57,0,$C$1)="Yes",Allocate!$B$20,0)*SUM(Q$220,Q$223))</f>
        <v>1.7950000000000002</v>
      </c>
      <c r="R270" s="7">
        <f ca="1">SUM(Q$270,IF(OFFSET(Assumptions!$B$57,0,$C$1)="Yes",Allocate!$B$20,0)*SUM(R$220,R$223))</f>
        <v>1.7950000000000002</v>
      </c>
      <c r="S270" s="7">
        <f ca="1">SUM(R$270,IF(OFFSET(Assumptions!$B$57,0,$C$1)="Yes",Allocate!$B$20,0)*SUM(S$220,S$223))</f>
        <v>1.7950000000000002</v>
      </c>
      <c r="T270" s="7">
        <f ca="1">SUM(S$270,IF(OFFSET(Assumptions!$B$57,0,$C$1)="Yes",Allocate!$B$20,0)*SUM(T$220,T$223))</f>
        <v>1.7950000000000002</v>
      </c>
    </row>
    <row r="271" spans="1:20" ht="15" x14ac:dyDescent="0.25">
      <c r="A271" s="2" t="s">
        <v>551</v>
      </c>
      <c r="D271" s="35">
        <f>SUM(D$268:D$270)</f>
        <v>2.2280000000000002</v>
      </c>
      <c r="E271" s="35">
        <f>SUM(E$268:E$270)</f>
        <v>2.1070000000000002</v>
      </c>
      <c r="F271" s="34">
        <f ca="1">SUM(F$268:F$270)</f>
        <v>2.5830000000000002</v>
      </c>
      <c r="G271" s="34">
        <f t="shared" ref="G271:J271" ca="1" si="125">SUM(G$268:G$270)</f>
        <v>2.8340000000000001</v>
      </c>
      <c r="H271" s="34">
        <f t="shared" ca="1" si="125"/>
        <v>2.7810000000000001</v>
      </c>
      <c r="I271" s="34">
        <f t="shared" ca="1" si="125"/>
        <v>2.7389999999999999</v>
      </c>
      <c r="J271" s="34">
        <f t="shared" ca="1" si="125"/>
        <v>2.7490000000000001</v>
      </c>
      <c r="K271" s="38">
        <f ca="1">SUM(K$268:K$270)</f>
        <v>2.79</v>
      </c>
      <c r="L271" s="38">
        <f t="shared" ref="L271:T271" ca="1" si="126">SUM(L$268:L$270)</f>
        <v>2.8336540633507417</v>
      </c>
      <c r="M271" s="38">
        <f t="shared" ca="1" si="126"/>
        <v>2.8790430349180376</v>
      </c>
      <c r="N271" s="38">
        <f t="shared" ca="1" si="126"/>
        <v>2.9263642438398585</v>
      </c>
      <c r="O271" s="38">
        <f t="shared" ca="1" si="126"/>
        <v>2.9752590442330478</v>
      </c>
      <c r="P271" s="38">
        <f t="shared" ca="1" si="126"/>
        <v>3.0259205444643915</v>
      </c>
      <c r="Q271" s="38">
        <f t="shared" ca="1" si="126"/>
        <v>3.078270388188153</v>
      </c>
      <c r="R271" s="38">
        <f t="shared" ca="1" si="126"/>
        <v>3.1322502008107969</v>
      </c>
      <c r="S271" s="38">
        <f t="shared" ca="1" si="126"/>
        <v>3.1881050099608026</v>
      </c>
      <c r="T271" s="38">
        <f t="shared" ca="1" si="126"/>
        <v>3.2457480748214795</v>
      </c>
    </row>
    <row r="272" spans="1:20" ht="15" x14ac:dyDescent="0.25">
      <c r="A272" s="2" t="s">
        <v>552</v>
      </c>
      <c r="B272" s="4" t="str">
        <f>$B$38</f>
        <v>From Fiscal</v>
      </c>
      <c r="D272" s="40">
        <f>'Fiscal Forecasts'!D$44</f>
        <v>8.2349999999999994</v>
      </c>
      <c r="E272" s="40">
        <f>'Fiscal Forecasts'!E$44</f>
        <v>7.4279999999999999</v>
      </c>
      <c r="F272" s="39">
        <f ca="1">'Fiscal Forecasts'!F$44 +IF($C$2="Yes",'Fiscal Forecast Adjuster'!C$22/1000,0) +IF(OFFSET(Assumptions!$B$57,0,$C$1)="Yes",Allocate!C$20 +IF($C$2="Yes",Allocate!$B$20*'Fiscal Forecast Adjuster'!C$26/1000,0),0)</f>
        <v>8.2530000000000001</v>
      </c>
      <c r="G272" s="39">
        <f ca="1">'Fiscal Forecasts'!G$44 +IF($C$2="Yes",'Fiscal Forecast Adjuster'!D$22/1000,0) +IF(OFFSET(Assumptions!$B$57,0,$C$1)="Yes",Allocate!D$20 +IF($C$2="Yes",Allocate!$B$20*'Fiscal Forecast Adjuster'!D$26/1000,0),0)</f>
        <v>8.0969999999999995</v>
      </c>
      <c r="H272" s="39">
        <f ca="1">'Fiscal Forecasts'!H$44 +IF($C$2="Yes",'Fiscal Forecast Adjuster'!E$22/1000,0) +IF(OFFSET(Assumptions!$B$57,0,$C$1)="Yes",Allocate!E$20 +IF($C$2="Yes",Allocate!$B$20*'Fiscal Forecast Adjuster'!E$26/1000,0),0)</f>
        <v>8.5030000000000001</v>
      </c>
      <c r="I272" s="39">
        <f ca="1">'Fiscal Forecasts'!I$44 +IF($C$2="Yes",'Fiscal Forecast Adjuster'!F$22/1000,0) +IF(OFFSET(Assumptions!$B$57,0,$C$1)="Yes",Allocate!F$20 +IF($C$2="Yes",Allocate!$B$20*'Fiscal Forecast Adjuster'!F$26/1000,0),0)</f>
        <v>8.7620000000000005</v>
      </c>
      <c r="J272" s="39">
        <f ca="1">'Fiscal Forecasts'!J$44 +IF($C$2="Yes",'Fiscal Forecast Adjuster'!G$22/1000,0) +IF(OFFSET(Assumptions!$B$57,0,$C$1)="Yes",Allocate!G$20 +IF($C$2="Yes",Allocate!$B$20*'Fiscal Forecast Adjuster'!G$26/1000,0),0)</f>
        <v>8.8010000000000002</v>
      </c>
      <c r="K272" s="8">
        <f ca="1">SUM(K$271,IF(K$6=OFFSET(Assumptions!$B$8,0,$C$1),AVERAGE((H$272-H$271)/H$13,(I$272-I$271)/I$13,(J$272-J$271)/J$13),(J$272-J$271)/J$13)*K$13)</f>
        <v>9.2410502609654337</v>
      </c>
      <c r="L272" s="8">
        <f ca="1">SUM(L$271,IF(L$6=OFFSET(Assumptions!$B$8,0,$C$1),AVERAGE((I$272-I$271)/I$13,(J$272-J$271)/J$13,(K$272-K$271)/K$13),(K$272-K$271)/K$13)*L$13)</f>
        <v>9.5677340296136624</v>
      </c>
      <c r="M272" s="8">
        <f ca="1">SUM(M$271,IF(M$6=OFFSET(Assumptions!$B$8,0,$C$1),AVERAGE((J$272-J$271)/J$13,(K$272-K$271)/K$13,(L$272-L$271)/L$13),(L$272-L$271)/L$13)*M$13)</f>
        <v>9.9074009276876502</v>
      </c>
      <c r="N272" s="8">
        <f ca="1">SUM(N$271,IF(N$6=OFFSET(Assumptions!$B$8,0,$C$1),AVERAGE((K$272-K$271)/K$13,(L$272-L$271)/L$13,(M$272-M$271)/M$13),(M$272-M$271)/M$13)*N$13)</f>
        <v>10.261527661397725</v>
      </c>
      <c r="O272" s="8">
        <f ca="1">SUM(O$271,IF(O$6=OFFSET(Assumptions!$B$8,0,$C$1),AVERAGE((L$272-L$271)/L$13,(M$272-M$271)/M$13,(N$272-N$271)/N$13),(N$272-N$271)/N$13)*O$13)</f>
        <v>10.627430315897787</v>
      </c>
      <c r="P272" s="8">
        <f ca="1">SUM(P$271,IF(P$6=OFFSET(Assumptions!$B$8,0,$C$1),AVERAGE((M$272-M$271)/M$13,(N$272-N$271)/N$13,(O$272-O$271)/O$13),(O$272-O$271)/O$13)*P$13)</f>
        <v>11.006554011393762</v>
      </c>
      <c r="Q272" s="8">
        <f ca="1">SUM(Q$271,IF(Q$6=OFFSET(Assumptions!$B$8,0,$C$1),AVERAGE((N$272-N$271)/N$13,(O$272-O$271)/O$13,(P$272-P$271)/P$13),(P$272-P$271)/P$13)*Q$13)</f>
        <v>11.398312370711164</v>
      </c>
      <c r="R272" s="8">
        <f ca="1">SUM(R$271,IF(R$6=OFFSET(Assumptions!$B$8,0,$C$1),AVERAGE((O$272-O$271)/O$13,(P$272-P$271)/P$13,(Q$272-Q$271)/Q$13),(Q$272-Q$271)/Q$13)*R$13)</f>
        <v>11.802268549470661</v>
      </c>
      <c r="S272" s="8">
        <f ca="1">SUM(S$271,IF(S$6=OFFSET(Assumptions!$B$8,0,$C$1),AVERAGE((P$272-P$271)/P$13,(Q$272-Q$271)/Q$13,(R$272-R$271)/R$13),(R$272-R$271)/R$13)*S$13)</f>
        <v>12.220256203990836</v>
      </c>
      <c r="T272" s="8">
        <f ca="1">SUM(T$271,IF(T$6=OFFSET(Assumptions!$B$8,0,$C$1),AVERAGE((Q$272-Q$271)/Q$13,(R$272-R$271)/R$13,(S$272-S$271)/S$13),(S$272-S$271)/S$13)*T$13)</f>
        <v>12.651626212180476</v>
      </c>
    </row>
    <row r="273" spans="1:20" ht="15" x14ac:dyDescent="0.25">
      <c r="A273" s="2"/>
      <c r="B273" s="4"/>
      <c r="D273" s="40"/>
      <c r="E273" s="40"/>
      <c r="F273" s="39"/>
      <c r="G273" s="39"/>
      <c r="H273" s="39"/>
      <c r="I273" s="39"/>
      <c r="J273" s="39"/>
      <c r="K273" s="8"/>
      <c r="L273" s="8"/>
      <c r="M273" s="8"/>
      <c r="N273" s="8"/>
      <c r="O273" s="8"/>
      <c r="P273" s="8"/>
      <c r="Q273" s="8"/>
      <c r="R273" s="8"/>
      <c r="S273" s="8"/>
      <c r="T273" s="8"/>
    </row>
    <row r="274" spans="1:20" ht="15" x14ac:dyDescent="0.25">
      <c r="A274" s="19" t="s">
        <v>603</v>
      </c>
      <c r="D274" s="47"/>
      <c r="E274" s="47"/>
      <c r="F274" s="48"/>
      <c r="G274" s="48"/>
      <c r="H274" s="48"/>
      <c r="I274" s="48"/>
      <c r="J274" s="48"/>
      <c r="K274" s="49"/>
      <c r="L274" s="49"/>
      <c r="M274" s="49"/>
      <c r="N274" s="49"/>
      <c r="O274" s="49"/>
      <c r="P274" s="49"/>
      <c r="Q274" s="49"/>
      <c r="R274" s="49"/>
      <c r="S274" s="49"/>
      <c r="T274" s="49"/>
    </row>
    <row r="275" spans="1:20" ht="15" x14ac:dyDescent="0.25">
      <c r="A275" s="2" t="s">
        <v>553</v>
      </c>
      <c r="B275" s="4" t="str">
        <f t="shared" ref="B275:B300" si="127">$B$38</f>
        <v>From Fiscal</v>
      </c>
      <c r="D275" s="40">
        <f>'Fiscal Forecasts'!D$62</f>
        <v>0.77800000000000002</v>
      </c>
      <c r="E275" s="40">
        <f>'Fiscal Forecasts'!E$62</f>
        <v>0.78700000000000003</v>
      </c>
      <c r="F275" s="39">
        <f ca="1">'Fiscal Forecasts'!F$62 +IF(OFFSET(Assumptions!$B$57,0,$C$1)="Yes",Allocate!C$21 +IF($C$2="Yes",Allocate!$B$21*'Fiscal Forecast Adjuster'!C$26/1000,0),0)</f>
        <v>0.86099999999999999</v>
      </c>
      <c r="G275" s="39">
        <f ca="1">'Fiscal Forecasts'!G$62 +IF(OFFSET(Assumptions!$B$57,0,$C$1)="Yes",Allocate!D$21 +IF($C$2="Yes",Allocate!$B$21*'Fiscal Forecast Adjuster'!D$26/1000,0),0)</f>
        <v>0.88500000000000001</v>
      </c>
      <c r="H275" s="39">
        <f ca="1">'Fiscal Forecasts'!H$62 +IF(OFFSET(Assumptions!$B$57,0,$C$1)="Yes",Allocate!E$21 +IF($C$2="Yes",Allocate!$B$21*'Fiscal Forecast Adjuster'!E$26/1000,0),0)</f>
        <v>0.875</v>
      </c>
      <c r="I275" s="39">
        <f ca="1">'Fiscal Forecasts'!I$62 +IF(OFFSET(Assumptions!$B$57,0,$C$1)="Yes",Allocate!F$21 +IF($C$2="Yes",Allocate!$B$21*'Fiscal Forecast Adjuster'!F$26/1000,0),0)</f>
        <v>0.84099999999999997</v>
      </c>
      <c r="J275" s="39">
        <f ca="1">'Fiscal Forecasts'!J$62 +IF(OFFSET(Assumptions!$B$57,0,$C$1)="Yes",Allocate!G$21 +IF($C$2="Yes",Allocate!$B$21*'Fiscal Forecast Adjuster'!G$26/1000,0),0)</f>
        <v>0.81399999999999995</v>
      </c>
      <c r="K275" s="49">
        <f ca="1">SUM(J$275,IF(OFFSET(Assumptions!$B$57,0,$C$1)="Yes",Allocate!$B$21,0)*SUM(K$220,K$223))</f>
        <v>0.81399999999999995</v>
      </c>
      <c r="L275" s="49">
        <f ca="1">SUM(K$275,IF(OFFSET(Assumptions!$B$57,0,$C$1)="Yes",Allocate!$B$21,0)*SUM(L$220,L$223))</f>
        <v>0.81399999999999995</v>
      </c>
      <c r="M275" s="49">
        <f ca="1">SUM(L$275,IF(OFFSET(Assumptions!$B$57,0,$C$1)="Yes",Allocate!$B$21,0)*SUM(M$220,M$223))</f>
        <v>0.81399999999999995</v>
      </c>
      <c r="N275" s="49">
        <f ca="1">SUM(M$275,IF(OFFSET(Assumptions!$B$57,0,$C$1)="Yes",Allocate!$B$21,0)*SUM(N$220,N$223))</f>
        <v>0.81399999999999995</v>
      </c>
      <c r="O275" s="49">
        <f ca="1">SUM(N$275,IF(OFFSET(Assumptions!$B$57,0,$C$1)="Yes",Allocate!$B$21,0)*SUM(O$220,O$223))</f>
        <v>0.81399999999999995</v>
      </c>
      <c r="P275" s="49">
        <f ca="1">SUM(O$275,IF(OFFSET(Assumptions!$B$57,0,$C$1)="Yes",Allocate!$B$21,0)*SUM(P$220,P$223))</f>
        <v>0.81399999999999995</v>
      </c>
      <c r="Q275" s="49">
        <f ca="1">SUM(P$275,IF(OFFSET(Assumptions!$B$57,0,$C$1)="Yes",Allocate!$B$21,0)*SUM(Q$220,Q$223))</f>
        <v>0.81399999999999995</v>
      </c>
      <c r="R275" s="49">
        <f ca="1">SUM(Q$275,IF(OFFSET(Assumptions!$B$57,0,$C$1)="Yes",Allocate!$B$21,0)*SUM(R$220,R$223))</f>
        <v>0.81399999999999995</v>
      </c>
      <c r="S275" s="49">
        <f ca="1">SUM(R$275,IF(OFFSET(Assumptions!$B$57,0,$C$1)="Yes",Allocate!$B$21,0)*SUM(S$220,S$223))</f>
        <v>0.81399999999999995</v>
      </c>
      <c r="T275" s="49">
        <f ca="1">SUM(S$275,IF(OFFSET(Assumptions!$B$57,0,$C$1)="Yes",Allocate!$B$21,0)*SUM(T$220,T$223))</f>
        <v>0.81399999999999995</v>
      </c>
    </row>
    <row r="276" spans="1:20" ht="15" x14ac:dyDescent="0.25">
      <c r="A276" s="2" t="s">
        <v>554</v>
      </c>
      <c r="B276" s="4" t="str">
        <f t="shared" si="127"/>
        <v>From Fiscal</v>
      </c>
      <c r="D276" s="40">
        <f>'Fiscal Forecasts'!D$45</f>
        <v>2.198</v>
      </c>
      <c r="E276" s="40">
        <f>'Fiscal Forecasts'!E$45</f>
        <v>2.21</v>
      </c>
      <c r="F276" s="39">
        <f ca="1">'Fiscal Forecasts'!F$45 +IF(OFFSET(Assumptions!$B$57,0,$C$1)="Yes",Allocate!C$21 +IF($C$2="Yes",Allocate!$B$21*'Fiscal Forecast Adjuster'!C$26/1000,0),0)</f>
        <v>2.5110000000000001</v>
      </c>
      <c r="G276" s="39">
        <f ca="1">'Fiscal Forecasts'!G$45 +IF(OFFSET(Assumptions!$B$57,0,$C$1)="Yes",Allocate!D$21 +IF($C$2="Yes",Allocate!$B$21*'Fiscal Forecast Adjuster'!D$26/1000,0),0)</f>
        <v>2.327</v>
      </c>
      <c r="H276" s="39">
        <f ca="1">'Fiscal Forecasts'!H$45 +IF(OFFSET(Assumptions!$B$57,0,$C$1)="Yes",Allocate!E$21 +IF($C$2="Yes",Allocate!$B$21*'Fiscal Forecast Adjuster'!E$26/1000,0),0)</f>
        <v>2.351</v>
      </c>
      <c r="I276" s="39">
        <f ca="1">'Fiscal Forecasts'!I$45 +IF(OFFSET(Assumptions!$B$57,0,$C$1)="Yes",Allocate!F$21 +IF($C$2="Yes",Allocate!$B$21*'Fiscal Forecast Adjuster'!F$26/1000,0),0)</f>
        <v>2.3559999999999999</v>
      </c>
      <c r="J276" s="39">
        <f ca="1">'Fiscal Forecasts'!J$45 +IF(OFFSET(Assumptions!$B$57,0,$C$1)="Yes",Allocate!G$21 +IF($C$2="Yes",Allocate!$B$21*'Fiscal Forecast Adjuster'!G$26/1000,0),0)</f>
        <v>2.3639999999999999</v>
      </c>
      <c r="K276" s="8">
        <f ca="1">SUM(K$275,IF(K$6=OFFSET(Assumptions!$B$8,0,$C$1),AVERAGE((H$276-H$275)/H$13,(I$276-I$275)/I$13,(J$276-J$275)/J$13),(J$276-J$275)/J$13)*K$13)</f>
        <v>2.4602108691304996</v>
      </c>
      <c r="L276" s="8">
        <f ca="1">SUM(L$275,IF(L$6=OFFSET(Assumptions!$B$8,0,$C$1),AVERAGE((I$276-I$275)/I$13,(J$276-J$275)/J$13,(K$276-K$275)/K$13),(K$276-K$275)/K$13)*L$13)</f>
        <v>2.5324357872910035</v>
      </c>
      <c r="M276" s="8">
        <f ca="1">SUM(M$275,IF(M$6=OFFSET(Assumptions!$B$8,0,$C$1),AVERAGE((J$276-J$275)/J$13,(K$276-K$275)/K$13,(L$276-L$275)/L$13),(L$276-L$275)/L$13)*M$13)</f>
        <v>2.6075310820977755</v>
      </c>
      <c r="N276" s="8">
        <f ca="1">SUM(N$275,IF(N$6=OFFSET(Assumptions!$B$8,0,$C$1),AVERAGE((K$276-K$275)/K$13,(L$276-L$275)/L$13,(M$276-M$275)/M$13),(M$276-M$275)/M$13)*N$13)</f>
        <v>2.6858232313113399</v>
      </c>
      <c r="O276" s="8">
        <f ca="1">SUM(O$275,IF(O$6=OFFSET(Assumptions!$B$8,0,$C$1),AVERAGE((L$276-L$275)/L$13,(M$276-M$275)/M$13,(N$276-N$275)/N$13),(N$276-N$275)/N$13)*O$13)</f>
        <v>2.7667188613125808</v>
      </c>
      <c r="P276" s="8">
        <f ca="1">SUM(P$275,IF(P$6=OFFSET(Assumptions!$B$8,0,$C$1),AVERAGE((M$276-M$275)/M$13,(N$276-N$275)/N$13,(O$276-O$275)/O$13),(O$276-O$275)/O$13)*P$13)</f>
        <v>2.8505374666666459</v>
      </c>
      <c r="Q276" s="8">
        <f ca="1">SUM(Q$275,IF(Q$6=OFFSET(Assumptions!$B$8,0,$C$1),AVERAGE((N$276-N$275)/N$13,(O$276-O$275)/O$13,(P$276-P$275)/P$13),(P$276-P$275)/P$13)*Q$13)</f>
        <v>2.9371494081091978</v>
      </c>
      <c r="R276" s="8">
        <f ca="1">SUM(R$275,IF(R$6=OFFSET(Assumptions!$B$8,0,$C$1),AVERAGE((O$276-O$275)/O$13,(P$276-P$275)/P$13,(Q$276-Q$275)/Q$13),(Q$276-Q$275)/Q$13)*R$13)</f>
        <v>3.0264581058509301</v>
      </c>
      <c r="S276" s="8">
        <f ca="1">SUM(S$275,IF(S$6=OFFSET(Assumptions!$B$8,0,$C$1),AVERAGE((P$276-P$275)/P$13,(Q$276-Q$275)/Q$13,(R$276-R$275)/R$13),(R$276-R$275)/R$13)*S$13)</f>
        <v>3.1188689540076626</v>
      </c>
      <c r="T276" s="8">
        <f ca="1">SUM(T$275,IF(T$6=OFFSET(Assumptions!$B$8,0,$C$1),AVERAGE((Q$276-Q$275)/Q$13,(R$276-R$275)/R$13,(S$276-S$275)/S$13),(S$276-S$275)/S$13)*T$13)</f>
        <v>3.2142384413480052</v>
      </c>
    </row>
    <row r="277" spans="1:20" ht="15" x14ac:dyDescent="0.25">
      <c r="A277" s="2"/>
      <c r="B277" s="4"/>
      <c r="D277" s="40"/>
      <c r="E277" s="40"/>
      <c r="F277" s="39"/>
      <c r="G277" s="39"/>
      <c r="H277" s="39"/>
      <c r="I277" s="39"/>
      <c r="J277" s="39"/>
      <c r="K277" s="8"/>
      <c r="L277" s="8"/>
      <c r="M277" s="8"/>
      <c r="N277" s="8"/>
      <c r="O277" s="8"/>
      <c r="P277" s="8"/>
      <c r="Q277" s="8"/>
      <c r="R277" s="8"/>
      <c r="S277" s="8"/>
      <c r="T277" s="8"/>
    </row>
    <row r="278" spans="1:20" ht="15" x14ac:dyDescent="0.25">
      <c r="A278" s="19" t="s">
        <v>604</v>
      </c>
      <c r="B278" s="4"/>
      <c r="D278" s="40"/>
      <c r="E278" s="40"/>
      <c r="F278" s="39"/>
      <c r="G278" s="39"/>
      <c r="H278" s="39"/>
      <c r="I278" s="39"/>
      <c r="J278" s="39"/>
      <c r="K278" s="8"/>
      <c r="L278" s="8"/>
      <c r="M278" s="8"/>
      <c r="N278" s="8"/>
      <c r="O278" s="8"/>
      <c r="P278" s="8"/>
      <c r="Q278" s="8"/>
      <c r="R278" s="8"/>
      <c r="S278" s="8"/>
      <c r="T278" s="8"/>
    </row>
    <row r="279" spans="1:20" ht="15" x14ac:dyDescent="0.25">
      <c r="A279" s="2" t="s">
        <v>555</v>
      </c>
      <c r="B279" s="4" t="str">
        <f t="shared" si="127"/>
        <v>From Fiscal</v>
      </c>
      <c r="D279" s="40">
        <f>'Fiscal Forecasts'!D$63</f>
        <v>0.66700000000000004</v>
      </c>
      <c r="E279" s="40">
        <f>'Fiscal Forecasts'!E$63</f>
        <v>0.749</v>
      </c>
      <c r="F279" s="39">
        <f ca="1">'Fiscal Forecasts'!F$63 +IF(OFFSET(Assumptions!$B$57,0,$C$1)="Yes",Allocate!C$22 +IF($C$2="Yes",Allocate!$B$22*'Fiscal Forecast Adjuster'!C$26/1000,0),0)</f>
        <v>0.67900000000000005</v>
      </c>
      <c r="G279" s="39">
        <f ca="1">'Fiscal Forecasts'!G$63 +IF(OFFSET(Assumptions!$B$57,0,$C$1)="Yes",Allocate!D$22 +IF($C$2="Yes",Allocate!$B$22*'Fiscal Forecast Adjuster'!D$26/1000,0),0)</f>
        <v>0.73</v>
      </c>
      <c r="H279" s="39">
        <f ca="1">'Fiscal Forecasts'!H$63 +IF(OFFSET(Assumptions!$B$57,0,$C$1)="Yes",Allocate!E$22 +IF($C$2="Yes",Allocate!$B$22*'Fiscal Forecast Adjuster'!E$26/1000,0),0)</f>
        <v>0.67600000000000005</v>
      </c>
      <c r="I279" s="39">
        <f ca="1">'Fiscal Forecasts'!I$63 +IF(OFFSET(Assumptions!$B$57,0,$C$1)="Yes",Allocate!F$22 +IF($C$2="Yes",Allocate!$B$22*'Fiscal Forecast Adjuster'!F$26/1000,0),0)</f>
        <v>0.66300000000000003</v>
      </c>
      <c r="J279" s="39">
        <f ca="1">'Fiscal Forecasts'!J$63 +IF(OFFSET(Assumptions!$B$57,0,$C$1)="Yes",Allocate!G$22 +IF($C$2="Yes",Allocate!$B$22*'Fiscal Forecast Adjuster'!G$26/1000,0),0)</f>
        <v>0.63900000000000001</v>
      </c>
      <c r="K279" s="49">
        <f ca="1">SUM(J$279,IF(OFFSET(Assumptions!$B$57,0,$C$1)="Yes",Allocate!$B$22,0)*SUM(K$220,K$223))</f>
        <v>0.63900000000000001</v>
      </c>
      <c r="L279" s="49">
        <f ca="1">SUM(K$279,IF(OFFSET(Assumptions!$B$57,0,$C$1)="Yes",Allocate!$B$22,0)*SUM(L$220,L$223))</f>
        <v>0.63900000000000001</v>
      </c>
      <c r="M279" s="49">
        <f ca="1">SUM(L$279,IF(OFFSET(Assumptions!$B$57,0,$C$1)="Yes",Allocate!$B$22,0)*SUM(M$220,M$223))</f>
        <v>0.63900000000000001</v>
      </c>
      <c r="N279" s="49">
        <f ca="1">SUM(M$279,IF(OFFSET(Assumptions!$B$57,0,$C$1)="Yes",Allocate!$B$22,0)*SUM(N$220,N$223))</f>
        <v>0.63900000000000001</v>
      </c>
      <c r="O279" s="49">
        <f ca="1">SUM(N$279,IF(OFFSET(Assumptions!$B$57,0,$C$1)="Yes",Allocate!$B$22,0)*SUM(O$220,O$223))</f>
        <v>0.63900000000000001</v>
      </c>
      <c r="P279" s="49">
        <f ca="1">SUM(O$279,IF(OFFSET(Assumptions!$B$57,0,$C$1)="Yes",Allocate!$B$22,0)*SUM(P$220,P$223))</f>
        <v>0.63900000000000001</v>
      </c>
      <c r="Q279" s="49">
        <f ca="1">SUM(P$279,IF(OFFSET(Assumptions!$B$57,0,$C$1)="Yes",Allocate!$B$22,0)*SUM(Q$220,Q$223))</f>
        <v>0.63900000000000001</v>
      </c>
      <c r="R279" s="49">
        <f ca="1">SUM(Q$279,IF(OFFSET(Assumptions!$B$57,0,$C$1)="Yes",Allocate!$B$22,0)*SUM(R$220,R$223))</f>
        <v>0.63900000000000001</v>
      </c>
      <c r="S279" s="49">
        <f ca="1">SUM(R$279,IF(OFFSET(Assumptions!$B$57,0,$C$1)="Yes",Allocate!$B$22,0)*SUM(S$220,S$223))</f>
        <v>0.63900000000000001</v>
      </c>
      <c r="T279" s="49">
        <f ca="1">SUM(S$279,IF(OFFSET(Assumptions!$B$57,0,$C$1)="Yes",Allocate!$B$22,0)*SUM(T$220,T$223))</f>
        <v>0.63900000000000001</v>
      </c>
    </row>
    <row r="280" spans="1:20" ht="15" x14ac:dyDescent="0.25">
      <c r="A280" s="2" t="s">
        <v>556</v>
      </c>
      <c r="B280" s="4" t="str">
        <f t="shared" si="127"/>
        <v>From Fiscal</v>
      </c>
      <c r="D280" s="40">
        <f>'Fiscal Forecasts'!D$46</f>
        <v>1.74</v>
      </c>
      <c r="E280" s="40">
        <f>'Fiscal Forecasts'!E$46</f>
        <v>1.8520000000000001</v>
      </c>
      <c r="F280" s="39">
        <f ca="1">'Fiscal Forecasts'!F$46 +IF(OFFSET(Assumptions!$B$57,0,$C$1)="Yes",Allocate!C$22 +IF($C$2="Yes",Allocate!$B$22*'Fiscal Forecast Adjuster'!C$26/1000,0),0)</f>
        <v>1.86</v>
      </c>
      <c r="G280" s="39">
        <f ca="1">'Fiscal Forecasts'!G$46 +IF(OFFSET(Assumptions!$B$57,0,$C$1)="Yes",Allocate!D$22 +IF($C$2="Yes",Allocate!$B$22*'Fiscal Forecast Adjuster'!D$26/1000,0),0)</f>
        <v>1.994</v>
      </c>
      <c r="H280" s="39">
        <f ca="1">'Fiscal Forecasts'!H$46 +IF(OFFSET(Assumptions!$B$57,0,$C$1)="Yes",Allocate!E$22 +IF($C$2="Yes",Allocate!$B$22*'Fiscal Forecast Adjuster'!E$26/1000,0),0)</f>
        <v>1.9870000000000001</v>
      </c>
      <c r="I280" s="39">
        <f ca="1">'Fiscal Forecasts'!I$46 +IF(OFFSET(Assumptions!$B$57,0,$C$1)="Yes",Allocate!F$22 +IF($C$2="Yes",Allocate!$B$22*'Fiscal Forecast Adjuster'!F$26/1000,0),0)</f>
        <v>1.992</v>
      </c>
      <c r="J280" s="39">
        <f ca="1">'Fiscal Forecasts'!J$46 +IF(OFFSET(Assumptions!$B$57,0,$C$1)="Yes",Allocate!G$22 +IF($C$2="Yes",Allocate!$B$22*'Fiscal Forecast Adjuster'!G$26/1000,0),0)</f>
        <v>2.0430000000000001</v>
      </c>
      <c r="K280" s="8">
        <f ca="1">SUM(K$279,IF(K$6=OFFSET(Assumptions!$B$8,0,$C$1),AVERAGE((H$280-H$279)/H$13,(I$280-I$279)/I$13,(J$280-J$279)/J$13),(J$280-J$279)/J$13)*K$13)</f>
        <v>2.1046425618111266</v>
      </c>
      <c r="L280" s="8">
        <f ca="1">SUM(L$279,IF(L$6=OFFSET(Assumptions!$B$8,0,$C$1),AVERAGE((I$280-I$279)/I$13,(J$280-J$279)/J$13,(K$280-K$279)/K$13),(K$280-K$279)/K$13)*L$13)</f>
        <v>2.1689453288893632</v>
      </c>
      <c r="M280" s="8">
        <f ca="1">SUM(M$279,IF(M$6=OFFSET(Assumptions!$B$8,0,$C$1),AVERAGE((J$280-J$279)/J$13,(K$280-K$279)/K$13,(L$280-L$279)/L$13),(L$280-L$279)/L$13)*M$13)</f>
        <v>2.2358036289555585</v>
      </c>
      <c r="N280" s="8">
        <f ca="1">SUM(N$279,IF(N$6=OFFSET(Assumptions!$B$8,0,$C$1),AVERAGE((K$280-K$279)/K$13,(L$280-L$279)/L$13,(M$280-M$279)/M$13),(M$280-M$279)/M$13)*N$13)</f>
        <v>2.3055081293296058</v>
      </c>
      <c r="O280" s="8">
        <f ca="1">SUM(O$279,IF(O$6=OFFSET(Assumptions!$B$8,0,$C$1),AVERAGE((L$280-L$279)/L$13,(M$280-M$279)/M$13,(N$280-N$279)/N$13),(N$280-N$279)/N$13)*O$13)</f>
        <v>2.3775305418999757</v>
      </c>
      <c r="P280" s="8">
        <f ca="1">SUM(P$279,IF(P$6=OFFSET(Assumptions!$B$8,0,$C$1),AVERAGE((M$280-M$279)/M$13,(N$280-N$279)/N$13,(O$280-O$279)/O$13),(O$280-O$279)/O$13)*P$13)</f>
        <v>2.4521553167585299</v>
      </c>
      <c r="Q280" s="8">
        <f ca="1">SUM(Q$279,IF(Q$6=OFFSET(Assumptions!$B$8,0,$C$1),AVERAGE((N$280-N$279)/N$13,(O$280-O$279)/O$13,(P$280-P$279)/P$13),(P$280-P$279)/P$13)*Q$13)</f>
        <v>2.5292670344125057</v>
      </c>
      <c r="R280" s="8">
        <f ca="1">SUM(R$279,IF(R$6=OFFSET(Assumptions!$B$8,0,$C$1),AVERAGE((O$280-O$279)/O$13,(P$280-P$279)/P$13,(Q$280-Q$279)/Q$13),(Q$280-Q$279)/Q$13)*R$13)</f>
        <v>2.6087797086419897</v>
      </c>
      <c r="S280" s="8">
        <f ca="1">SUM(S$279,IF(S$6=OFFSET(Assumptions!$B$8,0,$C$1),AVERAGE((P$280-P$279)/P$13,(Q$280-Q$279)/Q$13,(R$280-R$279)/R$13),(R$280-R$279)/R$13)*S$13)</f>
        <v>2.691054267005895</v>
      </c>
      <c r="T280" s="8">
        <f ca="1">SUM(T$279,IF(T$6=OFFSET(Assumptions!$B$8,0,$C$1),AVERAGE((Q$280-Q$279)/Q$13,(R$280-R$279)/R$13,(S$280-S$279)/S$13),(S$280-S$279)/S$13)*T$13)</f>
        <v>2.7759629396220236</v>
      </c>
    </row>
    <row r="281" spans="1:20" ht="15" x14ac:dyDescent="0.25">
      <c r="A281" s="2"/>
      <c r="B281" s="4"/>
      <c r="D281" s="40"/>
      <c r="E281" s="40"/>
      <c r="F281" s="39"/>
      <c r="G281" s="39"/>
      <c r="H281" s="39"/>
      <c r="I281" s="39"/>
      <c r="J281" s="39"/>
      <c r="K281" s="8"/>
      <c r="L281" s="8"/>
      <c r="M281" s="8"/>
      <c r="N281" s="8"/>
      <c r="O281" s="8"/>
      <c r="P281" s="8"/>
      <c r="Q281" s="8"/>
      <c r="R281" s="8"/>
      <c r="S281" s="8"/>
      <c r="T281" s="8"/>
    </row>
    <row r="282" spans="1:20" ht="15" x14ac:dyDescent="0.25">
      <c r="A282" s="19" t="s">
        <v>605</v>
      </c>
      <c r="B282" s="4"/>
      <c r="D282" s="40"/>
      <c r="E282" s="40"/>
      <c r="F282" s="39"/>
      <c r="G282" s="39"/>
      <c r="H282" s="39"/>
      <c r="I282" s="39"/>
      <c r="J282" s="39"/>
      <c r="K282" s="8"/>
      <c r="L282" s="8"/>
      <c r="M282" s="8"/>
      <c r="N282" s="8"/>
      <c r="O282" s="8"/>
      <c r="P282" s="8"/>
      <c r="Q282" s="8"/>
      <c r="R282" s="8"/>
      <c r="S282" s="8"/>
      <c r="T282" s="8"/>
    </row>
    <row r="283" spans="1:20" ht="15" x14ac:dyDescent="0.25">
      <c r="A283" s="2" t="s">
        <v>557</v>
      </c>
      <c r="B283" s="4" t="str">
        <f t="shared" si="127"/>
        <v>From Fiscal</v>
      </c>
      <c r="D283" s="40">
        <f>'Fiscal Forecasts'!D$64</f>
        <v>0.32</v>
      </c>
      <c r="E283" s="40">
        <f>'Fiscal Forecasts'!E$64</f>
        <v>0.55800000000000005</v>
      </c>
      <c r="F283" s="39">
        <f ca="1">'Fiscal Forecasts'!F$64 +IF(OFFSET(Assumptions!$B$57,0,$C$1)="Yes",Allocate!C$23 +IF($C$2="Yes",Allocate!$B$23*'Fiscal Forecast Adjuster'!C$26/1000,0),0)</f>
        <v>0.57699999999999996</v>
      </c>
      <c r="G283" s="39">
        <f ca="1">'Fiscal Forecasts'!G$64 +IF(OFFSET(Assumptions!$B$57,0,$C$1)="Yes",Allocate!D$23 +IF($C$2="Yes",Allocate!$B$23*'Fiscal Forecast Adjuster'!D$26/1000,0),0)</f>
        <v>0.59599999999999997</v>
      </c>
      <c r="H283" s="39">
        <f ca="1">'Fiscal Forecasts'!H$64 +IF(OFFSET(Assumptions!$B$57,0,$C$1)="Yes",Allocate!E$23 +IF($C$2="Yes",Allocate!$B$23*'Fiscal Forecast Adjuster'!E$26/1000,0),0)</f>
        <v>0.55700000000000005</v>
      </c>
      <c r="I283" s="39">
        <f ca="1">'Fiscal Forecasts'!I$64 +IF(OFFSET(Assumptions!$B$57,0,$C$1)="Yes",Allocate!F$23 +IF($C$2="Yes",Allocate!$B$23*'Fiscal Forecast Adjuster'!F$26/1000,0),0)</f>
        <v>0.51900000000000002</v>
      </c>
      <c r="J283" s="39">
        <f ca="1">'Fiscal Forecasts'!J$64 +IF(OFFSET(Assumptions!$B$57,0,$C$1)="Yes",Allocate!G$23 +IF($C$2="Yes",Allocate!$B$23*'Fiscal Forecast Adjuster'!G$26/1000,0),0)</f>
        <v>0.54</v>
      </c>
      <c r="K283" s="49">
        <f ca="1">SUM(J$283,IF(OFFSET(Assumptions!$B$57,0,$C$1)="Yes",Allocate!$B$23,0)*SUM(K$220,K$223))</f>
        <v>0.54</v>
      </c>
      <c r="L283" s="49">
        <f ca="1">SUM(K$283,IF(OFFSET(Assumptions!$B$57,0,$C$1)="Yes",Allocate!$B$23,0)*SUM(L$220,L$223))</f>
        <v>0.54</v>
      </c>
      <c r="M283" s="49">
        <f ca="1">SUM(L$283,IF(OFFSET(Assumptions!$B$57,0,$C$1)="Yes",Allocate!$B$23,0)*SUM(M$220,M$223))</f>
        <v>0.54</v>
      </c>
      <c r="N283" s="49">
        <f ca="1">SUM(M$283,IF(OFFSET(Assumptions!$B$57,0,$C$1)="Yes",Allocate!$B$23,0)*SUM(N$220,N$223))</f>
        <v>0.54</v>
      </c>
      <c r="O283" s="49">
        <f ca="1">SUM(N$283,IF(OFFSET(Assumptions!$B$57,0,$C$1)="Yes",Allocate!$B$23,0)*SUM(O$220,O$223))</f>
        <v>0.54</v>
      </c>
      <c r="P283" s="49">
        <f ca="1">SUM(O$283,IF(OFFSET(Assumptions!$B$57,0,$C$1)="Yes",Allocate!$B$23,0)*SUM(P$220,P$223))</f>
        <v>0.54</v>
      </c>
      <c r="Q283" s="49">
        <f ca="1">SUM(P$283,IF(OFFSET(Assumptions!$B$57,0,$C$1)="Yes",Allocate!$B$23,0)*SUM(Q$220,Q$223))</f>
        <v>0.54</v>
      </c>
      <c r="R283" s="49">
        <f ca="1">SUM(Q$283,IF(OFFSET(Assumptions!$B$57,0,$C$1)="Yes",Allocate!$B$23,0)*SUM(R$220,R$223))</f>
        <v>0.54</v>
      </c>
      <c r="S283" s="49">
        <f ca="1">SUM(R$283,IF(OFFSET(Assumptions!$B$57,0,$C$1)="Yes",Allocate!$B$23,0)*SUM(S$220,S$223))</f>
        <v>0.54</v>
      </c>
      <c r="T283" s="49">
        <f ca="1">SUM(S$283,IF(OFFSET(Assumptions!$B$57,0,$C$1)="Yes",Allocate!$B$23,0)*SUM(T$220,T$223))</f>
        <v>0.54</v>
      </c>
    </row>
    <row r="284" spans="1:20" ht="15" x14ac:dyDescent="0.25">
      <c r="A284" s="2" t="s">
        <v>558</v>
      </c>
      <c r="B284" s="4" t="str">
        <f t="shared" si="127"/>
        <v>From Fiscal</v>
      </c>
      <c r="D284" s="40">
        <f>'Fiscal Forecasts'!D$47</f>
        <v>1.1140000000000001</v>
      </c>
      <c r="E284" s="40">
        <f>'Fiscal Forecasts'!E$47</f>
        <v>1.6</v>
      </c>
      <c r="F284" s="39">
        <f ca="1">'Fiscal Forecasts'!F$47 +IF(OFFSET(Assumptions!$B$57,0,$C$1)="Yes",Allocate!C$23 +IF($C$2="Yes",Allocate!$B$23*'Fiscal Forecast Adjuster'!C$26/1000,0),0)</f>
        <v>1.869</v>
      </c>
      <c r="G284" s="39">
        <f ca="1">'Fiscal Forecasts'!G$47 +IF(OFFSET(Assumptions!$B$57,0,$C$1)="Yes",Allocate!D$23 +IF($C$2="Yes",Allocate!$B$23*'Fiscal Forecast Adjuster'!D$26/1000,0),0)</f>
        <v>2.08</v>
      </c>
      <c r="H284" s="39">
        <f ca="1">'Fiscal Forecasts'!H$47 +IF(OFFSET(Assumptions!$B$57,0,$C$1)="Yes",Allocate!E$23 +IF($C$2="Yes",Allocate!$B$23*'Fiscal Forecast Adjuster'!E$26/1000,0),0)</f>
        <v>2.0249999999999999</v>
      </c>
      <c r="I284" s="39">
        <f ca="1">'Fiscal Forecasts'!I$47 +IF(OFFSET(Assumptions!$B$57,0,$C$1)="Yes",Allocate!F$23 +IF($C$2="Yes",Allocate!$B$23*'Fiscal Forecast Adjuster'!F$26/1000,0),0)</f>
        <v>1.978</v>
      </c>
      <c r="J284" s="39">
        <f ca="1">'Fiscal Forecasts'!J$47 +IF(OFFSET(Assumptions!$B$57,0,$C$1)="Yes",Allocate!G$23 +IF($C$2="Yes",Allocate!$B$23*'Fiscal Forecast Adjuster'!G$26/1000,0),0)</f>
        <v>2.0870000000000002</v>
      </c>
      <c r="K284" s="8">
        <f ca="1">SUM(K$283,IF(K$6=OFFSET(Assumptions!$B$8,0,$C$1),AVERAGE((H$284-H$283)/H$13,(I$284-I$283)/I$13,(J$284-J$283)/J$13),(J$284-J$283)/J$13)*K$13)</f>
        <v>2.1618747821049107</v>
      </c>
      <c r="L284" s="8">
        <f ca="1">SUM(L$283,IF(L$6=OFFSET(Assumptions!$B$8,0,$C$1),AVERAGE((I$284-I$283)/I$13,(J$284-J$283)/J$13,(K$284-K$283)/K$13),(K$284-K$283)/K$13)*L$13)</f>
        <v>2.2330319926425766</v>
      </c>
      <c r="M284" s="8">
        <f ca="1">SUM(M$283,IF(M$6=OFFSET(Assumptions!$B$8,0,$C$1),AVERAGE((J$284-J$283)/J$13,(K$284-K$283)/K$13,(L$284-L$283)/L$13),(L$284-L$283)/L$13)*M$13)</f>
        <v>2.3070171467839584</v>
      </c>
      <c r="N284" s="8">
        <f ca="1">SUM(N$283,IF(N$6=OFFSET(Assumptions!$B$8,0,$C$1),AVERAGE((K$284-K$283)/K$13,(L$284-L$283)/L$13,(M$284-M$283)/M$13),(M$284-M$283)/M$13)*N$13)</f>
        <v>2.3841518959387518</v>
      </c>
      <c r="O284" s="8">
        <f ca="1">SUM(O$283,IF(O$6=OFFSET(Assumptions!$B$8,0,$C$1),AVERAGE((L$284-L$283)/L$13,(M$284-M$283)/M$13,(N$284-N$283)/N$13),(N$284-N$283)/N$13)*O$13)</f>
        <v>2.4638516383847491</v>
      </c>
      <c r="P284" s="8">
        <f ca="1">SUM(P$283,IF(P$6=OFFSET(Assumptions!$B$8,0,$C$1),AVERAGE((M$284-M$283)/M$13,(N$284-N$283)/N$13,(O$284-O$283)/O$13),(O$284-O$283)/O$13)*P$13)</f>
        <v>2.5464311455694912</v>
      </c>
      <c r="Q284" s="8">
        <f ca="1">SUM(Q$283,IF(Q$6=OFFSET(Assumptions!$B$8,0,$C$1),AVERAGE((N$284-N$283)/N$13,(O$284-O$283)/O$13,(P$284-P$283)/P$13),(P$284-P$283)/P$13)*Q$13)</f>
        <v>2.6317626946978345</v>
      </c>
      <c r="R284" s="8">
        <f ca="1">SUM(R$283,IF(R$6=OFFSET(Assumptions!$B$8,0,$C$1),AVERAGE((O$284-O$283)/O$13,(P$284-P$283)/P$13,(Q$284-Q$283)/Q$13),(Q$284-Q$283)/Q$13)*R$13)</f>
        <v>2.7197511337284017</v>
      </c>
      <c r="S284" s="8">
        <f ca="1">SUM(S$283,IF(S$6=OFFSET(Assumptions!$B$8,0,$C$1),AVERAGE((P$284-P$283)/P$13,(Q$284-Q$283)/Q$13,(R$284-R$283)/R$13),(R$284-R$283)/R$13)*S$13)</f>
        <v>2.8107958637984285</v>
      </c>
      <c r="T284" s="8">
        <f ca="1">SUM(T$283,IF(T$6=OFFSET(Assumptions!$B$8,0,$C$1),AVERAGE((Q$284-Q$283)/Q$13,(R$284-R$283)/R$13,(S$284-S$283)/S$13),(S$284-S$283)/S$13)*T$13)</f>
        <v>2.9047554952162873</v>
      </c>
    </row>
    <row r="285" spans="1:20" ht="15" x14ac:dyDescent="0.25">
      <c r="A285" s="2"/>
      <c r="B285" s="4"/>
      <c r="D285" s="40"/>
      <c r="E285" s="40"/>
      <c r="F285" s="39"/>
      <c r="G285" s="39"/>
      <c r="H285" s="39"/>
      <c r="I285" s="39"/>
      <c r="J285" s="39"/>
      <c r="K285" s="8"/>
      <c r="L285" s="8"/>
      <c r="M285" s="8"/>
      <c r="N285" s="8"/>
      <c r="O285" s="8"/>
      <c r="P285" s="8"/>
      <c r="Q285" s="8"/>
      <c r="R285" s="8"/>
      <c r="S285" s="8"/>
      <c r="T285" s="8"/>
    </row>
    <row r="286" spans="1:20" ht="15" x14ac:dyDescent="0.25">
      <c r="A286" s="19" t="s">
        <v>606</v>
      </c>
      <c r="B286" s="4"/>
      <c r="D286" s="40"/>
      <c r="E286" s="40"/>
      <c r="F286" s="39"/>
      <c r="G286" s="39"/>
      <c r="H286" s="39"/>
      <c r="I286" s="39"/>
      <c r="J286" s="39"/>
      <c r="K286" s="8"/>
      <c r="L286" s="8"/>
      <c r="M286" s="8"/>
      <c r="N286" s="8"/>
      <c r="O286" s="8"/>
      <c r="P286" s="8"/>
      <c r="Q286" s="8"/>
      <c r="R286" s="8"/>
      <c r="S286" s="8"/>
      <c r="T286" s="8"/>
    </row>
    <row r="287" spans="1:20" ht="15" x14ac:dyDescent="0.25">
      <c r="A287" s="2" t="s">
        <v>559</v>
      </c>
      <c r="B287" s="4" t="str">
        <f t="shared" si="127"/>
        <v>From Fiscal</v>
      </c>
      <c r="D287" s="40">
        <f>'Fiscal Forecasts'!D$65</f>
        <v>0.72299999999999998</v>
      </c>
      <c r="E287" s="40">
        <f>'Fiscal Forecasts'!E$65</f>
        <v>0.58699999999999997</v>
      </c>
      <c r="F287" s="39">
        <f ca="1">'Fiscal Forecasts'!F$65 +IF(OFFSET(Assumptions!$B$57,0,$C$1)="Yes",Allocate!C$24 +IF($C$2="Yes",Allocate!$B$24*'Fiscal Forecast Adjuster'!C$26/1000,0),0)</f>
        <v>0.84899999999999998</v>
      </c>
      <c r="G287" s="39">
        <f ca="1">'Fiscal Forecasts'!G$65 +IF(OFFSET(Assumptions!$B$57,0,$C$1)="Yes",Allocate!D$24 +IF($C$2="Yes",Allocate!$B$24*'Fiscal Forecast Adjuster'!D$26/1000,0),0)</f>
        <v>1.0269999999999999</v>
      </c>
      <c r="H287" s="39">
        <f ca="1">'Fiscal Forecasts'!H$65 +IF(OFFSET(Assumptions!$B$57,0,$C$1)="Yes",Allocate!E$24 +IF($C$2="Yes",Allocate!$B$24*'Fiscal Forecast Adjuster'!E$26/1000,0),0)</f>
        <v>0.93899999999999995</v>
      </c>
      <c r="I287" s="39">
        <f ca="1">'Fiscal Forecasts'!I$65 +IF(OFFSET(Assumptions!$B$57,0,$C$1)="Yes",Allocate!F$24 +IF($C$2="Yes",Allocate!$B$24*'Fiscal Forecast Adjuster'!F$26/1000,0),0)</f>
        <v>0.996</v>
      </c>
      <c r="J287" s="39">
        <f ca="1">'Fiscal Forecasts'!J$65 +IF(OFFSET(Assumptions!$B$57,0,$C$1)="Yes",Allocate!G$24 +IF($C$2="Yes",Allocate!$B$24*'Fiscal Forecast Adjuster'!G$26/1000,0),0)</f>
        <v>0.998</v>
      </c>
      <c r="K287" s="49">
        <f ca="1">SUM(J$287,IF(OFFSET(Assumptions!$B$57,0,$C$1)="Yes",Allocate!$B$24,0)*SUM(K$220,K$223))</f>
        <v>0.998</v>
      </c>
      <c r="L287" s="49">
        <f ca="1">SUM(K$287,IF(OFFSET(Assumptions!$B$57,0,$C$1)="Yes",Allocate!$B$24,0)*SUM(L$220,L$223))</f>
        <v>0.998</v>
      </c>
      <c r="M287" s="49">
        <f ca="1">SUM(L$287,IF(OFFSET(Assumptions!$B$57,0,$C$1)="Yes",Allocate!$B$24,0)*SUM(M$220,M$223))</f>
        <v>0.998</v>
      </c>
      <c r="N287" s="49">
        <f ca="1">SUM(M$287,IF(OFFSET(Assumptions!$B$57,0,$C$1)="Yes",Allocate!$B$24,0)*SUM(N$220,N$223))</f>
        <v>0.998</v>
      </c>
      <c r="O287" s="49">
        <f ca="1">SUM(N$287,IF(OFFSET(Assumptions!$B$57,0,$C$1)="Yes",Allocate!$B$24,0)*SUM(O$220,O$223))</f>
        <v>0.998</v>
      </c>
      <c r="P287" s="49">
        <f ca="1">SUM(O$287,IF(OFFSET(Assumptions!$B$57,0,$C$1)="Yes",Allocate!$B$24,0)*SUM(P$220,P$223))</f>
        <v>0.998</v>
      </c>
      <c r="Q287" s="49">
        <f ca="1">SUM(P$287,IF(OFFSET(Assumptions!$B$57,0,$C$1)="Yes",Allocate!$B$24,0)*SUM(Q$220,Q$223))</f>
        <v>0.998</v>
      </c>
      <c r="R287" s="49">
        <f ca="1">SUM(Q$287,IF(OFFSET(Assumptions!$B$57,0,$C$1)="Yes",Allocate!$B$24,0)*SUM(R$220,R$223))</f>
        <v>0.998</v>
      </c>
      <c r="S287" s="49">
        <f ca="1">SUM(R$287,IF(OFFSET(Assumptions!$B$57,0,$C$1)="Yes",Allocate!$B$24,0)*SUM(S$220,S$223))</f>
        <v>0.998</v>
      </c>
      <c r="T287" s="49">
        <f ca="1">SUM(S$287,IF(OFFSET(Assumptions!$B$57,0,$C$1)="Yes",Allocate!$B$24,0)*SUM(T$220,T$223))</f>
        <v>0.998</v>
      </c>
    </row>
    <row r="288" spans="1:20" ht="15" x14ac:dyDescent="0.25">
      <c r="A288" s="2" t="s">
        <v>560</v>
      </c>
      <c r="B288" s="4" t="str">
        <f t="shared" si="127"/>
        <v>From Fiscal</v>
      </c>
      <c r="D288" s="40">
        <f>'Fiscal Forecasts'!D$48</f>
        <v>0.61599999999999999</v>
      </c>
      <c r="E288" s="40">
        <f>'Fiscal Forecasts'!E$48</f>
        <v>0.57999999999999996</v>
      </c>
      <c r="F288" s="39">
        <f ca="1">'Fiscal Forecasts'!F$48 +IF(OFFSET(Assumptions!$B$57,0,$C$1)="Yes",Allocate!C$24 +IF($C$2="Yes",Allocate!$B$24*'Fiscal Forecast Adjuster'!C$26/1000,0),0)</f>
        <v>0.84699999999999998</v>
      </c>
      <c r="G288" s="39">
        <f ca="1">'Fiscal Forecasts'!G$48 +IF(OFFSET(Assumptions!$B$57,0,$C$1)="Yes",Allocate!D$24 +IF($C$2="Yes",Allocate!$B$24*'Fiscal Forecast Adjuster'!D$26/1000,0),0)</f>
        <v>1.0249999999999999</v>
      </c>
      <c r="H288" s="39">
        <f ca="1">'Fiscal Forecasts'!H$48 +IF(OFFSET(Assumptions!$B$57,0,$C$1)="Yes",Allocate!E$24 +IF($C$2="Yes",Allocate!$B$24*'Fiscal Forecast Adjuster'!E$26/1000,0),0)</f>
        <v>0.93700000000000006</v>
      </c>
      <c r="I288" s="39">
        <f ca="1">'Fiscal Forecasts'!I$48 +IF(OFFSET(Assumptions!$B$57,0,$C$1)="Yes",Allocate!F$24 +IF($C$2="Yes",Allocate!$B$24*'Fiscal Forecast Adjuster'!F$26/1000,0),0)</f>
        <v>0.99399999999999999</v>
      </c>
      <c r="J288" s="39">
        <f ca="1">'Fiscal Forecasts'!J$48 +IF(OFFSET(Assumptions!$B$57,0,$C$1)="Yes",Allocate!G$24 +IF($C$2="Yes",Allocate!$B$24*'Fiscal Forecast Adjuster'!G$26/1000,0),0)</f>
        <v>0.996</v>
      </c>
      <c r="K288" s="8">
        <f ca="1">IF(K$6=OFFSET(Assumptions!$B$8,0,$C$1),AVERAGE(H$288/H$287,I$288/I$287,J$288/J$287),J$288/J$287)*K$287</f>
        <v>0.99595677277801309</v>
      </c>
      <c r="L288" s="8">
        <f ca="1">IF(L$6=OFFSET(Assumptions!$B$8,0,$C$1),AVERAGE(I$288/I$287,J$288/J$287,K$288/K$287),K$288/K$287)*L$287</f>
        <v>0.99595677277801309</v>
      </c>
      <c r="M288" s="8">
        <f ca="1">IF(M$6=OFFSET(Assumptions!$B$8,0,$C$1),AVERAGE(J$288/J$287,K$288/K$287,L$288/L$287),L$288/L$287)*M$287</f>
        <v>0.99595677277801309</v>
      </c>
      <c r="N288" s="8">
        <f ca="1">IF(N$6=OFFSET(Assumptions!$B$8,0,$C$1),AVERAGE(K$288/K$287,L$288/L$287,M$288/M$287),M$288/M$287)*N$287</f>
        <v>0.99595677277801309</v>
      </c>
      <c r="O288" s="8">
        <f ca="1">IF(O$6=OFFSET(Assumptions!$B$8,0,$C$1),AVERAGE(L$288/L$287,M$288/M$287,N$288/N$287),N$288/N$287)*O$287</f>
        <v>0.99595677277801309</v>
      </c>
      <c r="P288" s="8">
        <f ca="1">IF(P$6=OFFSET(Assumptions!$B$8,0,$C$1),AVERAGE(M$288/M$287,N$288/N$287,O$288/O$287),O$288/O$287)*P$287</f>
        <v>0.99595677277801309</v>
      </c>
      <c r="Q288" s="8">
        <f ca="1">IF(Q$6=OFFSET(Assumptions!$B$8,0,$C$1),AVERAGE(N$288/N$287,O$288/O$287,P$288/P$287),P$288/P$287)*Q$287</f>
        <v>0.99595677277801309</v>
      </c>
      <c r="R288" s="8">
        <f ca="1">IF(R$6=OFFSET(Assumptions!$B$8,0,$C$1),AVERAGE(O$288/O$287,P$288/P$287,Q$288/Q$287),Q$288/Q$287)*R$287</f>
        <v>0.99595677277801309</v>
      </c>
      <c r="S288" s="8">
        <f ca="1">IF(S$6=OFFSET(Assumptions!$B$8,0,$C$1),AVERAGE(P$288/P$287,Q$288/Q$287,R$288/R$287),R$288/R$287)*S$287</f>
        <v>0.99595677277801309</v>
      </c>
      <c r="T288" s="8">
        <f ca="1">IF(T$6=OFFSET(Assumptions!$B$8,0,$C$1),AVERAGE(Q$288/Q$287,R$288/R$287,S$288/S$287),S$288/S$287)*T$287</f>
        <v>0.99595677277801309</v>
      </c>
    </row>
    <row r="289" spans="1:20" ht="15" x14ac:dyDescent="0.25">
      <c r="A289" s="2"/>
      <c r="B289" s="4"/>
      <c r="D289" s="40"/>
      <c r="E289" s="40"/>
      <c r="F289" s="39"/>
      <c r="G289" s="39"/>
      <c r="H289" s="39"/>
      <c r="I289" s="39"/>
      <c r="J289" s="39"/>
      <c r="K289" s="8"/>
      <c r="L289" s="8"/>
      <c r="M289" s="8"/>
      <c r="N289" s="8"/>
      <c r="O289" s="8"/>
      <c r="P289" s="8"/>
      <c r="Q289" s="8"/>
      <c r="R289" s="8"/>
      <c r="S289" s="8"/>
      <c r="T289" s="8"/>
    </row>
    <row r="290" spans="1:20" ht="15" x14ac:dyDescent="0.25">
      <c r="A290" s="19" t="s">
        <v>607</v>
      </c>
      <c r="B290" s="4"/>
      <c r="D290" s="40"/>
      <c r="E290" s="40"/>
      <c r="F290" s="39"/>
      <c r="G290" s="39"/>
      <c r="H290" s="39"/>
      <c r="I290" s="39"/>
      <c r="J290" s="39"/>
      <c r="K290" s="8"/>
      <c r="L290" s="8"/>
      <c r="M290" s="8"/>
      <c r="N290" s="8"/>
      <c r="O290" s="8"/>
      <c r="P290" s="8"/>
      <c r="Q290" s="8"/>
      <c r="R290" s="8"/>
      <c r="S290" s="8"/>
      <c r="T290" s="8"/>
    </row>
    <row r="291" spans="1:20" ht="15" x14ac:dyDescent="0.25">
      <c r="A291" s="2" t="s">
        <v>561</v>
      </c>
      <c r="B291" s="4" t="str">
        <f t="shared" si="127"/>
        <v>From Fiscal</v>
      </c>
      <c r="D291" s="40">
        <f>'Fiscal Forecasts'!D$66</f>
        <v>0.14499999999999999</v>
      </c>
      <c r="E291" s="40">
        <f>'Fiscal Forecasts'!E$66</f>
        <v>0.46100000000000002</v>
      </c>
      <c r="F291" s="39">
        <f>'Fiscal Forecasts'!F$66</f>
        <v>0.23799999999999999</v>
      </c>
      <c r="G291" s="39">
        <f>'Fiscal Forecasts'!G$66</f>
        <v>0.40300000000000002</v>
      </c>
      <c r="H291" s="39">
        <f>'Fiscal Forecasts'!H$66</f>
        <v>0.46500000000000002</v>
      </c>
      <c r="I291" s="39">
        <f>'Fiscal Forecasts'!I$66</f>
        <v>0.46</v>
      </c>
      <c r="J291" s="39">
        <f>'Fiscal Forecasts'!J$66</f>
        <v>0.46</v>
      </c>
      <c r="K291" s="8">
        <f ca="1">IF(K$6&lt;OFFSET(Assumptions!$B$60,0,$C$1),J$291,0)</f>
        <v>0</v>
      </c>
      <c r="L291" s="8">
        <f ca="1">IF(L$6&lt;OFFSET(Assumptions!$B$60,0,$C$1),K$291,0)</f>
        <v>0</v>
      </c>
      <c r="M291" s="8">
        <f ca="1">IF(M$6&lt;OFFSET(Assumptions!$B$60,0,$C$1),L$291,0)</f>
        <v>0</v>
      </c>
      <c r="N291" s="8">
        <f ca="1">IF(N$6&lt;OFFSET(Assumptions!$B$60,0,$C$1),M$291,0)</f>
        <v>0</v>
      </c>
      <c r="O291" s="8">
        <f ca="1">IF(O$6&lt;OFFSET(Assumptions!$B$60,0,$C$1),N$291,0)</f>
        <v>0</v>
      </c>
      <c r="P291" s="8">
        <f ca="1">IF(P$6&lt;OFFSET(Assumptions!$B$60,0,$C$1),O$291,0)</f>
        <v>0</v>
      </c>
      <c r="Q291" s="8">
        <f ca="1">IF(Q$6&lt;OFFSET(Assumptions!$B$60,0,$C$1),P$291,0)</f>
        <v>0</v>
      </c>
      <c r="R291" s="8">
        <f ca="1">IF(R$6&lt;OFFSET(Assumptions!$B$60,0,$C$1),Q$291,0)</f>
        <v>0</v>
      </c>
      <c r="S291" s="8">
        <f ca="1">IF(S$6&lt;OFFSET(Assumptions!$B$60,0,$C$1),R$291,0)</f>
        <v>0</v>
      </c>
      <c r="T291" s="8">
        <f ca="1">IF(T$6&lt;OFFSET(Assumptions!$B$60,0,$C$1),S$291,0)</f>
        <v>0</v>
      </c>
    </row>
    <row r="292" spans="1:20" ht="15" x14ac:dyDescent="0.25">
      <c r="A292" s="2" t="s">
        <v>562</v>
      </c>
      <c r="B292" s="4" t="str">
        <f t="shared" si="127"/>
        <v>From Fiscal</v>
      </c>
      <c r="D292" s="40">
        <f>'Fiscal Forecasts'!D$49</f>
        <v>0.14499999999999999</v>
      </c>
      <c r="E292" s="40">
        <f>'Fiscal Forecasts'!E$49</f>
        <v>0.46100000000000002</v>
      </c>
      <c r="F292" s="39">
        <f>'Fiscal Forecasts'!F$49</f>
        <v>0.23799999999999999</v>
      </c>
      <c r="G292" s="39">
        <f>'Fiscal Forecasts'!G$49</f>
        <v>0.40300000000000002</v>
      </c>
      <c r="H292" s="39">
        <f>'Fiscal Forecasts'!H$49</f>
        <v>0.46500000000000002</v>
      </c>
      <c r="I292" s="39">
        <f>'Fiscal Forecasts'!I$49</f>
        <v>0.46</v>
      </c>
      <c r="J292" s="39">
        <f>'Fiscal Forecasts'!J$49</f>
        <v>0.46</v>
      </c>
      <c r="K292" s="8">
        <f ca="1">IF(K$6&lt;OFFSET(Assumptions!$B$60,0,$C$1),J$292,0)</f>
        <v>0</v>
      </c>
      <c r="L292" s="8">
        <f ca="1">IF(L$6&lt;OFFSET(Assumptions!$B$60,0,$C$1),K$292,0)</f>
        <v>0</v>
      </c>
      <c r="M292" s="8">
        <f ca="1">IF(M$6&lt;OFFSET(Assumptions!$B$60,0,$C$1),L$292,0)</f>
        <v>0</v>
      </c>
      <c r="N292" s="8">
        <f ca="1">IF(N$6&lt;OFFSET(Assumptions!$B$60,0,$C$1),M$292,0)</f>
        <v>0</v>
      </c>
      <c r="O292" s="8">
        <f ca="1">IF(O$6&lt;OFFSET(Assumptions!$B$60,0,$C$1),N$292,0)</f>
        <v>0</v>
      </c>
      <c r="P292" s="8">
        <f ca="1">IF(P$6&lt;OFFSET(Assumptions!$B$60,0,$C$1),O$292,0)</f>
        <v>0</v>
      </c>
      <c r="Q292" s="8">
        <f ca="1">IF(Q$6&lt;OFFSET(Assumptions!$B$60,0,$C$1),P$292,0)</f>
        <v>0</v>
      </c>
      <c r="R292" s="8">
        <f ca="1">IF(R$6&lt;OFFSET(Assumptions!$B$60,0,$C$1),Q$292,0)</f>
        <v>0</v>
      </c>
      <c r="S292" s="8">
        <f ca="1">IF(S$6&lt;OFFSET(Assumptions!$B$60,0,$C$1),R$292,0)</f>
        <v>0</v>
      </c>
      <c r="T292" s="8">
        <f ca="1">IF(T$6&lt;OFFSET(Assumptions!$B$60,0,$C$1),S$292,0)</f>
        <v>0</v>
      </c>
    </row>
    <row r="293" spans="1:20" ht="15" x14ac:dyDescent="0.25">
      <c r="A293" s="2"/>
      <c r="B293" s="4"/>
      <c r="D293" s="40"/>
      <c r="E293" s="40"/>
      <c r="F293" s="39"/>
      <c r="G293" s="39"/>
      <c r="H293" s="39"/>
      <c r="I293" s="39"/>
      <c r="J293" s="39"/>
      <c r="K293" s="8"/>
      <c r="L293" s="8"/>
      <c r="M293" s="8"/>
      <c r="N293" s="8"/>
      <c r="O293" s="8"/>
      <c r="P293" s="8"/>
      <c r="Q293" s="8"/>
      <c r="R293" s="8"/>
      <c r="S293" s="8"/>
      <c r="T293" s="8"/>
    </row>
    <row r="294" spans="1:20" ht="15" x14ac:dyDescent="0.25">
      <c r="A294" s="19" t="s">
        <v>1324</v>
      </c>
      <c r="B294" s="4"/>
      <c r="D294" s="40"/>
      <c r="E294" s="40"/>
      <c r="F294" s="39"/>
      <c r="G294" s="39"/>
      <c r="H294" s="39"/>
      <c r="I294" s="39"/>
      <c r="J294" s="39"/>
      <c r="K294" s="8"/>
      <c r="L294" s="8"/>
      <c r="M294" s="8"/>
      <c r="N294" s="8"/>
      <c r="O294" s="8"/>
      <c r="P294" s="8"/>
      <c r="Q294" s="8"/>
      <c r="R294" s="8"/>
      <c r="S294" s="8"/>
      <c r="T294" s="8"/>
    </row>
    <row r="295" spans="1:20" ht="15" x14ac:dyDescent="0.25">
      <c r="A295" s="2" t="s">
        <v>1325</v>
      </c>
      <c r="B295" s="4"/>
      <c r="D295" s="40">
        <f t="shared" ref="D295:T295" si="128">SUM(D$171,D$230,D$238,D$248,D$253,D$257,D$270,D$275,D$279,D$283,D$287)</f>
        <v>40.115000000000002</v>
      </c>
      <c r="E295" s="40">
        <f t="shared" si="128"/>
        <v>41.5</v>
      </c>
      <c r="F295" s="39">
        <f t="shared" ca="1" si="128"/>
        <v>43.701999999999998</v>
      </c>
      <c r="G295" s="39">
        <f t="shared" ca="1" si="128"/>
        <v>46.889999999999993</v>
      </c>
      <c r="H295" s="39">
        <f t="shared" ca="1" si="128"/>
        <v>46.410000000000004</v>
      </c>
      <c r="I295" s="39">
        <f t="shared" ca="1" si="128"/>
        <v>46.252000000000002</v>
      </c>
      <c r="J295" s="39">
        <f t="shared" ca="1" si="128"/>
        <v>46.277000000000001</v>
      </c>
      <c r="K295" s="49">
        <f t="shared" ca="1" si="128"/>
        <v>46.277000000000001</v>
      </c>
      <c r="L295" s="49">
        <f t="shared" ca="1" si="128"/>
        <v>46.277000000000001</v>
      </c>
      <c r="M295" s="49">
        <f t="shared" ca="1" si="128"/>
        <v>46.277000000000001</v>
      </c>
      <c r="N295" s="49">
        <f t="shared" ca="1" si="128"/>
        <v>46.277000000000001</v>
      </c>
      <c r="O295" s="49">
        <f t="shared" ca="1" si="128"/>
        <v>46.277000000000001</v>
      </c>
      <c r="P295" s="49">
        <f t="shared" ca="1" si="128"/>
        <v>46.277000000000001</v>
      </c>
      <c r="Q295" s="49">
        <f t="shared" ca="1" si="128"/>
        <v>46.277000000000001</v>
      </c>
      <c r="R295" s="49">
        <f t="shared" ca="1" si="128"/>
        <v>46.277000000000001</v>
      </c>
      <c r="S295" s="49">
        <f t="shared" ca="1" si="128"/>
        <v>46.277000000000001</v>
      </c>
      <c r="T295" s="49">
        <f t="shared" ca="1" si="128"/>
        <v>46.277000000000001</v>
      </c>
    </row>
    <row r="296" spans="1:20" ht="15" x14ac:dyDescent="0.25">
      <c r="A296" s="2" t="s">
        <v>1327</v>
      </c>
      <c r="B296" s="4"/>
      <c r="D296" s="40">
        <f>SUM(D$230,D$237,D$238,D$245,D$247,D$261,D$291)</f>
        <v>30.933000000000003</v>
      </c>
      <c r="E296" s="40">
        <f>SUM(E$230,E$237,E$238,E$245,E$247,E$261,E$291)</f>
        <v>31.755000000000003</v>
      </c>
      <c r="F296" s="39">
        <f ca="1">SUM(F$230,F$237,F$238,F$245,F$247,F$261,F$291)</f>
        <v>32.426000000000002</v>
      </c>
      <c r="G296" s="39">
        <f t="shared" ref="G296:T296" ca="1" si="129">SUM(G$230,G$237,G$238,G$245,G$247,G$261,G$291)</f>
        <v>34.564999999999998</v>
      </c>
      <c r="H296" s="39">
        <f t="shared" ca="1" si="129"/>
        <v>34.658000000000001</v>
      </c>
      <c r="I296" s="39">
        <f t="shared" ca="1" si="129"/>
        <v>34.655000000000008</v>
      </c>
      <c r="J296" s="39">
        <f t="shared" ca="1" si="129"/>
        <v>35.371000000000002</v>
      </c>
      <c r="K296" s="49">
        <f t="shared" ca="1" si="129"/>
        <v>34.739176183764876</v>
      </c>
      <c r="L296" s="49">
        <f t="shared" ca="1" si="129"/>
        <v>35.060122834875919</v>
      </c>
      <c r="M296" s="49">
        <f t="shared" ca="1" si="129"/>
        <v>35.309659902824841</v>
      </c>
      <c r="N296" s="49">
        <f t="shared" ca="1" si="129"/>
        <v>35.535600712043447</v>
      </c>
      <c r="O296" s="49">
        <f t="shared" ca="1" si="129"/>
        <v>35.765462894420189</v>
      </c>
      <c r="P296" s="49">
        <f t="shared" ca="1" si="129"/>
        <v>36.004413155279607</v>
      </c>
      <c r="Q296" s="49">
        <f t="shared" ca="1" si="129"/>
        <v>36.244238660002445</v>
      </c>
      <c r="R296" s="49">
        <f t="shared" ca="1" si="129"/>
        <v>36.484250269538478</v>
      </c>
      <c r="S296" s="49">
        <f t="shared" ca="1" si="129"/>
        <v>36.730954033879868</v>
      </c>
      <c r="T296" s="49">
        <f t="shared" ca="1" si="129"/>
        <v>36.985279365207816</v>
      </c>
    </row>
    <row r="297" spans="1:20" ht="15" x14ac:dyDescent="0.25">
      <c r="A297" s="19" t="s">
        <v>564</v>
      </c>
      <c r="B297" s="4"/>
      <c r="D297" s="40"/>
      <c r="E297" s="40"/>
      <c r="F297" s="39"/>
      <c r="G297" s="39"/>
      <c r="H297" s="39"/>
      <c r="I297" s="39"/>
      <c r="J297" s="39"/>
      <c r="K297" s="8"/>
      <c r="L297" s="8"/>
      <c r="M297" s="8"/>
      <c r="N297" s="8"/>
      <c r="O297" s="8"/>
      <c r="P297" s="8"/>
      <c r="Q297" s="8"/>
      <c r="R297" s="8"/>
      <c r="S297" s="8"/>
      <c r="T297" s="8"/>
    </row>
    <row r="298" spans="1:20" ht="15" x14ac:dyDescent="0.25">
      <c r="A298" s="2" t="s">
        <v>1302</v>
      </c>
      <c r="B298" s="4" t="str">
        <f t="shared" si="127"/>
        <v>From Fiscal</v>
      </c>
      <c r="D298" s="40">
        <f>'Fiscal Forecasts'!D$200</f>
        <v>4.8250000000000002</v>
      </c>
      <c r="E298" s="40">
        <f>'Fiscal Forecasts'!E$200</f>
        <v>5.6840000000000002</v>
      </c>
      <c r="F298" s="39">
        <f>'Fiscal Forecasts'!F$200</f>
        <v>6.43</v>
      </c>
      <c r="G298" s="39">
        <f>'Fiscal Forecasts'!G$200</f>
        <v>5.8860000000000001</v>
      </c>
      <c r="H298" s="39">
        <f>'Fiscal Forecasts'!H$200</f>
        <v>6.0730000000000004</v>
      </c>
      <c r="I298" s="39">
        <f>'Fiscal Forecasts'!I$200</f>
        <v>6.0940000000000003</v>
      </c>
      <c r="J298" s="39">
        <f>'Fiscal Forecasts'!J$200</f>
        <v>6.1760000000000002</v>
      </c>
      <c r="K298" s="8">
        <f ca="1">IF(K$6=OFFSET(Assumptions!$B$8,0,$C$1),AVERAGE(H$298/SUM(H$227-H$226,H$250-H$249,H$254-H$253,H$258-H$257,H$276-H$275,H$280-H$279,H$284-H$283,H$288-H$287),I$298/SUM(I$227-I$226,I$250-I$249,I$254-I$253,I$258-I$257,I$276-I$275,I$280-I$279,I$284-I$283,I$288-I$287),J$298/SUM(J$227-J$226,J$250-J$249,J$254-J$253,J$258-J$257,J$276-J$275,J$280-J$279,J$284-J$283,J$288-J$287)),J$298/SUM(J$227-J$226,J$250-J$249,J$254-J$253,J$258-J$257,J$276-J$275,J$280-J$279,J$284-J$283,J$288-J$287))*SUM(K$227-K$226,K$250-K$249,K$254-K$253,K$258-K$257,K$276-K$275,K$280-K$279,K$284-K$283,K$288-K$287)</f>
        <v>6.6169304276140686</v>
      </c>
      <c r="L298" s="8">
        <f ca="1">IF(L$6=OFFSET(Assumptions!$B$8,0,$C$1),AVERAGE(I$298/SUM(I$227-I$226,I$250-I$249,I$254-I$253,I$258-I$257,I$276-I$275,I$280-I$279,I$284-I$283,I$288-I$287),J$298/SUM(J$227-J$226,J$250-J$249,J$254-J$253,J$258-J$257,J$276-J$275,J$280-J$279,J$284-J$283,J$288-J$287),K$298/SUM(K$227-K$226,K$250-K$249,K$254-K$253,K$258-K$257,K$276-K$275,K$280-K$279,K$284-K$283,K$288-K$287)),K$298/SUM(K$227-K$226,K$250-K$249,K$254-K$253,K$258-K$257,K$276-K$275,K$280-K$279,K$284-K$283,K$288-K$287))*SUM(L$227-L$226,L$250-L$249,L$254-L$253,L$258-L$257,L$276-L$275,L$280-L$279,L$284-L$283,L$288-L$287)</f>
        <v>6.8867220657975405</v>
      </c>
      <c r="M298" s="8">
        <f ca="1">IF(M$6=OFFSET(Assumptions!$B$8,0,$C$1),AVERAGE(J$298/SUM(J$227-J$226,J$250-J$249,J$254-J$253,J$258-J$257,J$276-J$275,J$280-J$279,J$284-J$283,J$288-J$287),K$298/SUM(K$227-K$226,K$250-K$249,K$254-K$253,K$258-K$257,K$276-K$275,K$280-K$279,K$284-K$283,K$288-K$287),L$298/SUM(L$227-L$226,L$250-L$249,L$254-L$253,L$258-L$257,L$276-L$275,L$280-L$279,L$284-L$283,L$288-L$287)),L$298/SUM(L$227-L$226,L$250-L$249,L$254-L$253,L$258-L$257,L$276-L$275,L$280-L$279,L$284-L$283,L$288-L$287))*SUM(M$227-M$226,M$250-M$249,M$254-M$253,M$258-M$257,M$276-M$275,M$280-M$279,M$284-M$283,M$288-M$287)</f>
        <v>7.1677458835961305</v>
      </c>
      <c r="N298" s="8">
        <f ca="1">IF(N$6=OFFSET(Assumptions!$B$8,0,$C$1),AVERAGE(K$298/SUM(K$227-K$226,K$250-K$249,K$254-K$253,K$258-K$257,K$276-K$275,K$280-K$279,K$284-K$283,K$288-K$287),L$298/SUM(L$227-L$226,L$250-L$249,L$254-L$253,L$258-L$257,L$276-L$275,L$280-L$279,L$284-L$283,L$288-L$287),M$298/SUM(M$227-M$226,M$250-M$249,M$254-M$253,M$258-M$257,M$276-M$275,M$280-M$279,M$284-M$283,M$288-M$287)),M$298/SUM(M$227-M$226,M$250-M$249,M$254-M$253,M$258-M$257,M$276-M$275,M$280-M$279,M$284-M$283,M$288-M$287))*SUM(N$227-N$226,N$250-N$249,N$254-N$253,N$258-N$257,N$276-N$275,N$280-N$279,N$284-N$283,N$288-N$287)</f>
        <v>7.4606878013992768</v>
      </c>
      <c r="O298" s="8">
        <f ca="1">IF(O$6=OFFSET(Assumptions!$B$8,0,$C$1),AVERAGE(L$298/SUM(L$227-L$226,L$250-L$249,L$254-L$253,L$258-L$257,L$276-L$275,L$280-L$279,L$284-L$283,L$288-L$287),M$298/SUM(M$227-M$226,M$250-M$249,M$254-M$253,M$258-M$257,M$276-M$275,M$280-M$279,M$284-M$283,M$288-M$287),N$298/SUM(N$227-N$226,N$250-N$249,N$254-N$253,N$258-N$257,N$276-N$275,N$280-N$279,N$284-N$283,N$288-N$287)),N$298/SUM(N$227-N$226,N$250-N$249,N$254-N$253,N$258-N$257,N$276-N$275,N$280-N$279,N$284-N$283,N$288-N$287))*SUM(O$227-O$226,O$250-O$249,O$254-O$253,O$258-O$257,O$276-O$275,O$280-O$279,O$284-O$283,O$288-O$287)</f>
        <v>7.7633670826783723</v>
      </c>
      <c r="P298" s="8">
        <f ca="1">IF(P$6=OFFSET(Assumptions!$B$8,0,$C$1),AVERAGE(M$298/SUM(M$227-M$226,M$250-M$249,M$254-M$253,M$258-M$257,M$276-M$275,M$280-M$279,M$284-M$283,M$288-M$287),N$298/SUM(N$227-N$226,N$250-N$249,N$254-N$253,N$258-N$257,N$276-N$275,N$280-N$279,N$284-N$283,N$288-N$287),O$298/SUM(O$227-O$226,O$250-O$249,O$254-O$253,O$258-O$257,O$276-O$275,O$280-O$279,O$284-O$283,O$288-O$287)),O$298/SUM(O$227-O$226,O$250-O$249,O$254-O$253,O$258-O$257,O$276-O$275,O$280-O$279,O$284-O$283,O$288-O$287))*SUM(P$227-P$226,P$250-P$249,P$254-P$253,P$258-P$257,P$276-P$275,P$280-P$279,P$284-P$283,P$288-P$287)</f>
        <v>8.0769461962807299</v>
      </c>
      <c r="Q298" s="8">
        <f ca="1">IF(Q$6=OFFSET(Assumptions!$B$8,0,$C$1),AVERAGE(N$298/SUM(N$227-N$226,N$250-N$249,N$254-N$253,N$258-N$257,N$276-N$275,N$280-N$279,N$284-N$283,N$288-N$287),O$298/SUM(O$227-O$226,O$250-O$249,O$254-O$253,O$258-O$257,O$276-O$275,O$280-O$279,O$284-O$283,O$288-O$287),P$298/SUM(P$227-P$226,P$250-P$249,P$254-P$253,P$258-P$257,P$276-P$275,P$280-P$279,P$284-P$283,P$288-P$287)),P$298/SUM(P$227-P$226,P$250-P$249,P$254-P$253,P$258-P$257,P$276-P$275,P$280-P$279,P$284-P$283,P$288-P$287))*SUM(Q$227-Q$226,Q$250-Q$249,Q$254-Q$253,Q$258-Q$257,Q$276-Q$275,Q$280-Q$279,Q$284-Q$283,Q$288-Q$287)</f>
        <v>8.4007435017844703</v>
      </c>
      <c r="R298" s="8">
        <f ca="1">IF(R$6=OFFSET(Assumptions!$B$8,0,$C$1),AVERAGE(O$298/SUM(O$227-O$226,O$250-O$249,O$254-O$253,O$258-O$257,O$276-O$275,O$280-O$279,O$284-O$283,O$288-O$287),P$298/SUM(P$227-P$226,P$250-P$249,P$254-P$253,P$258-P$257,P$276-P$275,P$280-P$279,P$284-P$283,P$288-P$287),Q$298/SUM(Q$227-Q$226,Q$250-Q$249,Q$254-Q$253,Q$258-Q$257,Q$276-Q$275,Q$280-Q$279,Q$284-Q$283,Q$288-Q$287)),Q$298/SUM(Q$227-Q$226,Q$250-Q$249,Q$254-Q$253,Q$258-Q$257,Q$276-Q$275,Q$280-Q$279,Q$284-Q$283,Q$288-Q$287))*SUM(R$227-R$226,R$250-R$249,R$254-R$253,R$258-R$257,R$276-R$275,R$280-R$279,R$284-R$283,R$288-R$287)</f>
        <v>8.734119254131441</v>
      </c>
      <c r="S298" s="8">
        <f ca="1">IF(S$6=OFFSET(Assumptions!$B$8,0,$C$1),AVERAGE(P$298/SUM(P$227-P$226,P$250-P$249,P$254-P$253,P$258-P$257,P$276-P$275,P$280-P$279,P$284-P$283,P$288-P$287),Q$298/SUM(Q$227-Q$226,Q$250-Q$249,Q$254-Q$253,Q$258-Q$257,Q$276-Q$275,Q$280-Q$279,Q$284-Q$283,Q$288-Q$287),R$298/SUM(R$227-R$226,R$250-R$249,R$254-R$253,R$258-R$257,R$276-R$275,R$280-R$279,R$284-R$283,R$288-R$287)),R$298/SUM(R$227-R$226,R$250-R$249,R$254-R$253,R$258-R$257,R$276-R$275,R$280-R$279,R$284-R$283,R$288-R$287))*SUM(S$227-S$226,S$250-S$249,S$254-S$253,S$258-S$257,S$276-S$275,S$280-S$279,S$284-S$283,S$288-S$287)</f>
        <v>9.0791613193962029</v>
      </c>
      <c r="T298" s="8">
        <f ca="1">IF(T$6=OFFSET(Assumptions!$B$8,0,$C$1),AVERAGE(Q$298/SUM(Q$227-Q$226,Q$250-Q$249,Q$254-Q$253,Q$258-Q$257,Q$276-Q$275,Q$280-Q$279,Q$284-Q$283,Q$288-Q$287),R$298/SUM(R$227-R$226,R$250-R$249,R$254-R$253,R$258-R$257,R$276-R$275,R$280-R$279,R$284-R$283,R$288-R$287),S$298/SUM(S$227-S$226,S$250-S$249,S$254-S$253,S$258-S$257,S$276-S$275,S$280-S$279,S$284-S$283,S$288-S$287)),S$298/SUM(S$227-S$226,S$250-S$249,S$254-S$253,S$258-S$257,S$276-S$275,S$280-S$279,S$284-S$283,S$288-S$287))*SUM(T$227-T$226,T$250-T$249,T$254-T$253,T$258-T$257,T$276-T$275,T$280-T$279,T$284-T$283,T$288-T$287)</f>
        <v>9.4351835632272181</v>
      </c>
    </row>
    <row r="299" spans="1:20" ht="15" x14ac:dyDescent="0.25">
      <c r="A299" s="2" t="s">
        <v>565</v>
      </c>
      <c r="B299" s="4" t="str">
        <f t="shared" si="127"/>
        <v>From Fiscal</v>
      </c>
      <c r="D299" s="40">
        <f>'Fiscal Forecasts'!D$201</f>
        <v>7.01</v>
      </c>
      <c r="E299" s="40">
        <f>'Fiscal Forecasts'!E$201</f>
        <v>5.9950000000000001</v>
      </c>
      <c r="F299" s="39">
        <f>'Fiscal Forecasts'!F$201</f>
        <v>6.7050000000000001</v>
      </c>
      <c r="G299" s="39">
        <f>'Fiscal Forecasts'!G$201</f>
        <v>7.14</v>
      </c>
      <c r="H299" s="39">
        <f>'Fiscal Forecasts'!H$201</f>
        <v>7.4189999999999996</v>
      </c>
      <c r="I299" s="39">
        <f>'Fiscal Forecasts'!I$201</f>
        <v>7.6529999999999996</v>
      </c>
      <c r="J299" s="39">
        <f>'Fiscal Forecasts'!J$201</f>
        <v>7.7670000000000003</v>
      </c>
      <c r="K299" s="8">
        <f ca="1">IF(K$6=OFFSET(Assumptions!$B$8,0,$C$1),AVERAGE(H$299/(H$272-H$271),I$299/(I$272-I$271),J$299/(J$272-J$271)),J$299/(J$272-J$271))*(K$272-K$271)</f>
        <v>8.2800977789724204</v>
      </c>
      <c r="L299" s="8">
        <f ca="1">IF(L$6=OFFSET(Assumptions!$B$8,0,$C$1),AVERAGE(I$299/(I$272-I$271),J$299/(J$272-J$271),K$299/(K$272-K$271)),K$299/(K$272-K$271))*(L$272-L$271)</f>
        <v>8.6433740734383413</v>
      </c>
      <c r="M299" s="8">
        <f ca="1">IF(M$6=OFFSET(Assumptions!$B$8,0,$C$1),AVERAGE(J$299/(J$272-J$271),K$299/(K$272-K$271),L$299/(L$272-L$271)),L$299/(L$272-L$271))*(M$272-M$271)</f>
        <v>9.0210877645581515</v>
      </c>
      <c r="N299" s="8">
        <f ca="1">IF(N$6=OFFSET(Assumptions!$B$8,0,$C$1),AVERAGE(K$299/(K$272-K$271),L$299/(L$272-L$271),M$299/(M$272-M$271)),M$299/(M$272-M$271))*(N$272-N$271)</f>
        <v>9.4148809674645424</v>
      </c>
      <c r="O299" s="8">
        <f ca="1">IF(O$6=OFFSET(Assumptions!$B$8,0,$C$1),AVERAGE(L$299/(L$272-L$271),M$299/(M$272-M$271),N$299/(N$272-N$271)),N$299/(N$272-N$271))*(O$272-O$271)</f>
        <v>9.8217691364484097</v>
      </c>
      <c r="P299" s="8">
        <f ca="1">IF(P$6=OFFSET(Assumptions!$B$8,0,$C$1),AVERAGE(M$299/(M$272-M$271),N$299/(N$272-N$271),O$299/(O$272-O$271)),O$299/(O$272-O$271))*(P$272-P$271)</f>
        <v>10.243359262624246</v>
      </c>
      <c r="Q299" s="8">
        <f ca="1">IF(Q$6=OFFSET(Assumptions!$B$8,0,$C$1),AVERAGE(N$299/(N$272-N$271),O$299/(O$272-O$271),P$299/(P$272-P$271)),P$299/(P$272-P$271))*(Q$272-Q$271)</f>
        <v>10.678999287495273</v>
      </c>
      <c r="R299" s="8">
        <f ca="1">IF(R$6=OFFSET(Assumptions!$B$8,0,$C$1),AVERAGE(O$299/(O$272-O$271),P$299/(P$272-P$271),Q$299/(Q$272-Q$271)),Q$299/(Q$272-Q$271))*(R$272-R$271)</f>
        <v>11.128203434838085</v>
      </c>
      <c r="S299" s="8">
        <f ca="1">IF(S$6=OFFSET(Assumptions!$B$8,0,$C$1),AVERAGE(P$299/(P$272-P$271),Q$299/(Q$272-Q$271),R$299/(R$272-R$271)),R$299/(R$272-R$271))*(S$272-S$271)</f>
        <v>11.593010752614859</v>
      </c>
      <c r="T299" s="8">
        <f ca="1">IF(T$6=OFFSET(Assumptions!$B$8,0,$C$1),AVERAGE(Q$299/(Q$272-Q$271),R$299/(R$272-R$271),S$299/(S$272-S$271)),S$299/(S$272-S$271))*(T$272-T$271)</f>
        <v>12.07269940922396</v>
      </c>
    </row>
    <row r="300" spans="1:20" ht="15" x14ac:dyDescent="0.25">
      <c r="A300" s="2" t="s">
        <v>566</v>
      </c>
      <c r="B300" s="4" t="str">
        <f t="shared" si="127"/>
        <v>From Fiscal</v>
      </c>
      <c r="D300" s="40">
        <f>'Fiscal Forecasts'!D$202</f>
        <v>-2.698</v>
      </c>
      <c r="E300" s="40">
        <f>'Fiscal Forecasts'!E$202</f>
        <v>-2.7010000000000001</v>
      </c>
      <c r="F300" s="39">
        <f>'Fiscal Forecasts'!F$202</f>
        <v>-3.073</v>
      </c>
      <c r="G300" s="39">
        <f>'Fiscal Forecasts'!G$202</f>
        <v>-3.1230000000000002</v>
      </c>
      <c r="H300" s="39">
        <f>'Fiscal Forecasts'!H$202</f>
        <v>-3.1619999999999999</v>
      </c>
      <c r="I300" s="39">
        <f>'Fiscal Forecasts'!I$202</f>
        <v>-3.0739999999999998</v>
      </c>
      <c r="J300" s="39">
        <f>'Fiscal Forecasts'!J$202</f>
        <v>-3.0920000000000001</v>
      </c>
      <c r="K300" s="8">
        <f ca="1">SUM(K$227-K$226,K$250-K$249,K$254-K$253,K$258-K$257,K$272-K$271,K$276-K$275,K$280-K$279,K$284-K$283,K$288-K$287,-K$298,-K$299)</f>
        <v>-3.3760482728016683</v>
      </c>
      <c r="L300" s="8">
        <f t="shared" ref="L300:T300" ca="1" si="130">SUM(L$227-L$226,L$250-L$249,L$254-L$253,L$258-L$257,L$272-L$271,L$276-L$275,L$280-L$279,L$284-L$283,L$288-L$287,-L$298,-L$299)</f>
        <v>-3.5193706147640782</v>
      </c>
      <c r="M300" s="8">
        <f t="shared" ca="1" si="130"/>
        <v>-3.6685081519748666</v>
      </c>
      <c r="N300" s="8">
        <f t="shared" ca="1" si="130"/>
        <v>-3.8239839867859073</v>
      </c>
      <c r="O300" s="8">
        <f t="shared" ca="1" si="130"/>
        <v>-3.9846289986355918</v>
      </c>
      <c r="P300" s="8">
        <f t="shared" ca="1" si="130"/>
        <v>-4.1510699454138216</v>
      </c>
      <c r="Q300" s="8">
        <f t="shared" ca="1" si="130"/>
        <v>-4.3230034257931464</v>
      </c>
      <c r="R300" s="8">
        <f t="shared" ca="1" si="130"/>
        <v>-4.5001725645746262</v>
      </c>
      <c r="S300" s="8">
        <f t="shared" ca="1" si="130"/>
        <v>-4.6835159122610577</v>
      </c>
      <c r="T300" s="8">
        <f t="shared" ca="1" si="130"/>
        <v>-4.87271360421067</v>
      </c>
    </row>
    <row r="301" spans="1:20" ht="15" x14ac:dyDescent="0.25">
      <c r="A301" s="2"/>
      <c r="B301" s="4"/>
      <c r="D301" s="40"/>
      <c r="E301" s="40"/>
      <c r="F301" s="39"/>
      <c r="G301" s="39"/>
      <c r="H301" s="39"/>
      <c r="I301" s="39"/>
      <c r="J301" s="39"/>
      <c r="K301" s="8"/>
      <c r="L301" s="8"/>
      <c r="M301" s="8"/>
      <c r="N301" s="8"/>
      <c r="O301" s="8"/>
      <c r="P301" s="8"/>
      <c r="Q301" s="8"/>
      <c r="R301" s="8"/>
      <c r="S301" s="8"/>
      <c r="T301" s="8"/>
    </row>
    <row r="302" spans="1:20" ht="15" x14ac:dyDescent="0.25">
      <c r="A302" s="19" t="s">
        <v>567</v>
      </c>
      <c r="B302" s="4"/>
      <c r="D302" s="40"/>
      <c r="E302" s="40"/>
      <c r="F302" s="39"/>
      <c r="G302" s="39"/>
      <c r="H302" s="39"/>
      <c r="I302" s="39"/>
      <c r="J302" s="39"/>
      <c r="K302" s="8"/>
      <c r="L302" s="8"/>
      <c r="M302" s="8"/>
      <c r="N302" s="8"/>
      <c r="O302" s="8"/>
      <c r="P302" s="8"/>
      <c r="Q302" s="8"/>
      <c r="R302" s="8"/>
      <c r="S302" s="8"/>
      <c r="T302" s="8"/>
    </row>
    <row r="303" spans="1:20" x14ac:dyDescent="0.2">
      <c r="A303" s="1" t="s">
        <v>1328</v>
      </c>
      <c r="B303" s="4"/>
      <c r="D303" s="50">
        <f>D$350</f>
        <v>3.1560000000000001</v>
      </c>
      <c r="E303" s="50">
        <f>E$350</f>
        <v>-7.5999999999999998E-2</v>
      </c>
      <c r="F303" s="16">
        <f>F$350</f>
        <v>5.5069999999999997</v>
      </c>
      <c r="G303" s="16">
        <f t="shared" ref="G303:T303" si="131">G$350</f>
        <v>2.3650000000000002</v>
      </c>
      <c r="H303" s="16">
        <f t="shared" si="131"/>
        <v>2.5259999999999998</v>
      </c>
      <c r="I303" s="16">
        <f t="shared" si="131"/>
        <v>2.6989999999999998</v>
      </c>
      <c r="J303" s="16">
        <f t="shared" si="131"/>
        <v>2.883</v>
      </c>
      <c r="K303" s="7">
        <f t="shared" ca="1" si="131"/>
        <v>2.5409417921179696</v>
      </c>
      <c r="L303" s="7">
        <f t="shared" ca="1" si="131"/>
        <v>2.8660782341780489</v>
      </c>
      <c r="M303" s="7">
        <f t="shared" ca="1" si="131"/>
        <v>3.2123081867182091</v>
      </c>
      <c r="N303" s="7">
        <f t="shared" ca="1" si="131"/>
        <v>3.5790239326008026</v>
      </c>
      <c r="O303" s="7">
        <f t="shared" ca="1" si="131"/>
        <v>3.9657472863900085</v>
      </c>
      <c r="P303" s="7">
        <f t="shared" ca="1" si="131"/>
        <v>4.3431269843045319</v>
      </c>
      <c r="Q303" s="7">
        <f t="shared" ca="1" si="131"/>
        <v>4.6432521366210837</v>
      </c>
      <c r="R303" s="7">
        <f t="shared" ca="1" si="131"/>
        <v>4.9400287685718212</v>
      </c>
      <c r="S303" s="7">
        <f t="shared" ca="1" si="131"/>
        <v>5.2345349252542688</v>
      </c>
      <c r="T303" s="7">
        <f t="shared" ca="1" si="131"/>
        <v>5.5279305231959288</v>
      </c>
    </row>
    <row r="304" spans="1:20" x14ac:dyDescent="0.2">
      <c r="A304" s="1" t="s">
        <v>1329</v>
      </c>
      <c r="B304" s="4" t="str">
        <f t="shared" ref="B304:B317" si="132">$B$38</f>
        <v>From Fiscal</v>
      </c>
      <c r="D304" s="15">
        <f>'Fiscal Forecasts'!D$164-D$303</f>
        <v>0.51400000000000023</v>
      </c>
      <c r="E304" s="15">
        <f>'Fiscal Forecasts'!E$164-E$303</f>
        <v>-3.1829999999999998</v>
      </c>
      <c r="F304" s="16">
        <f>'Fiscal Forecasts'!F$164-F$303</f>
        <v>0.80000000000000071</v>
      </c>
      <c r="G304" s="16">
        <f>'Fiscal Forecasts'!G$164-G$303</f>
        <v>2.3999999999999577E-2</v>
      </c>
      <c r="H304" s="16">
        <f>'Fiscal Forecasts'!H$164-H$303</f>
        <v>0.14200000000000035</v>
      </c>
      <c r="I304" s="16">
        <f>'Fiscal Forecasts'!I$164-I$303</f>
        <v>0.19200000000000017</v>
      </c>
      <c r="J304" s="16">
        <f>'Fiscal Forecasts'!J$164-J$303</f>
        <v>0.21600000000000019</v>
      </c>
      <c r="K304" s="7">
        <f ca="1">IF(K$6=OFFSET(Assumptions!$B$8,0,$C$1),AVERAGE(H$304/H$13,I$304/I$13,J$304/J$13),J$304/J$13)*K$13</f>
        <v>0.19835729531910401</v>
      </c>
      <c r="L304" s="7">
        <f ca="1">IF(L$6=OFFSET(Assumptions!$B$8,0,$C$1),AVERAGE(I$304/I$13,J$304/J$13,K$304/K$13),K$304/K$13)*L$13</f>
        <v>0.20705991033010082</v>
      </c>
      <c r="M304" s="7">
        <f ca="1">IF(M$6=OFFSET(Assumptions!$B$8,0,$C$1),AVERAGE(J$304/J$13,K$304/K$13,L$304/L$13),L$304/L$13)*M$13</f>
        <v>0.21610838634759288</v>
      </c>
      <c r="N304" s="7">
        <f ca="1">IF(N$6=OFFSET(Assumptions!$B$8,0,$C$1),AVERAGE(K$304/K$13,L$304/L$13,M$304/M$13),M$304/M$13)*N$13</f>
        <v>0.22554206173750513</v>
      </c>
      <c r="O304" s="7">
        <f ca="1">IF(O$6=OFFSET(Assumptions!$B$8,0,$C$1),AVERAGE(L$304/L$13,M$304/M$13,N$304/N$13),N$304/N$13)*O$13</f>
        <v>0.23528943898490265</v>
      </c>
      <c r="P304" s="7">
        <f ca="1">IF(P$6=OFFSET(Assumptions!$B$8,0,$C$1),AVERAGE(M$304/M$13,N$304/N$13,O$304/O$13),O$304/O$13)*P$13</f>
        <v>0.24538901502781466</v>
      </c>
      <c r="Q304" s="7">
        <f ca="1">IF(Q$6=OFFSET(Assumptions!$B$8,0,$C$1),AVERAGE(N$304/N$13,O$304/O$13,P$304/P$13),P$304/P$13)*Q$13</f>
        <v>0.25582516921014942</v>
      </c>
      <c r="R304" s="7">
        <f ca="1">IF(R$6=OFFSET(Assumptions!$B$8,0,$C$1),AVERAGE(O$304/O$13,P$304/P$13,Q$304/Q$13),Q$304/Q$13)*R$13</f>
        <v>0.26658626431935512</v>
      </c>
      <c r="S304" s="7">
        <f ca="1">IF(S$6=OFFSET(Assumptions!$B$8,0,$C$1),AVERAGE(P$304/P$13,Q$304/Q$13,R$304/R$13),R$304/R$13)*S$13</f>
        <v>0.277721147609365</v>
      </c>
      <c r="T304" s="7">
        <f ca="1">IF(T$6=OFFSET(Assumptions!$B$8,0,$C$1),AVERAGE(Q$304/Q$13,R$304/R$13,S$304/S$13),S$304/S$13)*T$13</f>
        <v>0.28921252694571431</v>
      </c>
    </row>
    <row r="305" spans="1:20" ht="15" x14ac:dyDescent="0.25">
      <c r="A305" s="2" t="s">
        <v>1330</v>
      </c>
      <c r="B305" s="4"/>
      <c r="D305" s="35">
        <f>SUM(D$303:D$304)</f>
        <v>3.6700000000000004</v>
      </c>
      <c r="E305" s="35">
        <f>SUM(E$303:E$304)</f>
        <v>-3.2589999999999999</v>
      </c>
      <c r="F305" s="34">
        <f>SUM(F$303:F$304)</f>
        <v>6.3070000000000004</v>
      </c>
      <c r="G305" s="34">
        <f t="shared" ref="G305:T305" si="133">SUM(G$303:G$304)</f>
        <v>2.3889999999999998</v>
      </c>
      <c r="H305" s="34">
        <f t="shared" si="133"/>
        <v>2.6680000000000001</v>
      </c>
      <c r="I305" s="34">
        <f t="shared" si="133"/>
        <v>2.891</v>
      </c>
      <c r="J305" s="34">
        <f t="shared" si="133"/>
        <v>3.0990000000000002</v>
      </c>
      <c r="K305" s="38">
        <f t="shared" ca="1" si="133"/>
        <v>2.7392990874370735</v>
      </c>
      <c r="L305" s="38">
        <f t="shared" ca="1" si="133"/>
        <v>3.0731381445081496</v>
      </c>
      <c r="M305" s="38">
        <f t="shared" ca="1" si="133"/>
        <v>3.4284165730658018</v>
      </c>
      <c r="N305" s="38">
        <f t="shared" ca="1" si="133"/>
        <v>3.8045659943383079</v>
      </c>
      <c r="O305" s="38">
        <f t="shared" ca="1" si="133"/>
        <v>4.2010367253749115</v>
      </c>
      <c r="P305" s="38">
        <f t="shared" ca="1" si="133"/>
        <v>4.5885159993323468</v>
      </c>
      <c r="Q305" s="38">
        <f t="shared" ca="1" si="133"/>
        <v>4.8990773058312334</v>
      </c>
      <c r="R305" s="38">
        <f t="shared" ca="1" si="133"/>
        <v>5.2066150328911762</v>
      </c>
      <c r="S305" s="38">
        <f t="shared" ca="1" si="133"/>
        <v>5.5122560728636341</v>
      </c>
      <c r="T305" s="38">
        <f t="shared" ca="1" si="133"/>
        <v>5.8171430501416435</v>
      </c>
    </row>
    <row r="306" spans="1:20" x14ac:dyDescent="0.2">
      <c r="A306" s="1" t="s">
        <v>279</v>
      </c>
      <c r="B306" s="4" t="str">
        <f t="shared" si="132"/>
        <v>From Fiscal</v>
      </c>
      <c r="D306" s="15">
        <f>SUM('Fiscal Forecasts'!D$280,'Fiscal Forecasts'!D$286)</f>
        <v>1.4169999999999998</v>
      </c>
      <c r="E306" s="15">
        <f>SUM('Fiscal Forecasts'!E$280,'Fiscal Forecasts'!E$286)</f>
        <v>-3.3</v>
      </c>
      <c r="F306" s="16">
        <f>SUM('Fiscal Forecasts'!F$280,'Fiscal Forecasts'!F$286)</f>
        <v>1.1949999999999998</v>
      </c>
      <c r="G306" s="16">
        <f>SUM('Fiscal Forecasts'!G$280,'Fiscal Forecasts'!G$286)</f>
        <v>0.13400000000000001</v>
      </c>
      <c r="H306" s="16">
        <f>SUM('Fiscal Forecasts'!H$280,'Fiscal Forecasts'!H$286)</f>
        <v>0.20699999999999996</v>
      </c>
      <c r="I306" s="16">
        <f>SUM('Fiscal Forecasts'!I$280,'Fiscal Forecasts'!I$286)</f>
        <v>0.32299999999999995</v>
      </c>
      <c r="J306" s="16">
        <f>SUM('Fiscal Forecasts'!J$280,'Fiscal Forecasts'!J$286)</f>
        <v>0.36699999999999999</v>
      </c>
      <c r="K306" s="7">
        <f>J$306*Exogenous!R$27/Exogenous!Q$27</f>
        <v>0.38512558883419884</v>
      </c>
      <c r="L306" s="7">
        <f>K$306*Exogenous!S$27/Exogenous!R$27</f>
        <v>0.40344361902754855</v>
      </c>
      <c r="M306" s="7">
        <f>L$306*Exogenous!T$27/Exogenous!S$27</f>
        <v>0.42231967898878892</v>
      </c>
      <c r="N306" s="7">
        <f>M$306*Exogenous!U$27/Exogenous!T$27</f>
        <v>0.44137288425581189</v>
      </c>
      <c r="O306" s="7">
        <f>N$306*Exogenous!V$27/Exogenous!U$27</f>
        <v>0.46098009346952595</v>
      </c>
      <c r="P306" s="7">
        <f>O$306*Exogenous!W$27/Exogenous!V$27</f>
        <v>0.48164136198039309</v>
      </c>
      <c r="Q306" s="7">
        <f>P$306*Exogenous!X$27/Exogenous!W$27</f>
        <v>0.50294604022964773</v>
      </c>
      <c r="R306" s="7">
        <f>Q$306*Exogenous!Y$27/Exogenous!X$27</f>
        <v>0.52473738712424012</v>
      </c>
      <c r="S306" s="7">
        <f>R$306*Exogenous!Z$27/Exogenous!Y$27</f>
        <v>0.54719888518995996</v>
      </c>
      <c r="T306" s="7">
        <f>S$306*Exogenous!AA$27/Exogenous!Z$27</f>
        <v>0.57041662274456961</v>
      </c>
    </row>
    <row r="307" spans="1:20" x14ac:dyDescent="0.2">
      <c r="A307" s="1" t="s">
        <v>506</v>
      </c>
      <c r="B307" s="4" t="str">
        <f t="shared" si="132"/>
        <v>From Fiscal</v>
      </c>
      <c r="D307" s="15">
        <f>SUM('Fiscal Forecasts'!D$281,'Fiscal Forecasts'!D$287)</f>
        <v>0.34200000000000003</v>
      </c>
      <c r="E307" s="15">
        <f>SUM('Fiscal Forecasts'!E$281,'Fiscal Forecasts'!E$287)</f>
        <v>6.0000000000000053E-3</v>
      </c>
      <c r="F307" s="16">
        <f>SUM('Fiscal Forecasts'!F$281,'Fiscal Forecasts'!F$287)</f>
        <v>0.11299999999999999</v>
      </c>
      <c r="G307" s="16">
        <f>SUM('Fiscal Forecasts'!G$281,'Fiscal Forecasts'!G$287)</f>
        <v>0.17399999999999999</v>
      </c>
      <c r="H307" s="16">
        <f>SUM('Fiscal Forecasts'!H$281,'Fiscal Forecasts'!H$287)</f>
        <v>9.8000000000000004E-2</v>
      </c>
      <c r="I307" s="16">
        <f>SUM('Fiscal Forecasts'!I$281,'Fiscal Forecasts'!I$287)</f>
        <v>7.5999999999999998E-2</v>
      </c>
      <c r="J307" s="16">
        <f>SUM('Fiscal Forecasts'!J$281,'Fiscal Forecasts'!J$287)</f>
        <v>8.2000000000000003E-2</v>
      </c>
      <c r="K307" s="7">
        <f ca="1">IF(K$6=OFFSET(Assumptions!$B$8,0,$C$1),AVERAGE(H$307/H$13,I$307/I$13,J$307/J$13),J$307/J$13)*K$13</f>
        <v>9.3134581395307225E-2</v>
      </c>
      <c r="L307" s="7">
        <f ca="1">IF(L$6=OFFSET(Assumptions!$B$8,0,$C$1),AVERAGE(I$307/I$13,J$307/J$13,K$307/K$13),K$307/K$13)*L$13</f>
        <v>9.7220714979604217E-2</v>
      </c>
      <c r="M307" s="7">
        <f ca="1">IF(M$6=OFFSET(Assumptions!$B$8,0,$C$1),AVERAGE(J$307/J$13,K$307/K$13,L$307/L$13),L$307/L$13)*M$13</f>
        <v>0.10146924047395964</v>
      </c>
      <c r="N307" s="7">
        <f ca="1">IF(N$6=OFFSET(Assumptions!$B$8,0,$C$1),AVERAGE(K$307/K$13,L$307/L$13,M$307/M$13),M$307/M$13)*N$13</f>
        <v>0.10589862839763167</v>
      </c>
      <c r="O307" s="7">
        <f ca="1">IF(O$6=OFFSET(Assumptions!$B$8,0,$C$1),AVERAGE(L$307/L$13,M$307/M$13,N$307/N$13),N$307/N$13)*O$13</f>
        <v>0.11047530856549781</v>
      </c>
      <c r="P307" s="7">
        <f ca="1">IF(P$6=OFFSET(Assumptions!$B$8,0,$C$1),AVERAGE(M$307/M$13,N$307/N$13,O$307/O$13),O$307/O$13)*P$13</f>
        <v>0.11521735642168317</v>
      </c>
      <c r="Q307" s="7">
        <f ca="1">IF(Q$6=OFFSET(Assumptions!$B$8,0,$C$1),AVERAGE(N$307/N$13,O$307/O$13,P$307/P$13),P$307/P$13)*Q$13</f>
        <v>0.12011743760894174</v>
      </c>
      <c r="R307" s="7">
        <f ca="1">IF(R$6=OFFSET(Assumptions!$B$8,0,$C$1),AVERAGE(O$307/O$13,P$307/P$13,Q$307/Q$13),Q$307/Q$13)*R$13</f>
        <v>0.12517008811387345</v>
      </c>
      <c r="S307" s="7">
        <f ca="1">IF(S$6=OFFSET(Assumptions!$B$8,0,$C$1),AVERAGE(P$307/P$13,Q$307/Q$13,R$307/R$13),R$307/R$13)*S$13</f>
        <v>0.13039824315819562</v>
      </c>
      <c r="T307" s="7">
        <f ca="1">IF(T$6=OFFSET(Assumptions!$B$8,0,$C$1),AVERAGE(Q$307/Q$13,R$307/R$13,S$307/S$13),S$307/S$13)*T$13</f>
        <v>0.13579378357642849</v>
      </c>
    </row>
    <row r="308" spans="1:20" x14ac:dyDescent="0.2">
      <c r="A308" s="1" t="s">
        <v>507</v>
      </c>
      <c r="B308" s="4" t="str">
        <f t="shared" si="132"/>
        <v>From Fiscal</v>
      </c>
      <c r="D308" s="15">
        <f>SUM('Fiscal Forecasts'!D$26:D$27)-SUM(D$305:D$307)</f>
        <v>-0.88199999999999967</v>
      </c>
      <c r="E308" s="15">
        <f>SUM('Fiscal Forecasts'!E$26:E$27)-SUM(E$305:E$307)</f>
        <v>-0.96600000000000019</v>
      </c>
      <c r="F308" s="16">
        <f>SUM('Fiscal Forecasts'!F$26:F$27)-SUM(F$305:F$307)</f>
        <v>-0.34500000000000064</v>
      </c>
      <c r="G308" s="16">
        <f>SUM('Fiscal Forecasts'!G$26:G$27)-SUM(G$305:G$307)</f>
        <v>-0.10399999999999965</v>
      </c>
      <c r="H308" s="16">
        <f>SUM('Fiscal Forecasts'!H$26:H$27)-SUM(H$305:H$307)</f>
        <v>-0.11599999999999966</v>
      </c>
      <c r="I308" s="16">
        <f>SUM('Fiscal Forecasts'!I$26:I$27)-SUM(I$305:I$307)</f>
        <v>-0.13000000000000034</v>
      </c>
      <c r="J308" s="16">
        <f>SUM('Fiscal Forecasts'!J$26:J$27)-SUM(J$305:J$307)</f>
        <v>-0.14000000000000012</v>
      </c>
      <c r="K308" s="7">
        <f ca="1">IF(K$6=OFFSET(Assumptions!$B$8,0,$C$1),AVERAGE(H$308/SUM(H$306,H$307),I$308/SUM(I$306,I$307),J$308/SUM(J$306,J$307)),J$308/SUM(J$306,J$307))*SUM(K$306,K$307)</f>
        <v>-0.16228107509764547</v>
      </c>
      <c r="L308" s="7">
        <f ca="1">IF(L$6=OFFSET(Assumptions!$B$8,0,$C$1),AVERAGE(I$308/SUM(I$306,I$307),J$308/SUM(J$306,J$307),K$308/SUM(K$306,K$307)),K$308/SUM(K$306,K$307))*SUM(L$306,L$307)</f>
        <v>-0.16988315449044858</v>
      </c>
      <c r="M308" s="7">
        <f ca="1">IF(M$6=OFFSET(Assumptions!$B$8,0,$C$1),AVERAGE(J$308/SUM(J$306,J$307),K$308/SUM(K$306,K$307),L$308/SUM(L$306,L$307)),L$308/SUM(L$306,L$307))*SUM(M$306,M$307)</f>
        <v>-0.17772968410448819</v>
      </c>
      <c r="N308" s="7">
        <f ca="1">IF(N$6=OFFSET(Assumptions!$B$8,0,$C$1),AVERAGE(K$308/SUM(K$306,K$307),L$308/SUM(L$306,L$307),M$308/SUM(M$306,M$307)),M$308/SUM(M$306,M$307))*SUM(N$306,N$307)</f>
        <v>-0.18569769128191618</v>
      </c>
      <c r="O308" s="7">
        <f ca="1">IF(O$6=OFFSET(Assumptions!$B$8,0,$C$1),AVERAGE(L$308/SUM(L$306,L$307),M$308/SUM(M$306,M$307),N$308/SUM(N$306,N$307)),N$308/SUM(N$306,N$307))*SUM(O$306,O$307)</f>
        <v>-0.1939036591069225</v>
      </c>
      <c r="P308" s="7">
        <f ca="1">IF(P$6=OFFSET(Assumptions!$B$8,0,$C$1),AVERAGE(M$308/SUM(M$306,M$307),N$308/SUM(N$306,N$307),O$308/SUM(O$306,O$307)),O$308/SUM(O$306,O$307))*SUM(P$306,P$307)</f>
        <v>-0.20252339737430242</v>
      </c>
      <c r="Q308" s="7">
        <f ca="1">IF(Q$6=OFFSET(Assumptions!$B$8,0,$C$1),AVERAGE(N$308/SUM(N$306,N$307),O$308/SUM(O$306,O$307),P$308/SUM(P$306,P$307)),P$308/SUM(P$306,P$307))*SUM(Q$306,Q$307)</f>
        <v>-0.21141507767457043</v>
      </c>
      <c r="R308" s="7">
        <f ca="1">IF(R$6=OFFSET(Assumptions!$B$8,0,$C$1),AVERAGE(O$308/SUM(O$306,O$307),P$308/SUM(P$306,P$307),Q$308/SUM(Q$306,Q$307)),Q$308/SUM(Q$306,Q$307))*SUM(R$306,R$307)</f>
        <v>-0.22052366130557338</v>
      </c>
      <c r="S308" s="7">
        <f ca="1">IF(S$6=OFFSET(Assumptions!$B$8,0,$C$1),AVERAGE(P$308/SUM(P$306,P$307),Q$308/SUM(Q$306,Q$307),R$308/SUM(R$306,R$307)),R$308/SUM(R$306,R$307))*SUM(S$306,S$307)</f>
        <v>-0.22991918900260522</v>
      </c>
      <c r="T308" s="7">
        <f ca="1">IF(T$6=OFFSET(Assumptions!$B$8,0,$C$1),AVERAGE(Q$308/SUM(Q$306,Q$307),R$308/SUM(R$306,R$307),S$308/SUM(S$306,S$307)),S$308/SUM(S$306,S$307))*SUM(T$306,T$307)</f>
        <v>-0.23962811690532479</v>
      </c>
    </row>
    <row r="309" spans="1:20" ht="15" x14ac:dyDescent="0.25">
      <c r="A309" s="2" t="s">
        <v>568</v>
      </c>
      <c r="B309" s="4"/>
      <c r="D309" s="35">
        <f t="shared" ref="D309:T309" si="134">SUM(D$305:D$308)</f>
        <v>4.5469999999999997</v>
      </c>
      <c r="E309" s="35">
        <f t="shared" si="134"/>
        <v>-7.5189999999999992</v>
      </c>
      <c r="F309" s="34">
        <f t="shared" si="134"/>
        <v>7.27</v>
      </c>
      <c r="G309" s="34">
        <f t="shared" si="134"/>
        <v>2.593</v>
      </c>
      <c r="H309" s="34">
        <f t="shared" si="134"/>
        <v>2.8570000000000002</v>
      </c>
      <c r="I309" s="34">
        <f t="shared" si="134"/>
        <v>3.1599999999999997</v>
      </c>
      <c r="J309" s="34">
        <f t="shared" si="134"/>
        <v>3.4079999999999999</v>
      </c>
      <c r="K309" s="38">
        <f t="shared" ca="1" si="134"/>
        <v>3.0552781825689337</v>
      </c>
      <c r="L309" s="38">
        <f t="shared" ca="1" si="134"/>
        <v>3.4039193240248538</v>
      </c>
      <c r="M309" s="38">
        <f t="shared" ca="1" si="134"/>
        <v>3.7744758084240626</v>
      </c>
      <c r="N309" s="38">
        <f t="shared" ca="1" si="134"/>
        <v>4.166139815709835</v>
      </c>
      <c r="O309" s="38">
        <f t="shared" ca="1" si="134"/>
        <v>4.5785884683030122</v>
      </c>
      <c r="P309" s="38">
        <f t="shared" ca="1" si="134"/>
        <v>4.9828513203601199</v>
      </c>
      <c r="Q309" s="38">
        <f t="shared" ca="1" si="134"/>
        <v>5.3107257059952522</v>
      </c>
      <c r="R309" s="38">
        <f t="shared" ca="1" si="134"/>
        <v>5.6359988468237168</v>
      </c>
      <c r="S309" s="38">
        <f t="shared" ca="1" si="134"/>
        <v>5.9599340122091844</v>
      </c>
      <c r="T309" s="38">
        <f t="shared" ca="1" si="134"/>
        <v>6.283725339557316</v>
      </c>
    </row>
    <row r="310" spans="1:20" ht="15" x14ac:dyDescent="0.25">
      <c r="A310" s="2"/>
      <c r="B310" s="4"/>
      <c r="D310" s="49"/>
      <c r="E310" s="49"/>
      <c r="F310" s="49"/>
      <c r="G310" s="49"/>
      <c r="H310" s="49"/>
      <c r="I310" s="49"/>
      <c r="J310" s="49"/>
      <c r="K310" s="49"/>
      <c r="L310" s="49"/>
      <c r="M310" s="49"/>
      <c r="N310" s="49"/>
      <c r="O310" s="49"/>
      <c r="P310" s="49"/>
      <c r="Q310" s="49"/>
      <c r="R310" s="49"/>
      <c r="S310" s="49"/>
      <c r="T310" s="49"/>
    </row>
    <row r="311" spans="1:20" ht="15" x14ac:dyDescent="0.25">
      <c r="A311" s="19" t="s">
        <v>268</v>
      </c>
      <c r="B311" s="4"/>
      <c r="D311" s="40"/>
      <c r="E311" s="40"/>
      <c r="F311" s="39"/>
      <c r="G311" s="39"/>
      <c r="H311" s="39"/>
      <c r="I311" s="39"/>
      <c r="J311" s="39"/>
      <c r="K311" s="8"/>
      <c r="L311" s="8"/>
      <c r="M311" s="8"/>
      <c r="N311" s="8"/>
      <c r="O311" s="8"/>
      <c r="P311" s="8"/>
      <c r="Q311" s="8"/>
      <c r="R311" s="8"/>
      <c r="S311" s="8"/>
      <c r="T311" s="8"/>
    </row>
    <row r="312" spans="1:20" ht="15" x14ac:dyDescent="0.25">
      <c r="A312" s="2" t="s">
        <v>569</v>
      </c>
      <c r="B312" s="4" t="str">
        <f t="shared" si="132"/>
        <v>From Fiscal</v>
      </c>
      <c r="D312" s="40">
        <f>'Fiscal Forecasts'!D$165</f>
        <v>0.35899999999999999</v>
      </c>
      <c r="E312" s="40">
        <f>'Fiscal Forecasts'!E$165</f>
        <v>0.155</v>
      </c>
      <c r="F312" s="39">
        <f>'Fiscal Forecasts'!F$165</f>
        <v>0.3</v>
      </c>
      <c r="G312" s="39">
        <f>'Fiscal Forecasts'!G$165</f>
        <v>0.113</v>
      </c>
      <c r="H312" s="39">
        <f>'Fiscal Forecasts'!H$165</f>
        <v>0.11700000000000001</v>
      </c>
      <c r="I312" s="39">
        <f>'Fiscal Forecasts'!I$165</f>
        <v>0.114</v>
      </c>
      <c r="J312" s="39">
        <f>'Fiscal Forecasts'!J$165</f>
        <v>0.112</v>
      </c>
      <c r="K312" s="8">
        <f ca="1">IF(K$6=OFFSET(Assumptions!$B$8,0,$C$1),AVERAGE(H$312/H$13,I$312/I$13,J$312/J$13),J$312/J$13)*K$13</f>
        <v>0.12451121425175357</v>
      </c>
      <c r="L312" s="8">
        <f ca="1">IF(L$6=OFFSET(Assumptions!$B$8,0,$C$1),AVERAGE(I$312/I$13,J$312/J$13,K$312/K$13),K$312/K$13)*L$13</f>
        <v>0.12997394835710407</v>
      </c>
      <c r="M312" s="8">
        <f ca="1">IF(M$6=OFFSET(Assumptions!$B$8,0,$C$1),AVERAGE(J$312/J$13,K$312/K$13,L$312/L$13),L$312/L$13)*M$13</f>
        <v>0.13565378349628232</v>
      </c>
      <c r="N312" s="8">
        <f ca="1">IF(N$6=OFFSET(Assumptions!$B$8,0,$C$1),AVERAGE(K$312/K$13,L$312/L$13,M$312/M$13),M$312/M$13)*N$13</f>
        <v>0.14157541282564598</v>
      </c>
      <c r="O312" s="8">
        <f ca="1">IF(O$6=OFFSET(Assumptions!$B$8,0,$C$1),AVERAGE(L$312/L$13,M$312/M$13,N$312/N$13),N$312/N$13)*O$13</f>
        <v>0.14769395651162903</v>
      </c>
      <c r="P312" s="8">
        <f ca="1">IF(P$6=OFFSET(Assumptions!$B$8,0,$C$1),AVERAGE(M$312/M$13,N$312/N$13,O$312/O$13),O$312/O$13)*P$13</f>
        <v>0.15403357953637284</v>
      </c>
      <c r="Q312" s="8">
        <f ca="1">IF(Q$6=OFFSET(Assumptions!$B$8,0,$C$1),AVERAGE(N$312/N$13,O$312/O$13,P$312/P$13),P$312/P$13)*Q$13</f>
        <v>0.16058447662977493</v>
      </c>
      <c r="R312" s="8">
        <f ca="1">IF(R$6=OFFSET(Assumptions!$B$8,0,$C$1),AVERAGE(O$312/O$13,P$312/P$13,Q$312/Q$13),Q$312/Q$13)*R$13</f>
        <v>0.16733934297623473</v>
      </c>
      <c r="S312" s="8">
        <f ca="1">IF(S$6=OFFSET(Assumptions!$B$8,0,$C$1),AVERAGE(P$312/P$13,Q$312/Q$13,R$312/R$13),R$312/R$13)*S$13</f>
        <v>0.17432884057328718</v>
      </c>
      <c r="T312" s="8">
        <f ca="1">IF(T$6=OFFSET(Assumptions!$B$8,0,$C$1),AVERAGE(Q$312/Q$13,R$312/R$13,S$312/S$13),S$312/S$13)*T$13</f>
        <v>0.18154211494413691</v>
      </c>
    </row>
    <row r="313" spans="1:20" ht="15" x14ac:dyDescent="0.25">
      <c r="A313" s="2" t="s">
        <v>570</v>
      </c>
      <c r="B313" s="4" t="str">
        <f t="shared" si="132"/>
        <v>From Fiscal</v>
      </c>
      <c r="D313" s="40">
        <f>'Fiscal Forecasts'!D$31</f>
        <v>1.028</v>
      </c>
      <c r="E313" s="40">
        <f>'Fiscal Forecasts'!E$31</f>
        <v>0.307</v>
      </c>
      <c r="F313" s="39">
        <f>'Fiscal Forecasts'!F$31</f>
        <v>0.51400000000000001</v>
      </c>
      <c r="G313" s="39">
        <f>'Fiscal Forecasts'!G$31</f>
        <v>0.20599999999999999</v>
      </c>
      <c r="H313" s="39">
        <f>'Fiscal Forecasts'!H$31</f>
        <v>0.245</v>
      </c>
      <c r="I313" s="39">
        <f>'Fiscal Forecasts'!I$31</f>
        <v>0.28100000000000003</v>
      </c>
      <c r="J313" s="39">
        <f>'Fiscal Forecasts'!J$31</f>
        <v>0.29899999999999999</v>
      </c>
      <c r="K313" s="8">
        <f ca="1">SUM(K$312,IF(K$6=OFFSET(Assumptions!$B$8,0,$C$1),AVERAGE((H$313-H$312)/H$13,(I$313-I$312)/I$13,(J$313-J$312)/J$13),(J$313-J$312)/J$13)*K$13)</f>
        <v>0.29843767293152601</v>
      </c>
      <c r="L313" s="8">
        <f ca="1">SUM(L$312,IF(L$6=OFFSET(Assumptions!$B$8,0,$C$1),AVERAGE((I$313-I$312)/I$13,(J$313-J$312)/J$13,(K$313-K$312)/K$13),(K$313-K$312)/K$13)*L$13)</f>
        <v>0.31153115743444115</v>
      </c>
      <c r="M313" s="8">
        <f ca="1">SUM(M$312,IF(M$6=OFFSET(Assumptions!$B$8,0,$C$1),AVERAGE((J$313-J$312)/J$13,(K$313-K$312)/K$13,(L$313-L$312)/L$13),(L$313-L$312)/L$13)*M$13)</f>
        <v>0.32514500572720406</v>
      </c>
      <c r="N313" s="8">
        <f ca="1">SUM(N$312,IF(N$6=OFFSET(Assumptions!$B$8,0,$C$1),AVERAGE((K$313-K$312)/K$13,(L$313-L$312)/L$13,(M$313-M$312)/M$13),(M$313-M$312)/M$13)*N$13)</f>
        <v>0.33933840419045513</v>
      </c>
      <c r="O313" s="8">
        <f ca="1">SUM(O$312,IF(O$6=OFFSET(Assumptions!$B$8,0,$C$1),AVERAGE((L$313-L$312)/L$13,(M$313-M$312)/M$13,(N$313-N$312)/N$13),(N$313-N$312)/N$13)*O$13)</f>
        <v>0.3540037815249224</v>
      </c>
      <c r="P313" s="8">
        <f ca="1">SUM(P$312,IF(P$6=OFFSET(Assumptions!$B$8,0,$C$1),AVERAGE((M$313-M$312)/M$13,(N$313-N$312)/N$13,(O$313-O$312)/O$13),(O$313-O$312)/O$13)*P$13)</f>
        <v>0.36919905814428133</v>
      </c>
      <c r="Q313" s="8">
        <f ca="1">SUM(Q$312,IF(Q$6=OFFSET(Assumptions!$B$8,0,$C$1),AVERAGE((N$313-N$312)/N$13,(O$313-O$312)/O$13,(P$313-P$312)/P$13),(P$313-P$312)/P$13)*Q$13)</f>
        <v>0.38490073205307368</v>
      </c>
      <c r="R313" s="8">
        <f ca="1">SUM(R$312,IF(R$6=OFFSET(Assumptions!$B$8,0,$C$1),AVERAGE((O$313-O$312)/O$13,(P$313-P$312)/P$13,(Q$313-Q$312)/Q$13),(Q$313-Q$312)/Q$13)*R$13)</f>
        <v>0.40109129452983916</v>
      </c>
      <c r="S313" s="8">
        <f ca="1">SUM(S$312,IF(S$6=OFFSET(Assumptions!$B$8,0,$C$1),AVERAGE((P$313-P$312)/P$13,(Q$313-Q$312)/Q$13,(R$313-R$312)/R$13),(R$313-R$312)/R$13)*S$13)</f>
        <v>0.41784423851452485</v>
      </c>
      <c r="T313" s="8">
        <f ca="1">SUM(T$312,IF(T$6=OFFSET(Assumptions!$B$8,0,$C$1),AVERAGE((Q$313-Q$312)/Q$13,(R$313-R$312)/R$13,(S$313-S$312)/S$13),(S$313-S$312)/S$13)*T$13)</f>
        <v>0.43513354719559166</v>
      </c>
    </row>
    <row r="314" spans="1:20" ht="15" x14ac:dyDescent="0.25">
      <c r="A314" s="2"/>
      <c r="B314" s="4"/>
      <c r="D314" s="40"/>
      <c r="E314" s="40"/>
      <c r="F314" s="39"/>
      <c r="G314" s="39"/>
      <c r="H314" s="39"/>
      <c r="I314" s="39"/>
      <c r="J314" s="39"/>
      <c r="K314" s="8"/>
      <c r="L314" s="8"/>
      <c r="M314" s="8"/>
      <c r="N314" s="8"/>
      <c r="O314" s="8"/>
      <c r="P314" s="8"/>
      <c r="Q314" s="8"/>
      <c r="R314" s="8"/>
      <c r="S314" s="8"/>
      <c r="T314" s="8"/>
    </row>
    <row r="315" spans="1:20" ht="15" x14ac:dyDescent="0.25">
      <c r="A315" s="19" t="s">
        <v>219</v>
      </c>
      <c r="B315" s="4"/>
      <c r="D315" s="40"/>
      <c r="E315" s="40"/>
      <c r="F315" s="8"/>
      <c r="G315" s="8"/>
      <c r="H315" s="8"/>
      <c r="I315" s="8"/>
      <c r="J315" s="8"/>
      <c r="K315" s="8"/>
      <c r="L315" s="8"/>
      <c r="M315" s="8"/>
      <c r="N315" s="8"/>
      <c r="O315" s="8"/>
      <c r="P315" s="8"/>
      <c r="Q315" s="8"/>
      <c r="R315" s="8"/>
      <c r="S315" s="8"/>
      <c r="T315" s="8"/>
    </row>
    <row r="316" spans="1:20" x14ac:dyDescent="0.2">
      <c r="A316" s="1" t="s">
        <v>571</v>
      </c>
      <c r="B316" s="4"/>
      <c r="D316" s="50">
        <f t="shared" ref="D316:J316" ca="1" si="135">D$75-SUM(D$329,D$338,D$361)</f>
        <v>2.8216399999999986</v>
      </c>
      <c r="E316" s="50">
        <f t="shared" ca="1" si="135"/>
        <v>2.4192399999999985</v>
      </c>
      <c r="F316" s="16">
        <f t="shared" ca="1" si="135"/>
        <v>4.4583199999999934</v>
      </c>
      <c r="G316" s="16">
        <f t="shared" ca="1" si="135"/>
        <v>3.1441599999999923</v>
      </c>
      <c r="H316" s="16">
        <f t="shared" ca="1" si="135"/>
        <v>3.411919999999995</v>
      </c>
      <c r="I316" s="16">
        <f t="shared" ca="1" si="135"/>
        <v>3.6876800000000003</v>
      </c>
      <c r="J316" s="16">
        <f t="shared" ca="1" si="135"/>
        <v>4.2410800000000037</v>
      </c>
      <c r="K316" s="7">
        <f ca="1">OFFSET(Assumptions!$B$68,0,$C$1)/SUM(OFFSET(Assumptions!$B$68,0,$C$1,6,1))*SUM(K$354,K$70,-K$322,K$429)</f>
        <v>4.1385149602563214</v>
      </c>
      <c r="L316" s="7">
        <f ca="1">OFFSET(Assumptions!$B$68,0,$C$1)/SUM(OFFSET(Assumptions!$B$68,0,$C$1,6,1))*SUM(L$354,L$70,-L$322,L$429)</f>
        <v>4.5206766889713732</v>
      </c>
      <c r="M316" s="7">
        <f ca="1">OFFSET(Assumptions!$B$68,0,$C$1)/SUM(OFFSET(Assumptions!$B$68,0,$C$1,6,1))*SUM(M$354,M$70,-M$322,M$429)</f>
        <v>4.9106816018867701</v>
      </c>
      <c r="N316" s="7">
        <f ca="1">OFFSET(Assumptions!$B$68,0,$C$1)/SUM(OFFSET(Assumptions!$B$68,0,$C$1,6,1))*SUM(N$354,N$70,-N$322,N$429)</f>
        <v>5.3089732985687483</v>
      </c>
      <c r="O316" s="7">
        <f ca="1">OFFSET(Assumptions!$B$68,0,$C$1)/SUM(OFFSET(Assumptions!$B$68,0,$C$1,6,1))*SUM(O$354,O$70,-O$322,O$429)</f>
        <v>5.7127460626222817</v>
      </c>
      <c r="P316" s="7">
        <f ca="1">OFFSET(Assumptions!$B$68,0,$C$1)/SUM(OFFSET(Assumptions!$B$68,0,$C$1,6,1))*SUM(P$354,P$70,-P$322,P$429)</f>
        <v>6.1186525618499479</v>
      </c>
      <c r="Q316" s="7">
        <f ca="1">OFFSET(Assumptions!$B$68,0,$C$1)/SUM(OFFSET(Assumptions!$B$68,0,$C$1,6,1))*SUM(Q$354,Q$70,-Q$322,Q$429)</f>
        <v>6.5198256995838832</v>
      </c>
      <c r="R316" s="7">
        <f ca="1">OFFSET(Assumptions!$B$68,0,$C$1)/SUM(OFFSET(Assumptions!$B$68,0,$C$1,6,1))*SUM(R$354,R$70,-R$322,R$429)</f>
        <v>6.9160409354871204</v>
      </c>
      <c r="S316" s="7">
        <f ca="1">OFFSET(Assumptions!$B$68,0,$C$1)/SUM(OFFSET(Assumptions!$B$68,0,$C$1,6,1))*SUM(S$354,S$70,-S$322,S$429)</f>
        <v>7.3101975449986663</v>
      </c>
      <c r="T316" s="7">
        <f ca="1">OFFSET(Assumptions!$B$68,0,$C$1)/SUM(OFFSET(Assumptions!$B$68,0,$C$1,6,1))*SUM(T$354,T$70,-T$322,T$429)</f>
        <v>7.7024099732315721</v>
      </c>
    </row>
    <row r="317" spans="1:20" x14ac:dyDescent="0.2">
      <c r="A317" s="1" t="s">
        <v>572</v>
      </c>
      <c r="B317" s="4" t="str">
        <f t="shared" si="132"/>
        <v>From Fiscal</v>
      </c>
      <c r="D317" s="50">
        <f ca="1">'Fiscal Forecasts'!D$168-D$316</f>
        <v>6.2103600000000014</v>
      </c>
      <c r="E317" s="50">
        <f ca="1">'Fiscal Forecasts'!E$168-E$316</f>
        <v>9.4397600000000015</v>
      </c>
      <c r="F317" s="16">
        <f ca="1">'Fiscal Forecasts'!F$168-F$316</f>
        <v>11.080680000000006</v>
      </c>
      <c r="G317" s="16">
        <f ca="1">'Fiscal Forecasts'!G$168-G$316</f>
        <v>10.337840000000007</v>
      </c>
      <c r="H317" s="16">
        <f ca="1">'Fiscal Forecasts'!H$168-H$316</f>
        <v>10.186080000000006</v>
      </c>
      <c r="I317" s="16">
        <f ca="1">'Fiscal Forecasts'!I$168-I$316</f>
        <v>10.03532</v>
      </c>
      <c r="J317" s="16">
        <f ca="1">'Fiscal Forecasts'!J$168-J$316</f>
        <v>9.4429199999999955</v>
      </c>
      <c r="K317" s="7">
        <f ca="1">(J$317/J$13+ IF(K$2&gt;0,K$2*IF(K$6=OFFSET(Assumptions!$B$8,0,$C$1),SUMPRODUCT(OFFSET(J$317,0,0,1,-OFFSET(Assumptions!$B$82,0,$C$1)),OFFSET(J$15,0,0,1,-OFFSET(Assumptions!$B$82,0,$C$1)))/OFFSET(Assumptions!$B$82,0,$C$1)-J$317/J$13,(J$317/J$13-I$317/I$13)/J$2),0))*K$13</f>
        <v>10.155892631381489</v>
      </c>
      <c r="L317" s="7">
        <f ca="1">(K$317/K$13+ IF(L$2&gt;0,L$2*IF(L$6=OFFSET(Assumptions!$B$8,0,$C$1),SUMPRODUCT(OFFSET(K$317,0,0,1,-OFFSET(Assumptions!$B$82,0,$C$1)),OFFSET(K$15,0,0,1,-OFFSET(Assumptions!$B$82,0,$C$1)))/OFFSET(Assumptions!$B$82,0,$C$1)-K$317/K$13,(K$317/K$13-J$317/J$13)/K$2),0))*L$13</f>
        <v>10.85911790241407</v>
      </c>
      <c r="M317" s="7">
        <f ca="1">(L$317/L$13+ IF(M$2&gt;0,M$2*IF(M$6=OFFSET(Assumptions!$B$8,0,$C$1),SUMPRODUCT(OFFSET(L$317,0,0,1,-OFFSET(Assumptions!$B$82,0,$C$1)),OFFSET(L$15,0,0,1,-OFFSET(Assumptions!$B$82,0,$C$1)))/OFFSET(Assumptions!$B$82,0,$C$1)-L$317/L$13,(L$317/L$13-K$317/K$13)/L$2),0))*M$13</f>
        <v>11.535342200920747</v>
      </c>
      <c r="N317" s="7">
        <f ca="1">(M$317/M$13+ IF(N$2&gt;0,N$2*IF(N$6=OFFSET(Assumptions!$B$8,0,$C$1),SUMPRODUCT(OFFSET(M$317,0,0,1,-OFFSET(Assumptions!$B$82,0,$C$1)),OFFSET(M$15,0,0,1,-OFFSET(Assumptions!$B$82,0,$C$1)))/OFFSET(Assumptions!$B$82,0,$C$1)-M$317/M$13,(M$317/M$13-L$317/L$13)/M$2),0))*N$13</f>
        <v>12.179213626389563</v>
      </c>
      <c r="O317" s="7">
        <f ca="1">(N$317/N$13+ IF(O$2&gt;0,O$2*IF(O$6=OFFSET(Assumptions!$B$8,0,$C$1),SUMPRODUCT(OFFSET(N$317,0,0,1,-OFFSET(Assumptions!$B$82,0,$C$1)),OFFSET(N$15,0,0,1,-OFFSET(Assumptions!$B$82,0,$C$1)))/OFFSET(Assumptions!$B$82,0,$C$1)-N$317/N$13,(N$317/N$13-M$317/M$13)/N$2),0))*O$13</f>
        <v>12.778764090687771</v>
      </c>
      <c r="P317" s="7">
        <f ca="1">(O$317/O$13+ IF(P$2&gt;0,P$2*IF(P$6=OFFSET(Assumptions!$B$8,0,$C$1),SUMPRODUCT(OFFSET(O$317,0,0,1,-OFFSET(Assumptions!$B$82,0,$C$1)),OFFSET(O$15,0,0,1,-OFFSET(Assumptions!$B$82,0,$C$1)))/OFFSET(Assumptions!$B$82,0,$C$1)-O$317/O$13,(O$317/O$13-N$317/N$13)/O$2),0))*P$13</f>
        <v>13.327280421149233</v>
      </c>
      <c r="Q317" s="7">
        <f ca="1">(P$317/P$13+ IF(Q$2&gt;0,Q$2*IF(Q$6=OFFSET(Assumptions!$B$8,0,$C$1),SUMPRODUCT(OFFSET(P$317,0,0,1,-OFFSET(Assumptions!$B$82,0,$C$1)),OFFSET(P$15,0,0,1,-OFFSET(Assumptions!$B$82,0,$C$1)))/OFFSET(Assumptions!$B$82,0,$C$1)-P$317/P$13,(P$317/P$13-O$317/O$13)/P$2),0))*Q$13</f>
        <v>13.894076588820223</v>
      </c>
      <c r="R317" s="7">
        <f ca="1">(Q$317/Q$13+ IF(R$2&gt;0,R$2*IF(R$6=OFFSET(Assumptions!$B$8,0,$C$1),SUMPRODUCT(OFFSET(Q$317,0,0,1,-OFFSET(Assumptions!$B$82,0,$C$1)),OFFSET(Q$15,0,0,1,-OFFSET(Assumptions!$B$82,0,$C$1)))/OFFSET(Assumptions!$B$82,0,$C$1)-Q$317/Q$13,(Q$317/Q$13-P$317/P$13)/Q$2),0))*R$13</f>
        <v>14.47852056705937</v>
      </c>
      <c r="S317" s="7">
        <f ca="1">(R$317/R$13+ IF(S$2&gt;0,S$2*IF(S$6=OFFSET(Assumptions!$B$8,0,$C$1),SUMPRODUCT(OFFSET(R$317,0,0,1,-OFFSET(Assumptions!$B$82,0,$C$1)),OFFSET(R$15,0,0,1,-OFFSET(Assumptions!$B$82,0,$C$1)))/OFFSET(Assumptions!$B$82,0,$C$1)-R$317/R$13,(R$317/R$13-Q$317/Q$13)/R$2),0))*S$13</f>
        <v>15.08326529064005</v>
      </c>
      <c r="T317" s="7">
        <f ca="1">(S$317/S$13+ IF(T$2&gt;0,T$2*IF(T$6=OFFSET(Assumptions!$B$8,0,$C$1),SUMPRODUCT(OFFSET(S$317,0,0,1,-OFFSET(Assumptions!$B$82,0,$C$1)),OFFSET(S$15,0,0,1,-OFFSET(Assumptions!$B$82,0,$C$1)))/OFFSET(Assumptions!$B$82,0,$C$1)-S$317/S$13,(S$317/S$13-R$317/R$13)/S$2),0))*T$13</f>
        <v>15.707371609433366</v>
      </c>
    </row>
    <row r="318" spans="1:20" ht="15" x14ac:dyDescent="0.25">
      <c r="A318" s="2" t="s">
        <v>573</v>
      </c>
      <c r="B318" s="4"/>
      <c r="D318" s="35">
        <f t="shared" ref="D318:T318" ca="1" si="136">SUM(D$316:D$317)</f>
        <v>9.032</v>
      </c>
      <c r="E318" s="35">
        <f t="shared" ca="1" si="136"/>
        <v>11.859</v>
      </c>
      <c r="F318" s="34">
        <f t="shared" ca="1" si="136"/>
        <v>15.539</v>
      </c>
      <c r="G318" s="34">
        <f t="shared" ca="1" si="136"/>
        <v>13.481999999999999</v>
      </c>
      <c r="H318" s="34">
        <f t="shared" ca="1" si="136"/>
        <v>13.598000000000001</v>
      </c>
      <c r="I318" s="34">
        <f t="shared" ca="1" si="136"/>
        <v>13.723000000000001</v>
      </c>
      <c r="J318" s="34">
        <f t="shared" ca="1" si="136"/>
        <v>13.683999999999999</v>
      </c>
      <c r="K318" s="38">
        <f t="shared" ca="1" si="136"/>
        <v>14.29440759163781</v>
      </c>
      <c r="L318" s="38">
        <f t="shared" ca="1" si="136"/>
        <v>15.379794591385444</v>
      </c>
      <c r="M318" s="38">
        <f t="shared" ca="1" si="136"/>
        <v>16.446023802807517</v>
      </c>
      <c r="N318" s="38">
        <f t="shared" ca="1" si="136"/>
        <v>17.488186924958313</v>
      </c>
      <c r="O318" s="38">
        <f t="shared" ca="1" si="136"/>
        <v>18.491510153310053</v>
      </c>
      <c r="P318" s="38">
        <f t="shared" ca="1" si="136"/>
        <v>19.445932982999182</v>
      </c>
      <c r="Q318" s="38">
        <f t="shared" ca="1" si="136"/>
        <v>20.413902288404106</v>
      </c>
      <c r="R318" s="38">
        <f t="shared" ca="1" si="136"/>
        <v>21.394561502546491</v>
      </c>
      <c r="S318" s="38">
        <f t="shared" ca="1" si="136"/>
        <v>22.393462835638715</v>
      </c>
      <c r="T318" s="38">
        <f t="shared" ca="1" si="136"/>
        <v>23.409781582664937</v>
      </c>
    </row>
    <row r="319" spans="1:20" ht="15" x14ac:dyDescent="0.25">
      <c r="A319" s="2" t="s">
        <v>574</v>
      </c>
      <c r="B319" s="4" t="str">
        <f>$B$38</f>
        <v>From Fiscal</v>
      </c>
      <c r="D319" s="40">
        <f>'Fiscal Forecasts'!D$115</f>
        <v>11.981999999999999</v>
      </c>
      <c r="E319" s="40">
        <f>'Fiscal Forecasts'!E$115</f>
        <v>15.617000000000001</v>
      </c>
      <c r="F319" s="39">
        <f>'Fiscal Forecasts'!F$115</f>
        <v>18.975999999999999</v>
      </c>
      <c r="G319" s="39">
        <f>'Fiscal Forecasts'!G$115</f>
        <v>16.579999999999998</v>
      </c>
      <c r="H319" s="39">
        <f>'Fiscal Forecasts'!H$115</f>
        <v>16.523</v>
      </c>
      <c r="I319" s="39">
        <f>'Fiscal Forecasts'!I$115</f>
        <v>16.850000000000001</v>
      </c>
      <c r="J319" s="39">
        <f>'Fiscal Forecasts'!J$115</f>
        <v>17.288</v>
      </c>
      <c r="K319" s="8">
        <f ca="1">SUM(K$318,((J$319-J$318)/J$13+ IF(K$2&gt;0,K$2*IF(K$6=OFFSET(Assumptions!$B$8,0,$C$1),(SUMPRODUCT(OFFSET(J$319,0,0,1,-OFFSET(Assumptions!$B$82,0,$C$1)),OFFSET(J$15,0,0,1,-OFFSET(Assumptions!$B$82,0,$C$1)))-SUMPRODUCT(OFFSET(J$318,0,0,1,-OFFSET(Assumptions!$B$82,0,$C$1)),OFFSET(J$15,0,0,1,-OFFSET(Assumptions!$B$82,0,$C$1))))/OFFSET(Assumptions!$B$82,0,$C$1)-(J$319-J$318)/J$13,((J$319-J$318)/J$13-(I$319-I$318)/I$13)/J$2),0))*K$13)</f>
        <v>17.964142827876696</v>
      </c>
      <c r="L319" s="8">
        <f ca="1">SUM(L$318,((K$319-K$318)/K$13+ IF(L$2&gt;0,L$2*IF(L$6=OFFSET(Assumptions!$B$8,0,$C$1),(SUMPRODUCT(OFFSET(K$319,0,0,1,-OFFSET(Assumptions!$B$82,0,$C$1)),OFFSET(K$15,0,0,1,-OFFSET(Assumptions!$B$82,0,$C$1)))-SUMPRODUCT(OFFSET(K$318,0,0,1,-OFFSET(Assumptions!$B$82,0,$C$1)),OFFSET(K$15,0,0,1,-OFFSET(Assumptions!$B$82,0,$C$1))))/OFFSET(Assumptions!$B$82,0,$C$1)-(K$319-K$318)/K$13,((K$319-K$318)/K$13-(J$319-J$318)/J$13)/K$2),0))*L$13)</f>
        <v>19.136522477310809</v>
      </c>
      <c r="M319" s="8">
        <f ca="1">SUM(M$318,((L$319-L$318)/L$13+ IF(M$2&gt;0,M$2*IF(M$6=OFFSET(Assumptions!$B$8,0,$C$1),(SUMPRODUCT(OFFSET(L$319,0,0,1,-OFFSET(Assumptions!$B$82,0,$C$1)),OFFSET(L$15,0,0,1,-OFFSET(Assumptions!$B$82,0,$C$1)))-SUMPRODUCT(OFFSET(L$318,0,0,1,-OFFSET(Assumptions!$B$82,0,$C$1)),OFFSET(L$15,0,0,1,-OFFSET(Assumptions!$B$82,0,$C$1))))/OFFSET(Assumptions!$B$82,0,$C$1)-(L$319-L$318)/L$13,((L$319-L$318)/L$13-(K$319-K$318)/K$13)/L$2),0))*M$13)</f>
        <v>20.308985809453681</v>
      </c>
      <c r="N319" s="8">
        <f ca="1">SUM(N$318,((M$319-M$318)/M$13+ IF(N$2&gt;0,N$2*IF(N$6=OFFSET(Assumptions!$B$8,0,$C$1),(SUMPRODUCT(OFFSET(M$319,0,0,1,-OFFSET(Assumptions!$B$82,0,$C$1)),OFFSET(M$15,0,0,1,-OFFSET(Assumptions!$B$82,0,$C$1)))-SUMPRODUCT(OFFSET(M$318,0,0,1,-OFFSET(Assumptions!$B$82,0,$C$1)),OFFSET(M$15,0,0,1,-OFFSET(Assumptions!$B$82,0,$C$1))))/OFFSET(Assumptions!$B$82,0,$C$1)-(M$319-M$318)/M$13,((M$319-M$318)/M$13-(L$319-L$318)/L$13)/M$2),0))*N$13)</f>
        <v>21.47946822295663</v>
      </c>
      <c r="O319" s="8">
        <f ca="1">SUM(O$318,((N$319-N$318)/N$13+ IF(O$2&gt;0,O$2*IF(O$6=OFFSET(Assumptions!$B$8,0,$C$1),(SUMPRODUCT(OFFSET(N$319,0,0,1,-OFFSET(Assumptions!$B$82,0,$C$1)),OFFSET(N$15,0,0,1,-OFFSET(Assumptions!$B$82,0,$C$1)))-SUMPRODUCT(OFFSET(N$318,0,0,1,-OFFSET(Assumptions!$B$82,0,$C$1)),OFFSET(N$15,0,0,1,-OFFSET(Assumptions!$B$82,0,$C$1))))/OFFSET(Assumptions!$B$82,0,$C$1)-(N$319-N$318)/N$13,((N$319-N$318)/N$13-(M$319-M$318)/M$13)/N$2),0))*O$13)</f>
        <v>22.634259496782128</v>
      </c>
      <c r="P319" s="8">
        <f ca="1">SUM(P$318,((O$319-O$318)/O$13+ IF(P$2&gt;0,P$2*IF(P$6=OFFSET(Assumptions!$B$8,0,$C$1),(SUMPRODUCT(OFFSET(O$319,0,0,1,-OFFSET(Assumptions!$B$82,0,$C$1)),OFFSET(O$15,0,0,1,-OFFSET(Assumptions!$B$82,0,$C$1)))-SUMPRODUCT(OFFSET(O$318,0,0,1,-OFFSET(Assumptions!$B$82,0,$C$1)),OFFSET(O$15,0,0,1,-OFFSET(Assumptions!$B$82,0,$C$1))))/OFFSET(Assumptions!$B$82,0,$C$1)-(O$319-O$318)/O$13,((O$319-O$318)/O$13-(N$319-N$318)/N$13)/O$2),0))*P$13)</f>
        <v>23.766505913461089</v>
      </c>
      <c r="Q319" s="8">
        <f ca="1">SUM(Q$318,((P$319-P$318)/P$13+ IF(Q$2&gt;0,Q$2*IF(Q$6=OFFSET(Assumptions!$B$8,0,$C$1),(SUMPRODUCT(OFFSET(P$319,0,0,1,-OFFSET(Assumptions!$B$82,0,$C$1)),OFFSET(P$15,0,0,1,-OFFSET(Assumptions!$B$82,0,$C$1)))-SUMPRODUCT(OFFSET(P$318,0,0,1,-OFFSET(Assumptions!$B$82,0,$C$1)),OFFSET(P$15,0,0,1,-OFFSET(Assumptions!$B$82,0,$C$1))))/OFFSET(Assumptions!$B$82,0,$C$1)-(P$319-P$318)/P$13,((P$319-P$318)/P$13-(O$319-O$318)/O$13)/P$2),0))*Q$13)</f>
        <v>24.918224948874144</v>
      </c>
      <c r="R319" s="8">
        <f ca="1">SUM(R$318,((Q$319-Q$318)/Q$13+ IF(R$2&gt;0,R$2*IF(R$6=OFFSET(Assumptions!$B$8,0,$C$1),(SUMPRODUCT(OFFSET(Q$319,0,0,1,-OFFSET(Assumptions!$B$82,0,$C$1)),OFFSET(Q$15,0,0,1,-OFFSET(Assumptions!$B$82,0,$C$1)))-SUMPRODUCT(OFFSET(Q$318,0,0,1,-OFFSET(Assumptions!$B$82,0,$C$1)),OFFSET(Q$15,0,0,1,-OFFSET(Assumptions!$B$82,0,$C$1))))/OFFSET(Assumptions!$B$82,0,$C$1)-(Q$319-Q$318)/Q$13,((Q$319-Q$318)/Q$13-(P$319-P$318)/P$13)/Q$2),0))*R$13)</f>
        <v>26.08835513923643</v>
      </c>
      <c r="S319" s="8">
        <f ca="1">SUM(S$318,((R$319-R$318)/R$13+ IF(S$2&gt;0,S$2*IF(S$6=OFFSET(Assumptions!$B$8,0,$C$1),(SUMPRODUCT(OFFSET(R$319,0,0,1,-OFFSET(Assumptions!$B$82,0,$C$1)),OFFSET(R$15,0,0,1,-OFFSET(Assumptions!$B$82,0,$C$1)))-SUMPRODUCT(OFFSET(R$318,0,0,1,-OFFSET(Assumptions!$B$82,0,$C$1)),OFFSET(R$15,0,0,1,-OFFSET(Assumptions!$B$82,0,$C$1))))/OFFSET(Assumptions!$B$82,0,$C$1)-(R$319-R$318)/R$13,((R$319-R$318)/R$13-(Q$319-Q$318)/Q$13)/R$2),0))*S$13)</f>
        <v>27.283308750060876</v>
      </c>
      <c r="T319" s="8">
        <f ca="1">SUM(T$318,((S$319-S$318)/S$13+ IF(T$2&gt;0,T$2*IF(T$6=OFFSET(Assumptions!$B$8,0,$C$1),(SUMPRODUCT(OFFSET(S$319,0,0,1,-OFFSET(Assumptions!$B$82,0,$C$1)),OFFSET(S$15,0,0,1,-OFFSET(Assumptions!$B$82,0,$C$1)))-SUMPRODUCT(OFFSET(S$318,0,0,1,-OFFSET(Assumptions!$B$82,0,$C$1)),OFFSET(S$15,0,0,1,-OFFSET(Assumptions!$B$82,0,$C$1))))/OFFSET(Assumptions!$B$82,0,$C$1)-(S$319-S$318)/S$13,((S$319-S$318)/S$13-(R$319-R$318)/R$13)/S$2),0))*T$13)</f>
        <v>28.501956613118118</v>
      </c>
    </row>
    <row r="320" spans="1:20" ht="15" x14ac:dyDescent="0.25">
      <c r="A320" s="2"/>
      <c r="B320" s="4"/>
      <c r="D320" s="8"/>
      <c r="E320" s="8"/>
      <c r="F320" s="8"/>
      <c r="G320" s="8"/>
      <c r="H320" s="8"/>
      <c r="I320" s="8"/>
      <c r="J320" s="8"/>
      <c r="K320" s="8"/>
      <c r="L320" s="8"/>
      <c r="M320" s="8"/>
      <c r="N320" s="8"/>
      <c r="O320" s="8"/>
      <c r="P320" s="8"/>
      <c r="Q320" s="8"/>
      <c r="R320" s="8"/>
      <c r="S320" s="8"/>
      <c r="T320" s="8"/>
    </row>
    <row r="321" spans="1:20" ht="15" x14ac:dyDescent="0.25">
      <c r="A321" s="19" t="s">
        <v>220</v>
      </c>
      <c r="B321" s="4"/>
      <c r="D321" s="57"/>
      <c r="E321" s="57"/>
      <c r="F321" s="57"/>
      <c r="G321" s="57"/>
      <c r="H321" s="57"/>
      <c r="I321" s="57"/>
      <c r="J321" s="57"/>
      <c r="K321" s="57"/>
      <c r="L321" s="57"/>
      <c r="M321" s="57"/>
      <c r="N321" s="57"/>
      <c r="O321" s="57"/>
      <c r="P321" s="57"/>
      <c r="Q321" s="57"/>
      <c r="R321" s="57"/>
      <c r="S321" s="57"/>
      <c r="T321" s="57"/>
    </row>
    <row r="322" spans="1:20" x14ac:dyDescent="0.2">
      <c r="A322" s="1" t="s">
        <v>575</v>
      </c>
      <c r="B322" s="4"/>
      <c r="D322" s="15">
        <f t="shared" ref="D322:J322" si="137">D$356-D$75</f>
        <v>1.5050000000000026</v>
      </c>
      <c r="E322" s="15">
        <f t="shared" si="137"/>
        <v>0.78300000000000125</v>
      </c>
      <c r="F322" s="16">
        <f t="shared" si="137"/>
        <v>1.5240000000000009</v>
      </c>
      <c r="G322" s="16">
        <f t="shared" si="137"/>
        <v>0.88300000000000267</v>
      </c>
      <c r="H322" s="16">
        <f t="shared" si="137"/>
        <v>0.90400000000000347</v>
      </c>
      <c r="I322" s="16">
        <f t="shared" si="137"/>
        <v>0.93900000000000006</v>
      </c>
      <c r="J322" s="16">
        <f t="shared" si="137"/>
        <v>0.9789999999999992</v>
      </c>
      <c r="K322" s="7">
        <f ca="1">SUM(J$322,OFFSET(Assumptions!$B$76,0,$C$1)*K$347)</f>
        <v>1.1163264516109228</v>
      </c>
      <c r="L322" s="7">
        <f ca="1">SUM(K$322,OFFSET(Assumptions!$B$76,0,$C$1)*L$347)</f>
        <v>1.271225062496024</v>
      </c>
      <c r="M322" s="7">
        <f ca="1">SUM(L$322,OFFSET(Assumptions!$B$76,0,$C$1)*M$347)</f>
        <v>1.4448358418264036</v>
      </c>
      <c r="N322" s="7">
        <f ca="1">SUM(M$322,OFFSET(Assumptions!$B$76,0,$C$1)*N$347)</f>
        <v>1.6382659544009079</v>
      </c>
      <c r="O322" s="7">
        <f ca="1">SUM(N$322,OFFSET(Assumptions!$B$76,0,$C$1)*O$347)</f>
        <v>1.8525967212508021</v>
      </c>
      <c r="P322" s="7">
        <f ca="1">SUM(O$322,OFFSET(Assumptions!$B$76,0,$C$1)*P$347)</f>
        <v>2.0873231598887565</v>
      </c>
      <c r="Q322" s="7">
        <f ca="1">SUM(P$322,OFFSET(Assumptions!$B$76,0,$C$1)*Q$347)</f>
        <v>2.3382700103183822</v>
      </c>
      <c r="R322" s="7">
        <f ca="1">SUM(Q$322,OFFSET(Assumptions!$B$76,0,$C$1)*R$347)</f>
        <v>2.6052563001059887</v>
      </c>
      <c r="S322" s="7">
        <f ca="1">SUM(R$322,OFFSET(Assumptions!$B$76,0,$C$1)*S$347)</f>
        <v>2.8881593202965616</v>
      </c>
      <c r="T322" s="7">
        <f ca="1">SUM(S$322,OFFSET(Assumptions!$B$76,0,$C$1)*T$347)</f>
        <v>3.1869190501955491</v>
      </c>
    </row>
    <row r="323" spans="1:20" x14ac:dyDescent="0.2">
      <c r="A323" s="1" t="s">
        <v>366</v>
      </c>
      <c r="B323" s="4" t="str">
        <f>$B$38</f>
        <v>From Fiscal</v>
      </c>
      <c r="D323" s="15">
        <f>'Fiscal Forecasts'!D$297</f>
        <v>8.9570000000000007</v>
      </c>
      <c r="E323" s="15">
        <f>'Fiscal Forecasts'!E$297</f>
        <v>9.1609999999999996</v>
      </c>
      <c r="F323" s="16">
        <f>'Fiscal Forecasts'!F$297</f>
        <v>10.286</v>
      </c>
      <c r="G323" s="16">
        <f>'Fiscal Forecasts'!G$297</f>
        <v>10.772</v>
      </c>
      <c r="H323" s="16">
        <f>'Fiscal Forecasts'!H$297</f>
        <v>11.095000000000001</v>
      </c>
      <c r="I323" s="16">
        <f>'Fiscal Forecasts'!I$297</f>
        <v>11.414</v>
      </c>
      <c r="J323" s="16">
        <f>'Fiscal Forecasts'!J$297</f>
        <v>11.827</v>
      </c>
      <c r="K323" s="7">
        <f t="shared" ref="K323:T323" ca="1" si="138">(SUM(J$323,K$131)-SUM(K$455-K$348,K$247,J$430))/(1-J$430/J$323)</f>
        <v>12.390537864837476</v>
      </c>
      <c r="L323" s="7">
        <f t="shared" ca="1" si="138"/>
        <v>12.982304795987361</v>
      </c>
      <c r="M323" s="7">
        <f t="shared" ca="1" si="138"/>
        <v>13.6024302258189</v>
      </c>
      <c r="N323" s="7">
        <f t="shared" ca="1" si="138"/>
        <v>14.251166429123906</v>
      </c>
      <c r="O323" s="7">
        <f t="shared" ca="1" si="138"/>
        <v>14.929133688027534</v>
      </c>
      <c r="P323" s="7">
        <f t="shared" ca="1" si="138"/>
        <v>15.637447571894267</v>
      </c>
      <c r="Q323" s="7">
        <f t="shared" ca="1" si="138"/>
        <v>16.377183844850908</v>
      </c>
      <c r="R323" s="7">
        <f t="shared" ca="1" si="138"/>
        <v>17.148155625530581</v>
      </c>
      <c r="S323" s="7">
        <f t="shared" ca="1" si="138"/>
        <v>17.951329668467377</v>
      </c>
      <c r="T323" s="7">
        <f t="shared" ca="1" si="138"/>
        <v>18.787736965983242</v>
      </c>
    </row>
    <row r="324" spans="1:20" x14ac:dyDescent="0.2">
      <c r="A324" s="1" t="s">
        <v>576</v>
      </c>
      <c r="B324" s="4" t="str">
        <f>$B$38</f>
        <v>From Fiscal</v>
      </c>
      <c r="D324" s="15">
        <f>'Fiscal Forecasts'!D$169-SUM(D$322:D$323)</f>
        <v>1.7089999999999961</v>
      </c>
      <c r="E324" s="15">
        <f>'Fiscal Forecasts'!E$169-SUM(E$322:E$323)</f>
        <v>2.298</v>
      </c>
      <c r="F324" s="16">
        <f>'Fiscal Forecasts'!F$169-SUM(F$322:F$323)</f>
        <v>2.0549999999999997</v>
      </c>
      <c r="G324" s="16">
        <f>'Fiscal Forecasts'!G$169-SUM(G$322:G$323)</f>
        <v>1.7749999999999968</v>
      </c>
      <c r="H324" s="16">
        <f>'Fiscal Forecasts'!H$169-SUM(H$322:H$323)</f>
        <v>1.8619999999999965</v>
      </c>
      <c r="I324" s="16">
        <f>'Fiscal Forecasts'!I$169-SUM(I$322:I$323)</f>
        <v>1.9350000000000005</v>
      </c>
      <c r="J324" s="16">
        <f>'Fiscal Forecasts'!J$169-SUM(J$322:J$323)</f>
        <v>2.0140000000000011</v>
      </c>
      <c r="K324" s="7">
        <f t="shared" ref="K324:T324" ca="1" si="139">SUM(J$324,K$140,K$154,-K$457,K$436-J$436)</f>
        <v>2.1971227130346631</v>
      </c>
      <c r="L324" s="7">
        <f t="shared" ca="1" si="139"/>
        <v>2.3860871649714159</v>
      </c>
      <c r="M324" s="7">
        <f t="shared" ca="1" si="139"/>
        <v>2.580373937235922</v>
      </c>
      <c r="N324" s="7">
        <f t="shared" ca="1" si="139"/>
        <v>2.7799829799745397</v>
      </c>
      <c r="O324" s="7">
        <f t="shared" ca="1" si="139"/>
        <v>2.9845746080310955</v>
      </c>
      <c r="P324" s="7">
        <f t="shared" ca="1" si="139"/>
        <v>3.1940545230425554</v>
      </c>
      <c r="Q324" s="7">
        <f t="shared" ca="1" si="139"/>
        <v>3.412229685638791</v>
      </c>
      <c r="R324" s="7">
        <f t="shared" ca="1" si="139"/>
        <v>3.6393199747187888</v>
      </c>
      <c r="S324" s="7">
        <f t="shared" ca="1" si="139"/>
        <v>3.8757214270989575</v>
      </c>
      <c r="T324" s="7">
        <f t="shared" ca="1" si="139"/>
        <v>4.1216648695257065</v>
      </c>
    </row>
    <row r="325" spans="1:20" ht="15" x14ac:dyDescent="0.25">
      <c r="A325" s="2" t="s">
        <v>577</v>
      </c>
      <c r="B325" s="4"/>
      <c r="D325" s="35">
        <f t="shared" ref="D325:T325" si="140">SUM(D$322:D$324)</f>
        <v>12.170999999999999</v>
      </c>
      <c r="E325" s="35">
        <f t="shared" si="140"/>
        <v>12.242000000000001</v>
      </c>
      <c r="F325" s="34">
        <f t="shared" si="140"/>
        <v>13.865</v>
      </c>
      <c r="G325" s="34">
        <f t="shared" si="140"/>
        <v>13.43</v>
      </c>
      <c r="H325" s="34">
        <f t="shared" si="140"/>
        <v>13.861000000000001</v>
      </c>
      <c r="I325" s="34">
        <f t="shared" si="140"/>
        <v>14.288</v>
      </c>
      <c r="J325" s="34">
        <f t="shared" si="140"/>
        <v>14.82</v>
      </c>
      <c r="K325" s="38">
        <f t="shared" ca="1" si="140"/>
        <v>15.703987029483063</v>
      </c>
      <c r="L325" s="38">
        <f t="shared" ca="1" si="140"/>
        <v>16.6396170234548</v>
      </c>
      <c r="M325" s="38">
        <f t="shared" ca="1" si="140"/>
        <v>17.627640004881226</v>
      </c>
      <c r="N325" s="38">
        <f t="shared" ca="1" si="140"/>
        <v>18.669415363499354</v>
      </c>
      <c r="O325" s="38">
        <f t="shared" ca="1" si="140"/>
        <v>19.766305017309431</v>
      </c>
      <c r="P325" s="38">
        <f t="shared" ca="1" si="140"/>
        <v>20.918825254825581</v>
      </c>
      <c r="Q325" s="38">
        <f t="shared" ca="1" si="140"/>
        <v>22.127683540808082</v>
      </c>
      <c r="R325" s="38">
        <f t="shared" ca="1" si="140"/>
        <v>23.392731900355358</v>
      </c>
      <c r="S325" s="38">
        <f t="shared" ca="1" si="140"/>
        <v>24.715210415862899</v>
      </c>
      <c r="T325" s="38">
        <f t="shared" ca="1" si="140"/>
        <v>26.096320885704497</v>
      </c>
    </row>
    <row r="326" spans="1:20" ht="15" x14ac:dyDescent="0.25">
      <c r="A326" s="2" t="s">
        <v>578</v>
      </c>
      <c r="B326" s="4" t="str">
        <f>$B$38</f>
        <v>From Fiscal</v>
      </c>
      <c r="D326" s="40">
        <f>'Fiscal Forecasts'!D$116</f>
        <v>17.602</v>
      </c>
      <c r="E326" s="40">
        <f>'Fiscal Forecasts'!E$116</f>
        <v>16.789000000000001</v>
      </c>
      <c r="F326" s="39">
        <f>'Fiscal Forecasts'!F$116</f>
        <v>18.568999999999999</v>
      </c>
      <c r="G326" s="39">
        <f>'Fiscal Forecasts'!G$116</f>
        <v>18.163</v>
      </c>
      <c r="H326" s="39">
        <f>'Fiscal Forecasts'!H$116</f>
        <v>19.021000000000001</v>
      </c>
      <c r="I326" s="39">
        <f>'Fiscal Forecasts'!I$116</f>
        <v>19.600000000000001</v>
      </c>
      <c r="J326" s="39">
        <f>'Fiscal Forecasts'!J$116</f>
        <v>20.393000000000001</v>
      </c>
      <c r="K326" s="8">
        <f ca="1">SUM(K$325,J$326-J$325,K$141-K$140,K$155-K$154)-(K$82+K$84-K$457)+(K$437-K$436-(J$437-J$436))</f>
        <v>21.267910745356208</v>
      </c>
      <c r="L326" s="8">
        <f t="shared" ref="L326:T326" ca="1" si="141">SUM(L$325,K$326-K$325,L$141-L$140,L$155-L$154)-(L$82+L$84-L$457)+(L$437-L$436-(K$437-K$436))</f>
        <v>22.194904326050576</v>
      </c>
      <c r="M326" s="8">
        <f t="shared" ca="1" si="141"/>
        <v>23.172393979457709</v>
      </c>
      <c r="N326" s="8">
        <f t="shared" ca="1" si="141"/>
        <v>24.201781143645714</v>
      </c>
      <c r="O326" s="8">
        <f t="shared" ca="1" si="141"/>
        <v>25.283409753691849</v>
      </c>
      <c r="P326" s="8">
        <f t="shared" ca="1" si="141"/>
        <v>26.417817752637802</v>
      </c>
      <c r="Q326" s="8">
        <f t="shared" ca="1" si="141"/>
        <v>27.606886660129494</v>
      </c>
      <c r="R326" s="8">
        <f t="shared" ca="1" si="141"/>
        <v>28.850200496032198</v>
      </c>
      <c r="S326" s="8">
        <f t="shared" ca="1" si="141"/>
        <v>30.149298238761791</v>
      </c>
      <c r="T326" s="8">
        <f t="shared" ca="1" si="141"/>
        <v>31.505043508530285</v>
      </c>
    </row>
    <row r="327" spans="1:20" ht="15" x14ac:dyDescent="0.25">
      <c r="A327" s="2"/>
      <c r="B327" s="4"/>
      <c r="D327" s="7"/>
      <c r="E327" s="7"/>
    </row>
    <row r="328" spans="1:20" ht="15" x14ac:dyDescent="0.25">
      <c r="A328" s="19" t="s">
        <v>221</v>
      </c>
      <c r="B328" s="4"/>
      <c r="D328" s="40"/>
      <c r="E328" s="40"/>
      <c r="F328" s="39"/>
      <c r="G328" s="39"/>
      <c r="H328" s="39"/>
      <c r="I328" s="8"/>
      <c r="J328" s="8"/>
      <c r="K328" s="8"/>
      <c r="L328" s="8"/>
      <c r="M328" s="8"/>
      <c r="N328" s="8"/>
      <c r="O328" s="8"/>
      <c r="P328" s="8"/>
      <c r="Q328" s="8"/>
      <c r="R328" s="8"/>
      <c r="S328" s="8"/>
      <c r="T328" s="8"/>
    </row>
    <row r="329" spans="1:20" x14ac:dyDescent="0.2">
      <c r="A329" s="1" t="s">
        <v>583</v>
      </c>
      <c r="B329" s="4"/>
      <c r="D329" s="15">
        <f ca="1">OFFSET(Assumptions!$B$69,0,$C$1)*D$354</f>
        <v>12.694460000000001</v>
      </c>
      <c r="E329" s="15">
        <f ca="1">OFFSET(Assumptions!$B$69,0,$C$1)*E$354</f>
        <v>12.69661</v>
      </c>
      <c r="F329" s="16">
        <f ca="1">OFFSET(Assumptions!$B$69,0,$C$1)*F$354</f>
        <v>14.839730000000001</v>
      </c>
      <c r="G329" s="16">
        <f ca="1">OFFSET(Assumptions!$B$69,0,$C$1)*G$354</f>
        <v>15.831740000000002</v>
      </c>
      <c r="H329" s="16">
        <f ca="1">OFFSET(Assumptions!$B$69,0,$C$1)*H$354</f>
        <v>16.895130000000002</v>
      </c>
      <c r="I329" s="16">
        <f ca="1">OFFSET(Assumptions!$B$69,0,$C$1)*I$354</f>
        <v>18.033770000000001</v>
      </c>
      <c r="J329" s="16">
        <f ca="1">OFFSET(Assumptions!$B$69,0,$C$1)*J$354</f>
        <v>20.192369999999997</v>
      </c>
      <c r="K329" s="7">
        <f ca="1">OFFSET(Assumptions!$B$69,0,$C$1)/SUM(OFFSET(Assumptions!$B$68,0,$C$1,6,1))*SUM(K$354,K$70,-K$322,K$429)</f>
        <v>22.244517911377727</v>
      </c>
      <c r="L329" s="7">
        <f ca="1">OFFSET(Assumptions!$B$69,0,$C$1)/SUM(OFFSET(Assumptions!$B$68,0,$C$1,6,1))*SUM(L$354,L$70,-L$322,L$429)</f>
        <v>24.29863720322113</v>
      </c>
      <c r="M329" s="7">
        <f ca="1">OFFSET(Assumptions!$B$69,0,$C$1)/SUM(OFFSET(Assumptions!$B$68,0,$C$1,6,1))*SUM(M$354,M$70,-M$322,M$429)</f>
        <v>26.394913610141383</v>
      </c>
      <c r="N329" s="7">
        <f ca="1">OFFSET(Assumptions!$B$69,0,$C$1)/SUM(OFFSET(Assumptions!$B$68,0,$C$1,6,1))*SUM(N$354,N$70,-N$322,N$429)</f>
        <v>28.535731479807019</v>
      </c>
      <c r="O329" s="7">
        <f ca="1">OFFSET(Assumptions!$B$69,0,$C$1)/SUM(OFFSET(Assumptions!$B$68,0,$C$1,6,1))*SUM(O$354,O$70,-O$322,O$429)</f>
        <v>30.706010086594762</v>
      </c>
      <c r="P329" s="7">
        <f ca="1">OFFSET(Assumptions!$B$69,0,$C$1)/SUM(OFFSET(Assumptions!$B$68,0,$C$1,6,1))*SUM(P$354,P$70,-P$322,P$429)</f>
        <v>32.887757519943463</v>
      </c>
      <c r="Q329" s="7">
        <f ca="1">OFFSET(Assumptions!$B$69,0,$C$1)/SUM(OFFSET(Assumptions!$B$68,0,$C$1,6,1))*SUM(Q$354,Q$70,-Q$322,Q$429)</f>
        <v>35.044063135263364</v>
      </c>
      <c r="R329" s="7">
        <f ca="1">OFFSET(Assumptions!$B$69,0,$C$1)/SUM(OFFSET(Assumptions!$B$68,0,$C$1,6,1))*SUM(R$354,R$70,-R$322,R$429)</f>
        <v>37.173720028243267</v>
      </c>
      <c r="S329" s="7">
        <f ca="1">OFFSET(Assumptions!$B$69,0,$C$1)/SUM(OFFSET(Assumptions!$B$68,0,$C$1,6,1))*SUM(S$354,S$70,-S$322,S$429)</f>
        <v>39.292311804367827</v>
      </c>
      <c r="T329" s="7">
        <f ca="1">OFFSET(Assumptions!$B$69,0,$C$1)/SUM(OFFSET(Assumptions!$B$68,0,$C$1,6,1))*SUM(T$354,T$70,-T$322,T$429)</f>
        <v>41.400453606119697</v>
      </c>
    </row>
    <row r="330" spans="1:20" x14ac:dyDescent="0.2">
      <c r="A330" s="1" t="s">
        <v>584</v>
      </c>
      <c r="B330" s="4" t="str">
        <f>$B$38</f>
        <v>From Fiscal</v>
      </c>
      <c r="D330" s="15">
        <f ca="1">'Fiscal Forecasts'!D$170-D$329</f>
        <v>24.395540000000004</v>
      </c>
      <c r="E330" s="15">
        <f ca="1">'Fiscal Forecasts'!E$170-E$329</f>
        <v>21.689390000000003</v>
      </c>
      <c r="F330" s="16">
        <f ca="1">'Fiscal Forecasts'!F$170-F$329</f>
        <v>16.818269999999998</v>
      </c>
      <c r="G330" s="16">
        <f ca="1">'Fiscal Forecasts'!G$170-G$329</f>
        <v>12.02726</v>
      </c>
      <c r="H330" s="16">
        <f ca="1">'Fiscal Forecasts'!H$170-H$329</f>
        <v>10.735869999999998</v>
      </c>
      <c r="I330" s="16">
        <f ca="1">'Fiscal Forecasts'!I$170-I$329</f>
        <v>11.665230000000001</v>
      </c>
      <c r="J330" s="16">
        <f ca="1">'Fiscal Forecasts'!J$170-J$329</f>
        <v>6.8226300000000037</v>
      </c>
      <c r="K330" s="7">
        <f ca="1">(J$330/J$13+ IF(K$2&gt;0,K$2*IF(K$6=OFFSET(Assumptions!$B$8,0,$C$1),SUMPRODUCT(OFFSET(J$330,0,0,1,-OFFSET(Assumptions!$B$82,0,$C$1)),OFFSET(J$15,0,0,1,-OFFSET(Assumptions!$B$82,0,$C$1)))/OFFSET(Assumptions!$B$82,0,$C$1)-J$330/J$13,(J$330/J$13-I$330/I$13)/J$2),0))*K$13</f>
        <v>8.2966183168106529</v>
      </c>
      <c r="L330" s="7">
        <f ca="1">(K$330/K$13+ IF(L$2&gt;0,L$2*IF(L$6=OFFSET(Assumptions!$B$8,0,$C$1),SUMPRODUCT(OFFSET(K$330,0,0,1,-OFFSET(Assumptions!$B$82,0,$C$1)),OFFSET(K$15,0,0,1,-OFFSET(Assumptions!$B$82,0,$C$1)))/OFFSET(Assumptions!$B$82,0,$C$1)-K$330/K$13,(K$330/K$13-J$330/J$13)/K$2),0))*L$13</f>
        <v>9.6475157239012468</v>
      </c>
      <c r="M330" s="7">
        <f ca="1">(L$330/L$13+ IF(M$2&gt;0,M$2*IF(M$6=OFFSET(Assumptions!$B$8,0,$C$1),SUMPRODUCT(OFFSET(L$330,0,0,1,-OFFSET(Assumptions!$B$82,0,$C$1)),OFFSET(L$15,0,0,1,-OFFSET(Assumptions!$B$82,0,$C$1)))/OFFSET(Assumptions!$B$82,0,$C$1)-L$330/L$13,(L$330/L$13-K$330/K$13)/L$2),0))*M$13</f>
        <v>10.841627801989361</v>
      </c>
      <c r="N330" s="7">
        <f ca="1">(M$330/M$13+ IF(N$2&gt;0,N$2*IF(N$6=OFFSET(Assumptions!$B$8,0,$C$1),SUMPRODUCT(OFFSET(M$330,0,0,1,-OFFSET(Assumptions!$B$82,0,$C$1)),OFFSET(M$15,0,0,1,-OFFSET(Assumptions!$B$82,0,$C$1)))/OFFSET(Assumptions!$B$82,0,$C$1)-M$330/M$13,(M$330/M$13-L$330/L$13)/M$2),0))*N$13</f>
        <v>11.852385456304308</v>
      </c>
      <c r="O330" s="7">
        <f ca="1">(N$330/N$13+ IF(O$2&gt;0,O$2*IF(O$6=OFFSET(Assumptions!$B$8,0,$C$1),SUMPRODUCT(OFFSET(N$330,0,0,1,-OFFSET(Assumptions!$B$82,0,$C$1)),OFFSET(N$15,0,0,1,-OFFSET(Assumptions!$B$82,0,$C$1)))/OFFSET(Assumptions!$B$82,0,$C$1)-N$330/N$13,(N$330/N$13-M$330/M$13)/N$2),0))*O$13</f>
        <v>12.64497783868447</v>
      </c>
      <c r="P330" s="7">
        <f ca="1">(O$330/O$13+ IF(P$2&gt;0,P$2*IF(P$6=OFFSET(Assumptions!$B$8,0,$C$1),SUMPRODUCT(OFFSET(O$330,0,0,1,-OFFSET(Assumptions!$B$82,0,$C$1)),OFFSET(O$15,0,0,1,-OFFSET(Assumptions!$B$82,0,$C$1)))/OFFSET(Assumptions!$B$82,0,$C$1)-O$330/O$13,(O$330/O$13-N$330/N$13)/O$2),0))*P$13</f>
        <v>13.187751521148499</v>
      </c>
      <c r="Q330" s="7">
        <f ca="1">(P$330/P$13+ IF(Q$2&gt;0,Q$2*IF(Q$6=OFFSET(Assumptions!$B$8,0,$C$1),SUMPRODUCT(OFFSET(P$330,0,0,1,-OFFSET(Assumptions!$B$82,0,$C$1)),OFFSET(P$15,0,0,1,-OFFSET(Assumptions!$B$82,0,$C$1)))/OFFSET(Assumptions!$B$82,0,$C$1)-P$330/P$13,(P$330/P$13-O$330/O$13)/P$2),0))*Q$13</f>
        <v>13.748613661523548</v>
      </c>
      <c r="R330" s="7">
        <f ca="1">(Q$330/Q$13+ IF(R$2&gt;0,R$2*IF(R$6=OFFSET(Assumptions!$B$8,0,$C$1),SUMPRODUCT(OFFSET(Q$330,0,0,1,-OFFSET(Assumptions!$B$82,0,$C$1)),OFFSET(Q$15,0,0,1,-OFFSET(Assumptions!$B$82,0,$C$1)))/OFFSET(Assumptions!$B$82,0,$C$1)-Q$330/Q$13,(Q$330/Q$13-P$330/P$13)/Q$2),0))*R$13</f>
        <v>14.326938850120785</v>
      </c>
      <c r="S330" s="7">
        <f ca="1">(R$330/R$13+ IF(S$2&gt;0,S$2*IF(S$6=OFFSET(Assumptions!$B$8,0,$C$1),SUMPRODUCT(OFFSET(R$330,0,0,1,-OFFSET(Assumptions!$B$82,0,$C$1)),OFFSET(R$15,0,0,1,-OFFSET(Assumptions!$B$82,0,$C$1)))/OFFSET(Assumptions!$B$82,0,$C$1)-R$330/R$13,(R$330/R$13-Q$330/Q$13)/R$2),0))*S$13</f>
        <v>14.925352247024451</v>
      </c>
      <c r="T330" s="7">
        <f ca="1">(S$330/S$13+ IF(T$2&gt;0,T$2*IF(T$6=OFFSET(Assumptions!$B$8,0,$C$1),SUMPRODUCT(OFFSET(S$330,0,0,1,-OFFSET(Assumptions!$B$82,0,$C$1)),OFFSET(S$15,0,0,1,-OFFSET(Assumptions!$B$82,0,$C$1)))/OFFSET(Assumptions!$B$82,0,$C$1)-S$330/S$13,(S$330/S$13-R$330/R$13)/S$2),0))*T$13</f>
        <v>15.542924534463063</v>
      </c>
    </row>
    <row r="331" spans="1:20" ht="15" x14ac:dyDescent="0.25">
      <c r="A331" s="2" t="s">
        <v>585</v>
      </c>
      <c r="B331" s="4"/>
      <c r="D331" s="35">
        <f t="shared" ref="D331:T331" ca="1" si="142">SUM(D$329:D$330)</f>
        <v>37.090000000000003</v>
      </c>
      <c r="E331" s="35">
        <f t="shared" ca="1" si="142"/>
        <v>34.386000000000003</v>
      </c>
      <c r="F331" s="34">
        <f t="shared" ca="1" si="142"/>
        <v>31.658000000000001</v>
      </c>
      <c r="G331" s="34">
        <f t="shared" ca="1" si="142"/>
        <v>27.859000000000002</v>
      </c>
      <c r="H331" s="34">
        <f t="shared" ca="1" si="142"/>
        <v>27.631</v>
      </c>
      <c r="I331" s="34">
        <f t="shared" ca="1" si="142"/>
        <v>29.699000000000002</v>
      </c>
      <c r="J331" s="34">
        <f t="shared" ca="1" si="142"/>
        <v>27.015000000000001</v>
      </c>
      <c r="K331" s="38">
        <f t="shared" ca="1" si="142"/>
        <v>30.541136228188378</v>
      </c>
      <c r="L331" s="38">
        <f t="shared" ca="1" si="142"/>
        <v>33.946152927122377</v>
      </c>
      <c r="M331" s="38">
        <f t="shared" ca="1" si="142"/>
        <v>37.236541412130748</v>
      </c>
      <c r="N331" s="38">
        <f t="shared" ca="1" si="142"/>
        <v>40.388116936111331</v>
      </c>
      <c r="O331" s="38">
        <f t="shared" ca="1" si="142"/>
        <v>43.350987925279235</v>
      </c>
      <c r="P331" s="38">
        <f t="shared" ca="1" si="142"/>
        <v>46.075509041091962</v>
      </c>
      <c r="Q331" s="38">
        <f t="shared" ca="1" si="142"/>
        <v>48.792676796786914</v>
      </c>
      <c r="R331" s="38">
        <f t="shared" ca="1" si="142"/>
        <v>51.50065887836405</v>
      </c>
      <c r="S331" s="38">
        <f t="shared" ca="1" si="142"/>
        <v>54.217664051392276</v>
      </c>
      <c r="T331" s="38">
        <f t="shared" ca="1" si="142"/>
        <v>56.943378140582759</v>
      </c>
    </row>
    <row r="332" spans="1:20" x14ac:dyDescent="0.2">
      <c r="A332" s="1" t="s">
        <v>279</v>
      </c>
      <c r="B332" s="4" t="str">
        <f>$B$38</f>
        <v>From Fiscal</v>
      </c>
      <c r="D332" s="15">
        <f>'Fiscal Forecasts'!D$203</f>
        <v>25.789000000000001</v>
      </c>
      <c r="E332" s="15">
        <f>'Fiscal Forecasts'!E$203</f>
        <v>27.709</v>
      </c>
      <c r="F332" s="16">
        <f>'Fiscal Forecasts'!F$203</f>
        <v>28.035</v>
      </c>
      <c r="G332" s="16">
        <f>'Fiscal Forecasts'!G$203</f>
        <v>27.861999999999998</v>
      </c>
      <c r="H332" s="16">
        <f>'Fiscal Forecasts'!H$203</f>
        <v>28.6</v>
      </c>
      <c r="I332" s="16">
        <f>'Fiscal Forecasts'!I$203</f>
        <v>29.541</v>
      </c>
      <c r="J332" s="16">
        <f>'Fiscal Forecasts'!J$203</f>
        <v>30.501000000000001</v>
      </c>
      <c r="K332" s="7">
        <f>J$332*Exogenous!R$28/Exogenous!Q$28</f>
        <v>31.880998615483758</v>
      </c>
      <c r="L332" s="7">
        <f>K$332*Exogenous!S$28/Exogenous!R$28</f>
        <v>33.286238768985157</v>
      </c>
      <c r="M332" s="7">
        <f>L$332*Exogenous!T$28/Exogenous!S$28</f>
        <v>34.720145261765467</v>
      </c>
      <c r="N332" s="7">
        <f>M$332*Exogenous!U$28/Exogenous!T$28</f>
        <v>36.206782513339697</v>
      </c>
      <c r="O332" s="7">
        <f>N$332*Exogenous!V$28/Exogenous!U$28</f>
        <v>37.78825319185416</v>
      </c>
      <c r="P332" s="7">
        <f>O$332*Exogenous!W$28/Exogenous!V$28</f>
        <v>39.406312447148203</v>
      </c>
      <c r="Q332" s="7">
        <f>P$332*Exogenous!X$28/Exogenous!W$28</f>
        <v>41.075188101713763</v>
      </c>
      <c r="R332" s="7">
        <f>Q$332*Exogenous!Y$28/Exogenous!X$28</f>
        <v>42.803885680119379</v>
      </c>
      <c r="S332" s="7">
        <f>R$332*Exogenous!Z$28/Exogenous!Y$28</f>
        <v>44.587607787913427</v>
      </c>
      <c r="T332" s="7">
        <f>S$332*Exogenous!AA$28/Exogenous!Z$28</f>
        <v>46.438594767216799</v>
      </c>
    </row>
    <row r="333" spans="1:20" x14ac:dyDescent="0.2">
      <c r="A333" s="1" t="s">
        <v>506</v>
      </c>
      <c r="B333" s="4" t="str">
        <f>$B$38</f>
        <v>From Fiscal</v>
      </c>
      <c r="D333" s="15">
        <f>'Fiscal Forecasts'!D$204</f>
        <v>3.8119999999999998</v>
      </c>
      <c r="E333" s="15">
        <f>'Fiscal Forecasts'!E$204</f>
        <v>3.7709999999999999</v>
      </c>
      <c r="F333" s="16">
        <f>'Fiscal Forecasts'!F$204</f>
        <v>3.42</v>
      </c>
      <c r="G333" s="16">
        <f>'Fiscal Forecasts'!G$204</f>
        <v>3.3010000000000002</v>
      </c>
      <c r="H333" s="16">
        <f>'Fiscal Forecasts'!H$204</f>
        <v>3.3919999999999999</v>
      </c>
      <c r="I333" s="16">
        <f>'Fiscal Forecasts'!I$204</f>
        <v>3.4820000000000002</v>
      </c>
      <c r="J333" s="16">
        <f>'Fiscal Forecasts'!J$204</f>
        <v>3.5790000000000002</v>
      </c>
      <c r="K333" s="7">
        <f ca="1">(J$333/J$13+ IF(K$2&gt;0,K$2*IF(K$6=OFFSET(Assumptions!$B$8,0,$C$1),SUMPRODUCT(OFFSET(J$333,0,0,1,-OFFSET(Assumptions!$B$82,0,$C$1)),OFFSET(J$15,0,0,1,-OFFSET(Assumptions!$B$82,0,$C$1)))/OFFSET(Assumptions!$B$82,0,$C$1)-J$333/J$13,(J$333/J$13-I$333/I$13)/J$2),0))*K$13</f>
        <v>3.7512554837540315</v>
      </c>
      <c r="L333" s="7">
        <f ca="1">(K$333/K$13+ IF(L$2&gt;0,L$2*IF(L$6=OFFSET(Assumptions!$B$8,0,$C$1),SUMPRODUCT(OFFSET(K$333,0,0,1,-OFFSET(Assumptions!$B$82,0,$C$1)),OFFSET(K$15,0,0,1,-OFFSET(Assumptions!$B$82,0,$C$1)))/OFFSET(Assumptions!$B$82,0,$C$1)-K$333/K$13,(K$333/K$13-J$333/J$13)/K$2),0))*L$13</f>
        <v>3.9316738227438162</v>
      </c>
      <c r="M333" s="7">
        <f ca="1">(L$333/L$13+ IF(M$2&gt;0,M$2*IF(M$6=OFFSET(Assumptions!$B$8,0,$C$1),SUMPRODUCT(OFFSET(L$333,0,0,1,-OFFSET(Assumptions!$B$82,0,$C$1)),OFFSET(L$15,0,0,1,-OFFSET(Assumptions!$B$82,0,$C$1)))/OFFSET(Assumptions!$B$82,0,$C$1)-L$333/L$13,(L$333/L$13-K$333/K$13)/L$2),0))*M$13</f>
        <v>4.1158846737556809</v>
      </c>
      <c r="N333" s="7">
        <f ca="1">(M$333/M$13+ IF(N$2&gt;0,N$2*IF(N$6=OFFSET(Assumptions!$B$8,0,$C$1),SUMPRODUCT(OFFSET(M$333,0,0,1,-OFFSET(Assumptions!$B$82,0,$C$1)),OFFSET(M$15,0,0,1,-OFFSET(Assumptions!$B$82,0,$C$1)))/OFFSET(Assumptions!$B$82,0,$C$1)-M$333/M$13,(M$333/M$13-L$333/L$13)/M$2),0))*N$13</f>
        <v>4.3041791973262251</v>
      </c>
      <c r="O333" s="7">
        <f ca="1">(N$333/N$13+ IF(O$2&gt;0,O$2*IF(O$6=OFFSET(Assumptions!$B$8,0,$C$1),SUMPRODUCT(OFFSET(N$333,0,0,1,-OFFSET(Assumptions!$B$82,0,$C$1)),OFFSET(N$15,0,0,1,-OFFSET(Assumptions!$B$82,0,$C$1)))/OFFSET(Assumptions!$B$82,0,$C$1)-N$333/N$13,(N$333/N$13-M$333/M$13)/N$2),0))*O$13</f>
        <v>4.4946946016986891</v>
      </c>
      <c r="P333" s="7">
        <f ca="1">(O$333/O$13+ IF(P$2&gt;0,P$2*IF(P$6=OFFSET(Assumptions!$B$8,0,$C$1),SUMPRODUCT(OFFSET(O$333,0,0,1,-OFFSET(Assumptions!$B$82,0,$C$1)),OFFSET(O$15,0,0,1,-OFFSET(Assumptions!$B$82,0,$C$1)))/OFFSET(Assumptions!$B$82,0,$C$1)-O$333/O$13,(O$333/O$13-N$333/N$13)/O$2),0))*P$13</f>
        <v>4.6876251051474007</v>
      </c>
      <c r="Q333" s="7">
        <f ca="1">(P$333/P$13+ IF(Q$2&gt;0,Q$2*IF(Q$6=OFFSET(Assumptions!$B$8,0,$C$1),SUMPRODUCT(OFFSET(P$333,0,0,1,-OFFSET(Assumptions!$B$82,0,$C$1)),OFFSET(P$15,0,0,1,-OFFSET(Assumptions!$B$82,0,$C$1)))/OFFSET(Assumptions!$B$82,0,$C$1)-P$333/P$13,(P$333/P$13-O$333/O$13)/P$2),0))*Q$13</f>
        <v>4.8869852042160415</v>
      </c>
      <c r="R333" s="7">
        <f ca="1">(Q$333/Q$13+ IF(R$2&gt;0,R$2*IF(R$6=OFFSET(Assumptions!$B$8,0,$C$1),SUMPRODUCT(OFFSET(Q$333,0,0,1,-OFFSET(Assumptions!$B$82,0,$C$1)),OFFSET(Q$15,0,0,1,-OFFSET(Assumptions!$B$82,0,$C$1)))/OFFSET(Assumptions!$B$82,0,$C$1)-Q$333/Q$13,(Q$333/Q$13-P$333/P$13)/Q$2),0))*R$13</f>
        <v>5.0925525951894057</v>
      </c>
      <c r="S333" s="7">
        <f ca="1">(R$333/R$13+ IF(S$2&gt;0,S$2*IF(S$6=OFFSET(Assumptions!$B$8,0,$C$1),SUMPRODUCT(OFFSET(R$333,0,0,1,-OFFSET(Assumptions!$B$82,0,$C$1)),OFFSET(R$15,0,0,1,-OFFSET(Assumptions!$B$82,0,$C$1)))/OFFSET(Assumptions!$B$82,0,$C$1)-R$333/R$13,(R$333/R$13-Q$333/Q$13)/R$2),0))*S$13</f>
        <v>5.3052603989483496</v>
      </c>
      <c r="T333" s="7">
        <f ca="1">(S$333/S$13+ IF(T$2&gt;0,T$2*IF(T$6=OFFSET(Assumptions!$B$8,0,$C$1),SUMPRODUCT(OFFSET(S$333,0,0,1,-OFFSET(Assumptions!$B$82,0,$C$1)),OFFSET(S$15,0,0,1,-OFFSET(Assumptions!$B$82,0,$C$1)))/OFFSET(Assumptions!$B$82,0,$C$1)-S$333/S$13,(S$333/S$13-R$333/R$13)/S$2),0))*T$13</f>
        <v>5.5247782867549304</v>
      </c>
    </row>
    <row r="334" spans="1:20" x14ac:dyDescent="0.2">
      <c r="A334" s="1" t="s">
        <v>507</v>
      </c>
      <c r="B334" s="4" t="str">
        <f>$B$38</f>
        <v>From Fiscal</v>
      </c>
      <c r="D334" s="15">
        <f ca="1">'Fiscal Forecasts'!D$117-SUM(D$331:D$333)</f>
        <v>-12.393000000000001</v>
      </c>
      <c r="E334" s="15">
        <f ca="1">'Fiscal Forecasts'!E$117-SUM(E$331:E$333)</f>
        <v>-12.467999999999996</v>
      </c>
      <c r="F334" s="16">
        <f ca="1">'Fiscal Forecasts'!F$117-SUM(F$331:F$333)</f>
        <v>-13.728999999999999</v>
      </c>
      <c r="G334" s="16">
        <f ca="1">'Fiscal Forecasts'!G$117-SUM(G$331:G$333)</f>
        <v>-14.284000000000006</v>
      </c>
      <c r="H334" s="16">
        <f ca="1">'Fiscal Forecasts'!H$117-SUM(H$331:H$333)</f>
        <v>-14.737000000000002</v>
      </c>
      <c r="I334" s="16">
        <f ca="1">'Fiscal Forecasts'!I$117-SUM(I$331:I$333)</f>
        <v>-15.258000000000003</v>
      </c>
      <c r="J334" s="16">
        <f ca="1">'Fiscal Forecasts'!J$117-SUM(J$331:J$333)</f>
        <v>-15.779000000000003</v>
      </c>
      <c r="K334" s="7">
        <f ca="1">IF(K$6=OFFSET(Assumptions!$B$8,0,$C$1),AVERAGE(H$334/H$332,I$334/I$332,J$334/J$332),J$334/J$332)*K$332</f>
        <v>-16.462386038191774</v>
      </c>
      <c r="L334" s="7">
        <f ca="1">IF(L$6=OFFSET(Assumptions!$B$8,0,$C$1),AVERAGE(I$334/I$332,J$334/J$332,K$334/K$332),K$334/K$332)*L$332</f>
        <v>-17.188009666307128</v>
      </c>
      <c r="M334" s="7">
        <f ca="1">IF(M$6=OFFSET(Assumptions!$B$8,0,$C$1),AVERAGE(J$334/J$332,K$334/K$332,L$334/L$332),L$334/L$332)*M$332</f>
        <v>-17.928435727345082</v>
      </c>
      <c r="N334" s="7">
        <f ca="1">IF(N$6=OFFSET(Assumptions!$B$8,0,$C$1),AVERAGE(K$334/K$332,L$334/L$332,M$334/M$332),M$334/M$332)*N$332</f>
        <v>-18.696090361672791</v>
      </c>
      <c r="O334" s="7">
        <f ca="1">IF(O$6=OFFSET(Assumptions!$B$8,0,$C$1),AVERAGE(L$334/L$332,M$334/M$332,N$334/N$332),N$334/N$332)*O$332</f>
        <v>-19.512714117151447</v>
      </c>
      <c r="P334" s="7">
        <f ca="1">IF(P$6=OFFSET(Assumptions!$B$8,0,$C$1),AVERAGE(M$334/M$332,N$334/N$332,O$334/O$332),O$334/O$332)*P$332</f>
        <v>-20.348231110034561</v>
      </c>
      <c r="Q334" s="7">
        <f ca="1">IF(Q$6=OFFSET(Assumptions!$B$8,0,$C$1),AVERAGE(N$334/N$332,O$334/O$332,P$334/P$332),P$334/P$332)*Q$332</f>
        <v>-21.209988158694102</v>
      </c>
      <c r="R334" s="7">
        <f ca="1">IF(R$6=OFFSET(Assumptions!$B$8,0,$C$1),AVERAGE(O$334/O$332,P$334/P$332,Q$334/Q$332),Q$334/Q$332)*R$332</f>
        <v>-22.102635444377903</v>
      </c>
      <c r="S334" s="7">
        <f ca="1">IF(S$6=OFFSET(Assumptions!$B$8,0,$C$1),AVERAGE(P$334/P$332,Q$334/Q$332,R$334/R$332),R$334/R$332)*S$332</f>
        <v>-23.023695737298002</v>
      </c>
      <c r="T334" s="7">
        <f ca="1">IF(T$6=OFFSET(Assumptions!$B$8,0,$C$1),AVERAGE(Q$334/Q$332,R$334/R$332,S$334/S$332),S$334/S$332)*T$332</f>
        <v>-23.9794895809124</v>
      </c>
    </row>
    <row r="335" spans="1:20" ht="15" x14ac:dyDescent="0.25">
      <c r="A335" s="2" t="s">
        <v>596</v>
      </c>
      <c r="B335" s="4"/>
      <c r="D335" s="35">
        <f t="shared" ref="D335:T335" ca="1" si="143">SUM(D$331:D$334)</f>
        <v>54.298000000000002</v>
      </c>
      <c r="E335" s="35">
        <f t="shared" ca="1" si="143"/>
        <v>53.398000000000003</v>
      </c>
      <c r="F335" s="34">
        <f t="shared" ca="1" si="143"/>
        <v>49.384</v>
      </c>
      <c r="G335" s="34">
        <f t="shared" ca="1" si="143"/>
        <v>44.738</v>
      </c>
      <c r="H335" s="34">
        <f t="shared" ca="1" si="143"/>
        <v>44.886000000000003</v>
      </c>
      <c r="I335" s="34">
        <f t="shared" ca="1" si="143"/>
        <v>47.463999999999999</v>
      </c>
      <c r="J335" s="34">
        <f t="shared" ca="1" si="143"/>
        <v>45.316000000000003</v>
      </c>
      <c r="K335" s="38">
        <f t="shared" ca="1" si="143"/>
        <v>49.711004289234403</v>
      </c>
      <c r="L335" s="38">
        <f t="shared" ca="1" si="143"/>
        <v>53.976055852544221</v>
      </c>
      <c r="M335" s="38">
        <f t="shared" ca="1" si="143"/>
        <v>58.14413562030682</v>
      </c>
      <c r="N335" s="38">
        <f t="shared" ca="1" si="143"/>
        <v>62.202988285104453</v>
      </c>
      <c r="O335" s="38">
        <f t="shared" ca="1" si="143"/>
        <v>66.121221601680631</v>
      </c>
      <c r="P335" s="38">
        <f t="shared" ca="1" si="143"/>
        <v>69.821215483353015</v>
      </c>
      <c r="Q335" s="38">
        <f t="shared" ca="1" si="143"/>
        <v>73.544861944022614</v>
      </c>
      <c r="R335" s="38">
        <f t="shared" ca="1" si="143"/>
        <v>77.294461709294922</v>
      </c>
      <c r="S335" s="38">
        <f t="shared" ca="1" si="143"/>
        <v>81.086836500956053</v>
      </c>
      <c r="T335" s="38">
        <f t="shared" ca="1" si="143"/>
        <v>84.927261613642088</v>
      </c>
    </row>
    <row r="336" spans="1:20" ht="15" x14ac:dyDescent="0.25">
      <c r="A336" s="2"/>
      <c r="B336" s="4"/>
      <c r="D336" s="47"/>
      <c r="E336" s="47"/>
      <c r="F336" s="48"/>
      <c r="G336" s="48"/>
      <c r="H336" s="48"/>
      <c r="I336" s="48"/>
      <c r="J336" s="48"/>
      <c r="K336" s="49"/>
      <c r="L336" s="49"/>
      <c r="M336" s="49"/>
      <c r="N336" s="49"/>
      <c r="O336" s="49"/>
      <c r="P336" s="49"/>
      <c r="Q336" s="49"/>
      <c r="R336" s="49"/>
      <c r="S336" s="49"/>
      <c r="T336" s="49"/>
    </row>
    <row r="337" spans="1:20" ht="15" x14ac:dyDescent="0.25">
      <c r="A337" s="19" t="s">
        <v>222</v>
      </c>
      <c r="B337" s="4"/>
      <c r="D337" s="47"/>
      <c r="E337" s="47"/>
      <c r="F337" s="48"/>
      <c r="G337" s="48"/>
      <c r="H337" s="48"/>
      <c r="I337" s="48"/>
      <c r="J337" s="48"/>
      <c r="K337" s="8"/>
      <c r="L337" s="8"/>
      <c r="M337" s="8"/>
      <c r="N337" s="8"/>
      <c r="O337" s="8"/>
      <c r="P337" s="8"/>
      <c r="Q337" s="8"/>
      <c r="R337" s="8"/>
      <c r="S337" s="8"/>
      <c r="T337" s="8"/>
    </row>
    <row r="338" spans="1:20" x14ac:dyDescent="0.2">
      <c r="A338" s="1" t="s">
        <v>608</v>
      </c>
      <c r="B338" s="4"/>
      <c r="D338" s="15">
        <f ca="1">OFFSET(Assumptions!$B$70,0,$C$1)*D$354</f>
        <v>13.2849</v>
      </c>
      <c r="E338" s="15">
        <f ca="1">OFFSET(Assumptions!$B$70,0,$C$1)*E$354</f>
        <v>13.28715</v>
      </c>
      <c r="F338" s="16">
        <f ca="1">OFFSET(Assumptions!$B$70,0,$C$1)*F$354</f>
        <v>15.529950000000001</v>
      </c>
      <c r="G338" s="16">
        <f ca="1">OFFSET(Assumptions!$B$70,0,$C$1)*G$354</f>
        <v>16.568100000000001</v>
      </c>
      <c r="H338" s="16">
        <f ca="1">OFFSET(Assumptions!$B$70,0,$C$1)*H$354</f>
        <v>17.680950000000003</v>
      </c>
      <c r="I338" s="16">
        <f ca="1">OFFSET(Assumptions!$B$70,0,$C$1)*I$354</f>
        <v>18.87255</v>
      </c>
      <c r="J338" s="16">
        <f ca="1">OFFSET(Assumptions!$B$70,0,$C$1)*J$354</f>
        <v>21.131549999999997</v>
      </c>
      <c r="K338" s="7">
        <f ca="1">OFFSET(Assumptions!$B$70,0,$C$1)/SUM(OFFSET(Assumptions!$B$68,0,$C$1,6,1))*SUM(K$354,K$70,-K$322,K$429)</f>
        <v>23.27914665144181</v>
      </c>
      <c r="L338" s="7">
        <f ca="1">OFFSET(Assumptions!$B$70,0,$C$1)/SUM(OFFSET(Assumptions!$B$68,0,$C$1,6,1))*SUM(L$354,L$70,-L$322,L$429)</f>
        <v>25.428806375463974</v>
      </c>
      <c r="M338" s="7">
        <f ca="1">OFFSET(Assumptions!$B$70,0,$C$1)/SUM(OFFSET(Assumptions!$B$68,0,$C$1,6,1))*SUM(M$354,M$70,-M$322,M$429)</f>
        <v>27.622584010613082</v>
      </c>
      <c r="N338" s="7">
        <f ca="1">OFFSET(Assumptions!$B$70,0,$C$1)/SUM(OFFSET(Assumptions!$B$68,0,$C$1,6,1))*SUM(N$354,N$70,-N$322,N$429)</f>
        <v>29.862974804449209</v>
      </c>
      <c r="O338" s="7">
        <f ca="1">OFFSET(Assumptions!$B$70,0,$C$1)/SUM(OFFSET(Assumptions!$B$68,0,$C$1,6,1))*SUM(O$354,O$70,-O$322,O$429)</f>
        <v>32.134196602250334</v>
      </c>
      <c r="P338" s="7">
        <f ca="1">OFFSET(Assumptions!$B$70,0,$C$1)/SUM(OFFSET(Assumptions!$B$68,0,$C$1,6,1))*SUM(P$354,P$70,-P$322,P$429)</f>
        <v>34.417420660405952</v>
      </c>
      <c r="Q338" s="7">
        <f ca="1">OFFSET(Assumptions!$B$70,0,$C$1)/SUM(OFFSET(Assumptions!$B$68,0,$C$1,6,1))*SUM(Q$354,Q$70,-Q$322,Q$429)</f>
        <v>36.674019560159344</v>
      </c>
      <c r="R338" s="7">
        <f ca="1">OFFSET(Assumptions!$B$70,0,$C$1)/SUM(OFFSET(Assumptions!$B$68,0,$C$1,6,1))*SUM(R$354,R$70,-R$322,R$429)</f>
        <v>38.90273026211505</v>
      </c>
      <c r="S338" s="7">
        <f ca="1">OFFSET(Assumptions!$B$70,0,$C$1)/SUM(OFFSET(Assumptions!$B$68,0,$C$1,6,1))*SUM(S$354,S$70,-S$322,S$429)</f>
        <v>41.119861190617499</v>
      </c>
      <c r="T338" s="7">
        <f ca="1">OFFSET(Assumptions!$B$70,0,$C$1)/SUM(OFFSET(Assumptions!$B$68,0,$C$1,6,1))*SUM(T$354,T$70,-T$322,T$429)</f>
        <v>43.326056099427596</v>
      </c>
    </row>
    <row r="339" spans="1:20" x14ac:dyDescent="0.2">
      <c r="A339" s="1" t="s">
        <v>609</v>
      </c>
      <c r="B339" s="4" t="str">
        <f>$B$38</f>
        <v>From Fiscal</v>
      </c>
      <c r="D339" s="15">
        <f ca="1">'Fiscal Forecasts'!D$171-D$338</f>
        <v>2.0690999999999988</v>
      </c>
      <c r="E339" s="15">
        <f ca="1">'Fiscal Forecasts'!E$171-E$338</f>
        <v>0.25284999999999869</v>
      </c>
      <c r="F339" s="16">
        <f ca="1">'Fiscal Forecasts'!F$171-F$338</f>
        <v>4.5830499999999983</v>
      </c>
      <c r="G339" s="16">
        <f ca="1">'Fiscal Forecasts'!G$171-G$338</f>
        <v>5.0878999999999976</v>
      </c>
      <c r="H339" s="16">
        <f ca="1">'Fiscal Forecasts'!H$171-H$338</f>
        <v>5.6600499999999982</v>
      </c>
      <c r="I339" s="16">
        <f ca="1">'Fiscal Forecasts'!I$171-I$338</f>
        <v>6.2744499999999981</v>
      </c>
      <c r="J339" s="16">
        <f ca="1">'Fiscal Forecasts'!J$171-J$338</f>
        <v>7.6844500000000018</v>
      </c>
      <c r="K339" s="7">
        <f ca="1">(J$339/J$13+ IF(K$2&gt;0,K$2*IF(K$6=OFFSET(Assumptions!$B$8,0,$C$1),SUMPRODUCT(OFFSET(J$339,0,0,1,-OFFSET(Assumptions!$B$82,0,$C$1)),OFFSET(J$15,0,0,1,-OFFSET(Assumptions!$B$82,0,$C$1)))/OFFSET(Assumptions!$B$82,0,$C$1)-J$339/J$13,(J$339/J$13-I$339/I$13)/J$2),0))*K$13</f>
        <v>7.70439032410387</v>
      </c>
      <c r="L339" s="7">
        <f ca="1">(K$339/K$13+ IF(L$2&gt;0,L$2*IF(L$6=OFFSET(Assumptions!$B$8,0,$C$1),SUMPRODUCT(OFFSET(K$339,0,0,1,-OFFSET(Assumptions!$B$82,0,$C$1)),OFFSET(K$15,0,0,1,-OFFSET(Assumptions!$B$82,0,$C$1)))/OFFSET(Assumptions!$B$82,0,$C$1)-K$339/K$13,(K$339/K$13-J$339/J$13)/K$2),0))*L$13</f>
        <v>7.7842057219692533</v>
      </c>
      <c r="M339" s="7">
        <f ca="1">(L$339/L$13+ IF(M$2&gt;0,M$2*IF(M$6=OFFSET(Assumptions!$B$8,0,$C$1),SUMPRODUCT(OFFSET(L$339,0,0,1,-OFFSET(Assumptions!$B$82,0,$C$1)),OFFSET(L$15,0,0,1,-OFFSET(Assumptions!$B$82,0,$C$1)))/OFFSET(Assumptions!$B$82,0,$C$1)-L$339/L$13,(L$339/L$13-K$339/K$13)/L$2),0))*M$13</f>
        <v>7.922259401935551</v>
      </c>
      <c r="N339" s="7">
        <f ca="1">(M$339/M$13+ IF(N$2&gt;0,N$2*IF(N$6=OFFSET(Assumptions!$B$8,0,$C$1),SUMPRODUCT(OFFSET(M$339,0,0,1,-OFFSET(Assumptions!$B$82,0,$C$1)),OFFSET(M$15,0,0,1,-OFFSET(Assumptions!$B$82,0,$C$1)))/OFFSET(Assumptions!$B$82,0,$C$1)-M$339/M$13,(M$339/M$13-L$339/L$13)/M$2),0))*N$13</f>
        <v>8.1274610877977445</v>
      </c>
      <c r="O339" s="7">
        <f ca="1">(N$339/N$13+ IF(O$2&gt;0,O$2*IF(O$6=OFFSET(Assumptions!$B$8,0,$C$1),SUMPRODUCT(OFFSET(N$339,0,0,1,-OFFSET(Assumptions!$B$82,0,$C$1)),OFFSET(N$15,0,0,1,-OFFSET(Assumptions!$B$82,0,$C$1)))/OFFSET(Assumptions!$B$82,0,$C$1)-N$339/N$13,(N$339/N$13-M$339/M$13)/N$2),0))*O$13</f>
        <v>8.4053589349203541</v>
      </c>
      <c r="P339" s="7">
        <f ca="1">(O$339/O$13+ IF(P$2&gt;0,P$2*IF(P$6=OFFSET(Assumptions!$B$8,0,$C$1),SUMPRODUCT(OFFSET(O$339,0,0,1,-OFFSET(Assumptions!$B$82,0,$C$1)),OFFSET(O$15,0,0,1,-OFFSET(Assumptions!$B$82,0,$C$1)))/OFFSET(Assumptions!$B$82,0,$C$1)-O$339/O$13,(O$339/O$13-N$339/N$13)/O$2),0))*P$13</f>
        <v>8.7661509963806452</v>
      </c>
      <c r="Q339" s="7">
        <f ca="1">(P$339/P$13+ IF(Q$2&gt;0,Q$2*IF(Q$6=OFFSET(Assumptions!$B$8,0,$C$1),SUMPRODUCT(OFFSET(P$339,0,0,1,-OFFSET(Assumptions!$B$82,0,$C$1)),OFFSET(P$15,0,0,1,-OFFSET(Assumptions!$B$82,0,$C$1)))/OFFSET(Assumptions!$B$82,0,$C$1)-P$339/P$13,(P$339/P$13-O$339/O$13)/P$2),0))*Q$13</f>
        <v>9.1389668022287012</v>
      </c>
      <c r="R339" s="7">
        <f ca="1">(Q$339/Q$13+ IF(R$2&gt;0,R$2*IF(R$6=OFFSET(Assumptions!$B$8,0,$C$1),SUMPRODUCT(OFFSET(Q$339,0,0,1,-OFFSET(Assumptions!$B$82,0,$C$1)),OFFSET(Q$15,0,0,1,-OFFSET(Assumptions!$B$82,0,$C$1)))/OFFSET(Assumptions!$B$82,0,$C$1)-Q$339/Q$13,(Q$339/Q$13-P$339/P$13)/Q$2),0))*R$13</f>
        <v>9.523390630667059</v>
      </c>
      <c r="S339" s="7">
        <f ca="1">(R$339/R$13+ IF(S$2&gt;0,S$2*IF(S$6=OFFSET(Assumptions!$B$8,0,$C$1),SUMPRODUCT(OFFSET(R$339,0,0,1,-OFFSET(Assumptions!$B$82,0,$C$1)),OFFSET(R$15,0,0,1,-OFFSET(Assumptions!$B$82,0,$C$1)))/OFFSET(Assumptions!$B$82,0,$C$1)-R$339/R$13,(R$339/R$13-Q$339/Q$13)/R$2),0))*S$13</f>
        <v>9.921167475878482</v>
      </c>
      <c r="T339" s="7">
        <f ca="1">(S$339/S$13+ IF(T$2&gt;0,T$2*IF(T$6=OFFSET(Assumptions!$B$8,0,$C$1),SUMPRODUCT(OFFSET(S$339,0,0,1,-OFFSET(Assumptions!$B$82,0,$C$1)),OFFSET(S$15,0,0,1,-OFFSET(Assumptions!$B$82,0,$C$1)))/OFFSET(Assumptions!$B$82,0,$C$1)-S$339/S$13,(S$339/S$13-R$339/R$13)/S$2),0))*T$13</f>
        <v>10.331679602542785</v>
      </c>
    </row>
    <row r="340" spans="1:20" ht="15" x14ac:dyDescent="0.25">
      <c r="A340" s="2" t="s">
        <v>610</v>
      </c>
      <c r="B340" s="4"/>
      <c r="D340" s="35">
        <f t="shared" ref="D340:T340" ca="1" si="144">SUM(D$338:D$339)</f>
        <v>15.353999999999999</v>
      </c>
      <c r="E340" s="35">
        <f t="shared" ca="1" si="144"/>
        <v>13.54</v>
      </c>
      <c r="F340" s="34">
        <f t="shared" ca="1" si="144"/>
        <v>20.113</v>
      </c>
      <c r="G340" s="34">
        <f t="shared" ca="1" si="144"/>
        <v>21.655999999999999</v>
      </c>
      <c r="H340" s="34">
        <f t="shared" ca="1" si="144"/>
        <v>23.341000000000001</v>
      </c>
      <c r="I340" s="34">
        <f t="shared" ca="1" si="144"/>
        <v>25.146999999999998</v>
      </c>
      <c r="J340" s="34">
        <f t="shared" ca="1" si="144"/>
        <v>28.815999999999999</v>
      </c>
      <c r="K340" s="38">
        <f t="shared" ca="1" si="144"/>
        <v>30.983536975545679</v>
      </c>
      <c r="L340" s="38">
        <f t="shared" ca="1" si="144"/>
        <v>33.213012097433229</v>
      </c>
      <c r="M340" s="38">
        <f t="shared" ca="1" si="144"/>
        <v>35.54484341254863</v>
      </c>
      <c r="N340" s="38">
        <f t="shared" ca="1" si="144"/>
        <v>37.99043589224695</v>
      </c>
      <c r="O340" s="38">
        <f t="shared" ca="1" si="144"/>
        <v>40.539555537170685</v>
      </c>
      <c r="P340" s="38">
        <f t="shared" ca="1" si="144"/>
        <v>43.183571656786597</v>
      </c>
      <c r="Q340" s="38">
        <f t="shared" ca="1" si="144"/>
        <v>45.812986362388045</v>
      </c>
      <c r="R340" s="38">
        <f t="shared" ca="1" si="144"/>
        <v>48.426120892782109</v>
      </c>
      <c r="S340" s="38">
        <f t="shared" ca="1" si="144"/>
        <v>51.041028666495983</v>
      </c>
      <c r="T340" s="38">
        <f t="shared" ca="1" si="144"/>
        <v>53.657735701970381</v>
      </c>
    </row>
    <row r="341" spans="1:20" x14ac:dyDescent="0.2">
      <c r="A341" s="1" t="s">
        <v>279</v>
      </c>
      <c r="B341" s="4" t="str">
        <f>$B$38</f>
        <v>From Fiscal</v>
      </c>
      <c r="D341" s="15">
        <f>'Fiscal Forecasts'!D$205</f>
        <v>10.454000000000001</v>
      </c>
      <c r="E341" s="15">
        <f>'Fiscal Forecasts'!E$205</f>
        <v>11</v>
      </c>
      <c r="F341" s="16">
        <f>'Fiscal Forecasts'!F$205</f>
        <v>11.67</v>
      </c>
      <c r="G341" s="16">
        <f>'Fiscal Forecasts'!G$205</f>
        <v>12.194000000000001</v>
      </c>
      <c r="H341" s="16">
        <f>'Fiscal Forecasts'!H$205</f>
        <v>12.474</v>
      </c>
      <c r="I341" s="16">
        <f>'Fiscal Forecasts'!I$205</f>
        <v>12.882999999999999</v>
      </c>
      <c r="J341" s="16">
        <f>'Fiscal Forecasts'!J$205</f>
        <v>13.273999999999999</v>
      </c>
      <c r="K341" s="7">
        <f>J$341*Exogenous!R$28/Exogenous!Q$28</f>
        <v>13.874573804856604</v>
      </c>
      <c r="L341" s="7">
        <f>K$341*Exogenous!S$28/Exogenous!R$28</f>
        <v>14.486132697928227</v>
      </c>
      <c r="M341" s="7">
        <f>L$341*Exogenous!T$28/Exogenous!S$28</f>
        <v>15.110167148771342</v>
      </c>
      <c r="N341" s="7">
        <f>M$341*Exogenous!U$28/Exogenous!T$28</f>
        <v>15.757149964987084</v>
      </c>
      <c r="O341" s="7">
        <f>N$341*Exogenous!V$28/Exogenous!U$28</f>
        <v>16.445404179163702</v>
      </c>
      <c r="P341" s="7">
        <f>O$341*Exogenous!W$28/Exogenous!V$28</f>
        <v>17.14958169972936</v>
      </c>
      <c r="Q341" s="7">
        <f>P$341*Exogenous!X$28/Exogenous!W$28</f>
        <v>17.875874458612785</v>
      </c>
      <c r="R341" s="7">
        <f>Q$341*Exogenous!Y$28/Exogenous!X$28</f>
        <v>18.628201649713276</v>
      </c>
      <c r="S341" s="7">
        <f>R$341*Exogenous!Z$28/Exogenous!Y$28</f>
        <v>19.404475452501977</v>
      </c>
      <c r="T341" s="7">
        <f>S$341*Exogenous!AA$28/Exogenous!Z$28</f>
        <v>20.210022849743801</v>
      </c>
    </row>
    <row r="342" spans="1:20" x14ac:dyDescent="0.2">
      <c r="A342" s="1" t="s">
        <v>506</v>
      </c>
      <c r="B342" s="4" t="str">
        <f>$B$38</f>
        <v>From Fiscal</v>
      </c>
      <c r="D342" s="15">
        <f>'Fiscal Forecasts'!D$206</f>
        <v>5.8000000000000003E-2</v>
      </c>
      <c r="E342" s="15">
        <f>'Fiscal Forecasts'!E$206</f>
        <v>8.5999999999999993E-2</v>
      </c>
      <c r="F342" s="16">
        <f>'Fiscal Forecasts'!F$206</f>
        <v>8.7999999999999995E-2</v>
      </c>
      <c r="G342" s="16">
        <f>'Fiscal Forecasts'!G$206</f>
        <v>8.6999999999999994E-2</v>
      </c>
      <c r="H342" s="16">
        <f>'Fiscal Forecasts'!H$206</f>
        <v>8.6999999999999994E-2</v>
      </c>
      <c r="I342" s="16">
        <f>'Fiscal Forecasts'!I$206</f>
        <v>8.6999999999999994E-2</v>
      </c>
      <c r="J342" s="16">
        <f>'Fiscal Forecasts'!J$206</f>
        <v>8.6999999999999994E-2</v>
      </c>
      <c r="K342" s="7">
        <f ca="1">(J$342/J$13+ IF(K$2&gt;0,K$2*IF(K$6=OFFSET(Assumptions!$B$8,0,$C$1),SUMPRODUCT(OFFSET(J$342,0,0,1,-OFFSET(Assumptions!$B$82,0,$C$1)),OFFSET(J$15,0,0,1,-OFFSET(Assumptions!$B$82,0,$C$1)))/OFFSET(Assumptions!$B$82,0,$C$1)-J$342/J$13,(J$342/J$13-I$342/I$13)/J$2),0))*K$13</f>
        <v>9.2045766778179619E-2</v>
      </c>
      <c r="L342" s="7">
        <f ca="1">(K$342/K$13+ IF(L$2&gt;0,L$2*IF(L$6=OFFSET(Assumptions!$B$8,0,$C$1),SUMPRODUCT(OFFSET(K$342,0,0,1,-OFFSET(Assumptions!$B$82,0,$C$1)),OFFSET(K$15,0,0,1,-OFFSET(Assumptions!$B$82,0,$C$1)))/OFFSET(Assumptions!$B$82,0,$C$1)-K$342/K$13,(K$342/K$13-J$342/J$13)/K$2),0))*L$13</f>
        <v>9.7186057633807277E-2</v>
      </c>
      <c r="M342" s="7">
        <f ca="1">(L$342/L$13+ IF(M$2&gt;0,M$2*IF(M$6=OFFSET(Assumptions!$B$8,0,$C$1),SUMPRODUCT(OFFSET(L$342,0,0,1,-OFFSET(Assumptions!$B$82,0,$C$1)),OFFSET(L$15,0,0,1,-OFFSET(Assumptions!$B$82,0,$C$1)))/OFFSET(Assumptions!$B$82,0,$C$1)-L$342/L$13,(L$342/L$13-K$342/K$13)/L$2),0))*M$13</f>
        <v>0.10229562958650627</v>
      </c>
      <c r="N342" s="7">
        <f ca="1">(M$342/M$13+ IF(N$2&gt;0,N$2*IF(N$6=OFFSET(Assumptions!$B$8,0,$C$1),SUMPRODUCT(OFFSET(M$342,0,0,1,-OFFSET(Assumptions!$B$82,0,$C$1)),OFFSET(M$15,0,0,1,-OFFSET(Assumptions!$B$82,0,$C$1)))/OFFSET(Assumptions!$B$82,0,$C$1)-M$342/M$13,(M$342/M$13-L$342/L$13)/M$2),0))*N$13</f>
        <v>0.10736123410079332</v>
      </c>
      <c r="O342" s="7">
        <f ca="1">(N$342/N$13+ IF(O$2&gt;0,O$2*IF(O$6=OFFSET(Assumptions!$B$8,0,$C$1),SUMPRODUCT(OFFSET(N$342,0,0,1,-OFFSET(Assumptions!$B$82,0,$C$1)),OFFSET(N$15,0,0,1,-OFFSET(Assumptions!$B$82,0,$C$1)))/OFFSET(Assumptions!$B$82,0,$C$1)-N$342/N$13,(N$342/N$13-M$342/M$13)/N$2),0))*O$13</f>
        <v>0.11231416417787422</v>
      </c>
      <c r="P342" s="7">
        <f ca="1">(O$342/O$13+ IF(P$2&gt;0,P$2*IF(P$6=OFFSET(Assumptions!$B$8,0,$C$1),SUMPRODUCT(OFFSET(O$342,0,0,1,-OFFSET(Assumptions!$B$82,0,$C$1)),OFFSET(O$15,0,0,1,-OFFSET(Assumptions!$B$82,0,$C$1)))/OFFSET(Assumptions!$B$82,0,$C$1)-O$342/O$13,(O$342/O$13-N$342/N$13)/O$2),0))*P$13</f>
        <v>0.11713514316742986</v>
      </c>
      <c r="Q342" s="7">
        <f ca="1">(P$342/P$13+ IF(Q$2&gt;0,Q$2*IF(Q$6=OFFSET(Assumptions!$B$8,0,$C$1),SUMPRODUCT(OFFSET(P$342,0,0,1,-OFFSET(Assumptions!$B$82,0,$C$1)),OFFSET(P$15,0,0,1,-OFFSET(Assumptions!$B$82,0,$C$1)))/OFFSET(Assumptions!$B$82,0,$C$1)-P$342/P$13,(P$342/P$13-O$342/O$13)/P$2),0))*Q$13</f>
        <v>0.12211678594441638</v>
      </c>
      <c r="R342" s="7">
        <f ca="1">(Q$342/Q$13+ IF(R$2&gt;0,R$2*IF(R$6=OFFSET(Assumptions!$B$8,0,$C$1),SUMPRODUCT(OFFSET(Q$342,0,0,1,-OFFSET(Assumptions!$B$82,0,$C$1)),OFFSET(Q$15,0,0,1,-OFFSET(Assumptions!$B$82,0,$C$1)))/OFFSET(Assumptions!$B$82,0,$C$1)-Q$342/Q$13,(Q$342/Q$13-P$342/P$13)/Q$2),0))*R$13</f>
        <v>0.12725353754722249</v>
      </c>
      <c r="S342" s="7">
        <f ca="1">(R$342/R$13+ IF(S$2&gt;0,S$2*IF(S$6=OFFSET(Assumptions!$B$8,0,$C$1),SUMPRODUCT(OFFSET(R$342,0,0,1,-OFFSET(Assumptions!$B$82,0,$C$1)),OFFSET(R$15,0,0,1,-OFFSET(Assumptions!$B$82,0,$C$1)))/OFFSET(Assumptions!$B$82,0,$C$1)-R$342/R$13,(R$342/R$13-Q$342/Q$13)/R$2),0))*S$13</f>
        <v>0.13256871495310635</v>
      </c>
      <c r="T342" s="7">
        <f ca="1">(S$342/S$13+ IF(T$2&gt;0,T$2*IF(T$6=OFFSET(Assumptions!$B$8,0,$C$1),SUMPRODUCT(OFFSET(S$342,0,0,1,-OFFSET(Assumptions!$B$82,0,$C$1)),OFFSET(S$15,0,0,1,-OFFSET(Assumptions!$B$82,0,$C$1)))/OFFSET(Assumptions!$B$82,0,$C$1)-S$342/S$13,(S$342/S$13-R$342/R$13)/S$2),0))*T$13</f>
        <v>0.13805406385351232</v>
      </c>
    </row>
    <row r="343" spans="1:20" x14ac:dyDescent="0.2">
      <c r="A343" s="1" t="s">
        <v>507</v>
      </c>
      <c r="B343" s="4" t="str">
        <f>$B$38</f>
        <v>From Fiscal</v>
      </c>
      <c r="D343" s="15">
        <f ca="1">'Fiscal Forecasts'!D$118-SUM(D$340:D$342)</f>
        <v>-0.45799999999999841</v>
      </c>
      <c r="E343" s="15">
        <f ca="1">'Fiscal Forecasts'!E$118-SUM(E$340:E$342)</f>
        <v>-0.40899999999999892</v>
      </c>
      <c r="F343" s="16">
        <f ca="1">'Fiscal Forecasts'!F$118-SUM(F$340:F$342)</f>
        <v>-1.0840000000000032</v>
      </c>
      <c r="G343" s="16">
        <f ca="1">'Fiscal Forecasts'!G$118-SUM(G$340:G$342)</f>
        <v>-1.0930000000000035</v>
      </c>
      <c r="H343" s="16">
        <f ca="1">'Fiscal Forecasts'!H$118-SUM(H$340:H$342)</f>
        <v>-1.1039999999999992</v>
      </c>
      <c r="I343" s="16">
        <f ca="1">'Fiscal Forecasts'!I$118-SUM(I$340:I$342)</f>
        <v>-1.122000000000007</v>
      </c>
      <c r="J343" s="16">
        <f ca="1">'Fiscal Forecasts'!J$118-SUM(J$340:J$342)</f>
        <v>-1.1390000000000029</v>
      </c>
      <c r="K343" s="7">
        <f ca="1">IF(K$6=OFFSET(Assumptions!$B$8,0,$C$1),AVERAGE(H$343/H$341,I$343/I$341,J$343/J$341),J$343/J$341)*K$341</f>
        <v>-1.2089491714899365</v>
      </c>
      <c r="L343" s="7">
        <f ca="1">IF(L$6=OFFSET(Assumptions!$B$8,0,$C$1),AVERAGE(I$343/I$341,J$343/J$341,K$343/K$341),K$343/K$341)*L$341</f>
        <v>-1.2622368347720652</v>
      </c>
      <c r="M343" s="7">
        <f ca="1">IF(M$6=OFFSET(Assumptions!$B$8,0,$C$1),AVERAGE(J$343/J$341,K$343/K$341,L$343/L$341),L$343/L$341)*M$341</f>
        <v>-1.3166115451551608</v>
      </c>
      <c r="N343" s="7">
        <f ca="1">IF(N$6=OFFSET(Assumptions!$B$8,0,$C$1),AVERAGE(K$343/K$341,L$343/L$341,M$343/M$341),M$343/M$341)*N$341</f>
        <v>-1.3729858418098413</v>
      </c>
      <c r="O343" s="7">
        <f ca="1">IF(O$6=OFFSET(Assumptions!$B$8,0,$C$1),AVERAGE(L$343/L$341,M$343/M$341,N$343/N$341),N$343/N$341)*O$341</f>
        <v>-1.4329562865749288</v>
      </c>
      <c r="P343" s="7">
        <f ca="1">IF(P$6=OFFSET(Assumptions!$B$8,0,$C$1),AVERAGE(M$343/M$341,N$343/N$341,O$343/O$341),O$343/O$341)*P$341</f>
        <v>-1.49431419508032</v>
      </c>
      <c r="Q343" s="7">
        <f ca="1">IF(Q$6=OFFSET(Assumptions!$B$8,0,$C$1),AVERAGE(N$343/N$341,O$343/O$341,P$343/P$341),P$343/P$341)*Q$341</f>
        <v>-1.5575990960409467</v>
      </c>
      <c r="R343" s="7">
        <f ca="1">IF(R$6=OFFSET(Assumptions!$B$8,0,$C$1),AVERAGE(O$343/O$341,P$343/P$341,Q$343/Q$341),Q$343/Q$341)*R$341</f>
        <v>-1.6231524850792409</v>
      </c>
      <c r="S343" s="7">
        <f ca="1">IF(S$6=OFFSET(Assumptions!$B$8,0,$C$1),AVERAGE(P$343/P$341,Q$343/Q$341,R$343/R$341),R$343/R$341)*S$341</f>
        <v>-1.6907924417316205</v>
      </c>
      <c r="T343" s="7">
        <f ca="1">IF(T$6=OFFSET(Assumptions!$B$8,0,$C$1),AVERAGE(Q$343/Q$341,R$343/R$341,S$343/S$341),S$343/S$341)*T$341</f>
        <v>-1.7609831281043067</v>
      </c>
    </row>
    <row r="344" spans="1:20" ht="15" x14ac:dyDescent="0.25">
      <c r="A344" s="2" t="s">
        <v>611</v>
      </c>
      <c r="B344" s="4"/>
      <c r="D344" s="35">
        <f t="shared" ref="D344:T344" ca="1" si="145">SUM(D$340:D$343)</f>
        <v>25.408000000000001</v>
      </c>
      <c r="E344" s="35">
        <f t="shared" ca="1" si="145"/>
        <v>24.216999999999999</v>
      </c>
      <c r="F344" s="34">
        <f t="shared" ca="1" si="145"/>
        <v>30.786999999999999</v>
      </c>
      <c r="G344" s="34">
        <f t="shared" ca="1" si="145"/>
        <v>32.844000000000001</v>
      </c>
      <c r="H344" s="34">
        <f t="shared" ca="1" si="145"/>
        <v>34.798000000000002</v>
      </c>
      <c r="I344" s="34">
        <f t="shared" ca="1" si="145"/>
        <v>36.994999999999997</v>
      </c>
      <c r="J344" s="34">
        <f t="shared" ca="1" si="145"/>
        <v>41.037999999999997</v>
      </c>
      <c r="K344" s="38">
        <f t="shared" ca="1" si="145"/>
        <v>43.741207375690529</v>
      </c>
      <c r="L344" s="38">
        <f t="shared" ca="1" si="145"/>
        <v>46.534094018223193</v>
      </c>
      <c r="M344" s="38">
        <f t="shared" ca="1" si="145"/>
        <v>49.440694645751314</v>
      </c>
      <c r="N344" s="38">
        <f t="shared" ca="1" si="145"/>
        <v>52.481961249524986</v>
      </c>
      <c r="O344" s="38">
        <f t="shared" ca="1" si="145"/>
        <v>55.664317593937334</v>
      </c>
      <c r="P344" s="38">
        <f t="shared" ca="1" si="145"/>
        <v>58.955974304603068</v>
      </c>
      <c r="Q344" s="38">
        <f t="shared" ca="1" si="145"/>
        <v>62.253378510904298</v>
      </c>
      <c r="R344" s="38">
        <f t="shared" ca="1" si="145"/>
        <v>65.558423594963358</v>
      </c>
      <c r="S344" s="38">
        <f t="shared" ca="1" si="145"/>
        <v>68.887280392219452</v>
      </c>
      <c r="T344" s="38">
        <f t="shared" ca="1" si="145"/>
        <v>72.244829487463406</v>
      </c>
    </row>
    <row r="345" spans="1:20" ht="15" x14ac:dyDescent="0.25">
      <c r="A345" s="2"/>
      <c r="B345" s="4"/>
      <c r="D345" s="47"/>
      <c r="E345" s="47"/>
      <c r="F345" s="48"/>
      <c r="G345" s="48"/>
      <c r="H345" s="48"/>
      <c r="I345" s="48"/>
      <c r="J345" s="48"/>
      <c r="K345" s="7"/>
      <c r="L345" s="7"/>
      <c r="M345" s="7"/>
      <c r="N345" s="7"/>
      <c r="O345" s="7"/>
      <c r="P345" s="7"/>
      <c r="Q345" s="7"/>
      <c r="R345" s="7"/>
      <c r="S345" s="7"/>
      <c r="T345" s="7"/>
    </row>
    <row r="346" spans="1:20" x14ac:dyDescent="0.2">
      <c r="A346" s="19" t="s">
        <v>422</v>
      </c>
      <c r="F346" s="7"/>
      <c r="G346" s="7"/>
      <c r="H346" s="7"/>
      <c r="I346" s="7"/>
      <c r="J346" s="7"/>
      <c r="K346" s="7"/>
      <c r="L346" s="7"/>
      <c r="M346" s="7"/>
      <c r="N346" s="7"/>
      <c r="O346" s="7"/>
      <c r="P346" s="7"/>
      <c r="Q346" s="7"/>
      <c r="R346" s="7"/>
      <c r="S346" s="7"/>
      <c r="T346" s="7"/>
    </row>
    <row r="347" spans="1:20" x14ac:dyDescent="0.2">
      <c r="A347" s="1" t="s">
        <v>384</v>
      </c>
      <c r="B347" s="4" t="str">
        <f t="shared" ref="B347:B353" si="146">$B$38</f>
        <v>From Fiscal</v>
      </c>
      <c r="D347" s="15">
        <f>'Fiscal Forecasts'!D$335</f>
        <v>0.76</v>
      </c>
      <c r="E347" s="15">
        <f>'Fiscal Forecasts'!E$335</f>
        <v>0.752</v>
      </c>
      <c r="F347" s="16">
        <f>IF($C$3="Yes",'NZS Fund Adjuster'!M$21,'Fiscal Forecasts'!F$335)</f>
        <v>0.83299999999999996</v>
      </c>
      <c r="G347" s="16">
        <f>IF($C$3="Yes",'NZS Fund Adjuster'!N$21,'Fiscal Forecasts'!G$335)</f>
        <v>0.81299999999999994</v>
      </c>
      <c r="H347" s="16">
        <f>IF($C$3="Yes",'NZS Fund Adjuster'!O$21,'Fiscal Forecasts'!H$335)</f>
        <v>0.874</v>
      </c>
      <c r="I347" s="16">
        <f>IF($C$3="Yes",'NZS Fund Adjuster'!P$21,'Fiscal Forecasts'!I$335)</f>
        <v>0.93799999999999994</v>
      </c>
      <c r="J347" s="16">
        <f>IF($C$3="Yes",'NZS Fund Adjuster'!Q$21,'Fiscal Forecasts'!J$335)</f>
        <v>1.006</v>
      </c>
      <c r="K347" s="7">
        <f ca="1">IF(K$6=OFFSET(Assumptions!$B$8,0,$C$1),AVERAGE(H$347/(H$347-H$349+H$350),I$347/(I$347-I$349+I$350),J$347/(J$347-J$349+J$350)),(J$347-IF($C$3="Yes",'NZS Fund Adjuster'!Q$25,Exogenous!Q$10))/(J$347-IF($C$3="Yes",'NZS Fund Adjuster'!Q$25,Exogenous!Q$10)-J$349+J$350))*IF($C$3="Yes",'NZS Fund Adjuster'!R$21-'NZS Fund Adjuster'!R$23+'NZS Fund Adjuster'!R$24,Exogenous!R$7) +IF($C$3="Yes",'NZS Fund Adjuster'!R$25,Exogenous!R$10)</f>
        <v>0.91550967740615741</v>
      </c>
      <c r="L347" s="7">
        <f ca="1">IF(L$6=OFFSET(Assumptions!$B$8,0,$C$1),AVERAGE(I$347/(I$347-I$349+I$350),J$347/(J$347-J$349+J$350),K$347/(K$347-K$349+K$350)),(K$347-IF($C$3="Yes",'NZS Fund Adjuster'!R$25,Exogenous!R$10))/(K$347-IF($C$3="Yes",'NZS Fund Adjuster'!R$25,Exogenous!R$10)-K$349+K$350))*IF($C$3="Yes",'NZS Fund Adjuster'!S$21-'NZS Fund Adjuster'!S$23+'NZS Fund Adjuster'!S$24,Exogenous!S$7) +IF($C$3="Yes",'NZS Fund Adjuster'!S$25,Exogenous!S$10)</f>
        <v>1.032657405900675</v>
      </c>
      <c r="M347" s="7">
        <f ca="1">IF(M$6=OFFSET(Assumptions!$B$8,0,$C$1),AVERAGE(J$347/(J$347-J$349+J$350),K$347/(K$347-K$349+K$350),L$347/(L$347-L$349+L$350)),(L$347-IF($C$3="Yes",'NZS Fund Adjuster'!S$25,Exogenous!S$10))/(L$347-IF($C$3="Yes",'NZS Fund Adjuster'!S$25,Exogenous!S$10)-L$349+L$350))*IF($C$3="Yes",'NZS Fund Adjuster'!T$21-'NZS Fund Adjuster'!T$23+'NZS Fund Adjuster'!T$24,Exogenous!T$7) +IF($C$3="Yes",'NZS Fund Adjuster'!T$25,Exogenous!T$10)</f>
        <v>1.1574051955358633</v>
      </c>
      <c r="N347" s="7">
        <f ca="1">IF(N$6=OFFSET(Assumptions!$B$8,0,$C$1),AVERAGE(K$347/(K$347-K$349+K$350),L$347/(L$347-L$349+L$350),M$347/(M$347-M$349+M$350)),(M$347-IF($C$3="Yes",'NZS Fund Adjuster'!T$25,Exogenous!T$10))/(M$347-IF($C$3="Yes",'NZS Fund Adjuster'!T$25,Exogenous!T$10)-M$349+M$350))*IF($C$3="Yes",'NZS Fund Adjuster'!U$21-'NZS Fund Adjuster'!U$23+'NZS Fund Adjuster'!U$24,Exogenous!U$7) +IF($C$3="Yes",'NZS Fund Adjuster'!U$25,Exogenous!U$10)</f>
        <v>1.2895340838300289</v>
      </c>
      <c r="O347" s="7">
        <f ca="1">IF(O$6=OFFSET(Assumptions!$B$8,0,$C$1),AVERAGE(L$347/(L$347-L$349+L$350),M$347/(M$347-M$349+M$350),N$347/(N$347-N$349+N$350)),(N$347-IF($C$3="Yes",'NZS Fund Adjuster'!U$25,Exogenous!U$10))/(N$347-IF($C$3="Yes",'NZS Fund Adjuster'!U$25,Exogenous!U$10)-N$349+N$350))*IF($C$3="Yes",'NZS Fund Adjuster'!V$21-'NZS Fund Adjuster'!V$23+'NZS Fund Adjuster'!V$24,Exogenous!V$7) +IF($C$3="Yes",'NZS Fund Adjuster'!V$25,Exogenous!V$10)</f>
        <v>1.4288717789992951</v>
      </c>
      <c r="P347" s="7">
        <f ca="1">IF(P$6=OFFSET(Assumptions!$B$8,0,$C$1),AVERAGE(M$347/(M$347-M$349+M$350),N$347/(N$347-N$349+N$350),O$347/(O$347-O$349+O$350)),(O$347-IF($C$3="Yes",'NZS Fund Adjuster'!V$25,Exogenous!V$10))/(O$347-IF($C$3="Yes",'NZS Fund Adjuster'!V$25,Exogenous!V$10)-O$349+O$350))*IF($C$3="Yes",'NZS Fund Adjuster'!W$21-'NZS Fund Adjuster'!W$23+'NZS Fund Adjuster'!W$24,Exogenous!W$7) +IF($C$3="Yes",'NZS Fund Adjuster'!W$25,Exogenous!W$10)</f>
        <v>1.5648429242530302</v>
      </c>
      <c r="Q347" s="7">
        <f ca="1">IF(Q$6=OFFSET(Assumptions!$B$8,0,$C$1),AVERAGE(N$347/(N$347-N$349+N$350),O$347/(O$347-O$349+O$350),P$347/(P$347-P$349+P$350)),(P$347-IF($C$3="Yes",'NZS Fund Adjuster'!W$25,Exogenous!W$10))/(P$347-IF($C$3="Yes",'NZS Fund Adjuster'!W$25,Exogenous!W$10)-P$349+P$350))*IF($C$3="Yes",'NZS Fund Adjuster'!X$21-'NZS Fund Adjuster'!X$23+'NZS Fund Adjuster'!X$24,Exogenous!X$7) +IF($C$3="Yes",'NZS Fund Adjuster'!X$25,Exogenous!X$10)</f>
        <v>1.6729790028641707</v>
      </c>
      <c r="R347" s="7">
        <f ca="1">IF(R$6=OFFSET(Assumptions!$B$8,0,$C$1),AVERAGE(O$347/(O$347-O$349+O$350),P$347/(P$347-P$349+P$350),Q$347/(Q$347-Q$349+Q$350)),(Q$347-IF($C$3="Yes",'NZS Fund Adjuster'!X$25,Exogenous!X$10))/(Q$347-IF($C$3="Yes",'NZS Fund Adjuster'!X$25,Exogenous!X$10)-Q$349+Q$350))*IF($C$3="Yes",'NZS Fund Adjuster'!Y$21-'NZS Fund Adjuster'!Y$23+'NZS Fund Adjuster'!Y$24,Exogenous!Y$7) +IF($C$3="Yes",'NZS Fund Adjuster'!Y$25,Exogenous!Y$10)</f>
        <v>1.7799085985840444</v>
      </c>
      <c r="S347" s="7">
        <f ca="1">IF(S$6=OFFSET(Assumptions!$B$8,0,$C$1),AVERAGE(P$347/(P$347-P$349+P$350),Q$347/(Q$347-Q$349+Q$350),R$347/(R$347-R$349+R$350)),(R$347-IF($C$3="Yes",'NZS Fund Adjuster'!Y$25,Exogenous!Y$10))/(R$347-IF($C$3="Yes",'NZS Fund Adjuster'!Y$25,Exogenous!Y$10)-R$349+R$350))*IF($C$3="Yes",'NZS Fund Adjuster'!Z$21-'NZS Fund Adjuster'!Z$23+'NZS Fund Adjuster'!Z$24,Exogenous!Z$7) +IF($C$3="Yes",'NZS Fund Adjuster'!Z$25,Exogenous!Z$10)</f>
        <v>1.8860201346038181</v>
      </c>
      <c r="T347" s="7">
        <f ca="1">IF(T$6=OFFSET(Assumptions!$B$8,0,$C$1),AVERAGE(Q$347/(Q$347-Q$349+Q$350),R$347/(R$347-R$349+R$350),S$347/(S$347-S$349+S$350)),(S$347-IF($C$3="Yes",'NZS Fund Adjuster'!Z$25,Exogenous!Z$10))/(S$347-IF($C$3="Yes",'NZS Fund Adjuster'!Z$25,Exogenous!Z$10)-S$349+S$350))*IF($C$3="Yes",'NZS Fund Adjuster'!AA$21-'NZS Fund Adjuster'!AA$23+'NZS Fund Adjuster'!AA$24,Exogenous!AA$7) +IF($C$3="Yes",'NZS Fund Adjuster'!AA$25,Exogenous!AA$10)</f>
        <v>1.9917315326599156</v>
      </c>
    </row>
    <row r="348" spans="1:20" x14ac:dyDescent="0.2">
      <c r="A348" s="1" t="s">
        <v>385</v>
      </c>
      <c r="B348" s="4" t="str">
        <f t="shared" si="146"/>
        <v>From Fiscal</v>
      </c>
      <c r="D348" s="15">
        <f>'Fiscal Forecasts'!D$336</f>
        <v>4.5999999999999999E-2</v>
      </c>
      <c r="E348" s="15">
        <f>'Fiscal Forecasts'!E$336</f>
        <v>0.51200000000000001</v>
      </c>
      <c r="F348" s="16">
        <f>IF($C$3="Yes",'NZS Fund Adjuster'!M$22,'Fiscal Forecasts'!F$336)</f>
        <v>1.1339999999999999</v>
      </c>
      <c r="G348" s="16">
        <f>IF($C$3="Yes",'NZS Fund Adjuster'!N$22,'Fiscal Forecasts'!G$336)</f>
        <v>0.71599999999999997</v>
      </c>
      <c r="H348" s="16">
        <f>IF($C$3="Yes",'NZS Fund Adjuster'!O$22,'Fiscal Forecasts'!H$336)</f>
        <v>0.76900000000000002</v>
      </c>
      <c r="I348" s="16">
        <f>IF($C$3="Yes",'NZS Fund Adjuster'!P$22,'Fiscal Forecasts'!I$336)</f>
        <v>0.82399999999999995</v>
      </c>
      <c r="J348" s="16">
        <f>IF($C$3="Yes",'NZS Fund Adjuster'!Q$22,'Fiscal Forecasts'!J$336)</f>
        <v>0.88300000000000001</v>
      </c>
      <c r="K348" s="7">
        <f>IF($C$3="Yes",'NZS Fund Adjuster'!R$22,Exogenous!R$8)</f>
        <v>0.77749042890695819</v>
      </c>
      <c r="L348" s="7">
        <f>IF($C$3="Yes",'NZS Fund Adjuster'!S$22,Exogenous!S$8)</f>
        <v>0.87697734851083586</v>
      </c>
      <c r="M348" s="7">
        <f>IF($C$3="Yes",'NZS Fund Adjuster'!T$22,Exogenous!T$8)</f>
        <v>0.98291856886303619</v>
      </c>
      <c r="N348" s="7">
        <f>IF($C$3="Yes",'NZS Fund Adjuster'!U$22,Exogenous!U$8)</f>
        <v>1.0951281375503756</v>
      </c>
      <c r="O348" s="7">
        <f>IF($C$3="Yes",'NZS Fund Adjuster'!V$22,Exogenous!V$8)</f>
        <v>1.2134597369355329</v>
      </c>
      <c r="P348" s="7">
        <f>IF($C$3="Yes",'NZS Fund Adjuster'!W$22,Exogenous!W$8)</f>
        <v>1.3289323164737574</v>
      </c>
      <c r="Q348" s="7">
        <f>IF($C$3="Yes",'NZS Fund Adjuster'!X$22,Exogenous!X$8)</f>
        <v>1.4207661530945723</v>
      </c>
      <c r="R348" s="7">
        <f>IF($C$3="Yes",'NZS Fund Adjuster'!Y$22,Exogenous!Y$8)</f>
        <v>1.5115753922438921</v>
      </c>
      <c r="S348" s="7">
        <f>IF($C$3="Yes",'NZS Fund Adjuster'!Z$22,Exogenous!Z$8)</f>
        <v>1.6016898997013478</v>
      </c>
      <c r="T348" s="7">
        <f>IF($C$3="Yes",'NZS Fund Adjuster'!AA$22,Exogenous!AA$8)</f>
        <v>1.6914645926875</v>
      </c>
    </row>
    <row r="349" spans="1:20" x14ac:dyDescent="0.2">
      <c r="A349" s="1" t="s">
        <v>386</v>
      </c>
      <c r="B349" s="4" t="str">
        <f t="shared" si="146"/>
        <v>From Fiscal</v>
      </c>
      <c r="D349" s="15">
        <f>'Fiscal Forecasts'!D$337</f>
        <v>0.19800000000000001</v>
      </c>
      <c r="E349" s="15">
        <f>'Fiscal Forecasts'!E$337</f>
        <v>0.13800000000000001</v>
      </c>
      <c r="F349" s="16">
        <f>IF($C$3="Yes",'NZS Fund Adjuster'!M$23,'Fiscal Forecasts'!F$337)</f>
        <v>0.22800000000000001</v>
      </c>
      <c r="G349" s="16">
        <f>IF($C$3="Yes",'NZS Fund Adjuster'!N$23,'Fiscal Forecasts'!G$337)</f>
        <v>0.17799999999999999</v>
      </c>
      <c r="H349" s="16">
        <f>IF($C$3="Yes",'NZS Fund Adjuster'!O$23,'Fiscal Forecasts'!H$337)</f>
        <v>0.185</v>
      </c>
      <c r="I349" s="16">
        <f>IF($C$3="Yes",'NZS Fund Adjuster'!P$23,'Fiscal Forecasts'!I$337)</f>
        <v>0.19600000000000001</v>
      </c>
      <c r="J349" s="16">
        <f>IF($C$3="Yes",'NZS Fund Adjuster'!Q$23,'Fiscal Forecasts'!J$337)</f>
        <v>0.20699999999999999</v>
      </c>
      <c r="K349" s="7">
        <f ca="1">IF(K$6=OFFSET(Assumptions!$B$8,0,$C$1),AVERAGE(H$349/(H$347-H$349+H$350),I$349/(I$347-I$349+I$350),J$349/(J$347-J$349+J$350)),J$349/(J$347-IF($C$3="Yes",'NZS Fund Adjuster'!Q$25,Exogenous!Q$10)-J$349+J$350))*IF($C$3="Yes",'NZS Fund Adjuster'!R$21-'NZS Fund Adjuster'!R$23+'NZS Fund Adjuster'!R$24,Exogenous!R$7)</f>
        <v>0.18435421134811586</v>
      </c>
      <c r="L349" s="7">
        <f ca="1">IF(L$6=OFFSET(Assumptions!$B$8,0,$C$1),AVERAGE(I$349/(I$347-I$349+I$350),J$349/(J$347-J$349+J$350),K$349/(K$347-K$349+K$350)),K$349/(K$347-IF($C$3="Yes",'NZS Fund Adjuster'!R$25,Exogenous!R$10)-K$349+K$350))*IF($C$3="Yes",'NZS Fund Adjuster'!S$21-'NZS Fund Adjuster'!S$23+'NZS Fund Adjuster'!S$24,Exogenous!S$7)</f>
        <v>0.20794399704980085</v>
      </c>
      <c r="M349" s="7">
        <f ca="1">IF(M$6=OFFSET(Assumptions!$B$8,0,$C$1),AVERAGE(J$349/(J$347-J$349+J$350),K$349/(K$347-K$349+K$350),L$349/(L$347-L$349+L$350)),L$349/(L$347-IF($C$3="Yes",'NZS Fund Adjuster'!S$25,Exogenous!S$10)-L$349+L$350))*IF($C$3="Yes",'NZS Fund Adjuster'!T$21-'NZS Fund Adjuster'!T$23+'NZS Fund Adjuster'!T$24,Exogenous!T$7)</f>
        <v>0.23306419068966891</v>
      </c>
      <c r="N349" s="7">
        <f ca="1">IF(N$6=OFFSET(Assumptions!$B$8,0,$C$1),AVERAGE(K$349/(K$347-K$349+K$350),L$349/(L$347-L$349+L$350),M$349/(M$347-M$349+M$350)),M$349/(M$347-IF($C$3="Yes",'NZS Fund Adjuster'!T$25,Exogenous!T$10)-M$349+M$350))*IF($C$3="Yes",'NZS Fund Adjuster'!U$21-'NZS Fund Adjuster'!U$23+'NZS Fund Adjuster'!U$24,Exogenous!U$7)</f>
        <v>0.25967070026451827</v>
      </c>
      <c r="O349" s="7">
        <f ca="1">IF(O$6=OFFSET(Assumptions!$B$8,0,$C$1),AVERAGE(L$349/(L$347-L$349+L$350),M$349/(M$347-M$349+M$350),N$349/(N$347-N$349+N$350)),N$349/(N$347-IF($C$3="Yes",'NZS Fund Adjuster'!U$25,Exogenous!U$10)-N$349+N$350))*IF($C$3="Yes",'NZS Fund Adjuster'!V$21-'NZS Fund Adjuster'!V$23+'NZS Fund Adjuster'!V$24,Exogenous!V$7)</f>
        <v>0.28772883174901842</v>
      </c>
      <c r="P349" s="7">
        <f ca="1">IF(P$6=OFFSET(Assumptions!$B$8,0,$C$1),AVERAGE(M$349/(M$347-M$349+M$350),N$349/(N$347-N$349+N$350),O$349/(O$347-O$349+O$350)),O$349/(O$347-IF($C$3="Yes",'NZS Fund Adjuster'!V$25,Exogenous!V$10)-O$349+O$350))*IF($C$3="Yes",'NZS Fund Adjuster'!W$21-'NZS Fund Adjuster'!W$23+'NZS Fund Adjuster'!W$24,Exogenous!W$7)</f>
        <v>0.3151090483299861</v>
      </c>
      <c r="Q349" s="7">
        <f ca="1">IF(Q$6=OFFSET(Assumptions!$B$8,0,$C$1),AVERAGE(N$349/(N$347-N$349+N$350),O$349/(O$347-O$349+O$350),P$349/(P$347-P$349+P$350)),P$349/(P$347-IF($C$3="Yes",'NZS Fund Adjuster'!W$25,Exogenous!W$10)-P$349+P$350))*IF($C$3="Yes",'NZS Fund Adjuster'!X$21-'NZS Fund Adjuster'!X$23+'NZS Fund Adjuster'!X$24,Exogenous!X$7)</f>
        <v>0.33688417750952238</v>
      </c>
      <c r="R349" s="7">
        <f ca="1">IF(R$6=OFFSET(Assumptions!$B$8,0,$C$1),AVERAGE(O$349/(O$347-O$349+O$350),P$349/(P$347-P$349+P$350),Q$349/(Q$347-Q$349+Q$350)),Q$349/(Q$347-IF($C$3="Yes",'NZS Fund Adjuster'!X$25,Exogenous!X$10)-Q$349+Q$350))*IF($C$3="Yes",'NZS Fund Adjuster'!Y$21-'NZS Fund Adjuster'!Y$23+'NZS Fund Adjuster'!Y$24,Exogenous!Y$7)</f>
        <v>0.35841635982851355</v>
      </c>
      <c r="S349" s="7">
        <f ca="1">IF(S$6=OFFSET(Assumptions!$B$8,0,$C$1),AVERAGE(P$349/(P$347-P$349+P$350),Q$349/(Q$347-Q$349+Q$350),R$349/(R$347-R$349+R$350)),R$349/(R$347-IF($C$3="Yes",'NZS Fund Adjuster'!Y$25,Exogenous!Y$10)-R$349+R$350))*IF($C$3="Yes",'NZS Fund Adjuster'!Z$21-'NZS Fund Adjuster'!Z$23+'NZS Fund Adjuster'!Z$24,Exogenous!Z$7)</f>
        <v>0.37978381122813876</v>
      </c>
      <c r="T349" s="7">
        <f ca="1">IF(T$6=OFFSET(Assumptions!$B$8,0,$C$1),AVERAGE(Q$349/(Q$347-Q$349+Q$350),R$349/(R$347-R$349+R$350),S$349/(S$347-S$349+S$350)),S$349/(S$347-IF($C$3="Yes",'NZS Fund Adjuster'!Z$25,Exogenous!Z$10)-S$349+S$350))*IF($C$3="Yes",'NZS Fund Adjuster'!AA$21-'NZS Fund Adjuster'!AA$23+'NZS Fund Adjuster'!AA$24,Exogenous!AA$7)</f>
        <v>0.40107068770808307</v>
      </c>
    </row>
    <row r="350" spans="1:20" x14ac:dyDescent="0.2">
      <c r="A350" s="1" t="s">
        <v>396</v>
      </c>
      <c r="B350" s="4" t="str">
        <f t="shared" si="146"/>
        <v>From Fiscal</v>
      </c>
      <c r="D350" s="15">
        <f>'Fiscal Forecasts'!D$338</f>
        <v>3.1560000000000001</v>
      </c>
      <c r="E350" s="15">
        <f>'Fiscal Forecasts'!E$338</f>
        <v>-7.5999999999999998E-2</v>
      </c>
      <c r="F350" s="16">
        <f>IF($C$3="Yes",'NZS Fund Adjuster'!M$24,'Fiscal Forecasts'!F$338)</f>
        <v>5.5069999999999997</v>
      </c>
      <c r="G350" s="16">
        <f>IF($C$3="Yes",'NZS Fund Adjuster'!N$24,'Fiscal Forecasts'!G$338)</f>
        <v>2.3650000000000002</v>
      </c>
      <c r="H350" s="16">
        <f>IF($C$3="Yes",'NZS Fund Adjuster'!O$24,'Fiscal Forecasts'!H$338)</f>
        <v>2.5259999999999998</v>
      </c>
      <c r="I350" s="16">
        <f>IF($C$3="Yes",'NZS Fund Adjuster'!P$24,'Fiscal Forecasts'!I$338)</f>
        <v>2.6989999999999998</v>
      </c>
      <c r="J350" s="16">
        <f>IF($C$3="Yes",'NZS Fund Adjuster'!Q$24,'Fiscal Forecasts'!J$338)</f>
        <v>2.883</v>
      </c>
      <c r="K350" s="7">
        <f ca="1">IF(K$6=OFFSET(Assumptions!$B$8,0,$C$1),AVERAGE(H$350/(H$347-H$349+H$350),I$350/(I$347-I$349+I$350),J$350/(J$347-J$349+J$350)),J$350/(J$347-IF($C$3="Yes",'NZS Fund Adjuster'!Q$25,Exogenous!Q$10)-J$349+J$350))*IF($C$3="Yes",'NZS Fund Adjuster'!R$21-'NZS Fund Adjuster'!R$23+'NZS Fund Adjuster'!R$24,Exogenous!R$7)</f>
        <v>2.5409417921179696</v>
      </c>
      <c r="L350" s="7">
        <f ca="1">IF(L$6=OFFSET(Assumptions!$B$8,0,$C$1),AVERAGE(I$350/(I$347-I$349+I$350),J$350/(J$347-J$349+J$350),K$350/(K$347-K$349+K$350)),K$350/(K$347-IF($C$3="Yes",'NZS Fund Adjuster'!R$25,Exogenous!R$10)-K$349+K$350))*IF($C$3="Yes",'NZS Fund Adjuster'!S$21-'NZS Fund Adjuster'!S$23+'NZS Fund Adjuster'!S$24,Exogenous!S$7)</f>
        <v>2.8660782341780489</v>
      </c>
      <c r="M350" s="7">
        <f ca="1">IF(M$6=OFFSET(Assumptions!$B$8,0,$C$1),AVERAGE(J$350/(J$347-J$349+J$350),K$350/(K$347-K$349+K$350),L$350/(L$347-L$349+L$350)),L$350/(L$347-IF($C$3="Yes",'NZS Fund Adjuster'!S$25,Exogenous!S$10)-L$349+L$350))*IF($C$3="Yes",'NZS Fund Adjuster'!T$21-'NZS Fund Adjuster'!T$23+'NZS Fund Adjuster'!T$24,Exogenous!T$7)</f>
        <v>3.2123081867182091</v>
      </c>
      <c r="N350" s="7">
        <f ca="1">IF(N$6=OFFSET(Assumptions!$B$8,0,$C$1),AVERAGE(K$350/(K$347-K$349+K$350),L$350/(L$347-L$349+L$350),M$350/(M$347-M$349+M$350)),M$350/(M$347-IF($C$3="Yes",'NZS Fund Adjuster'!T$25,Exogenous!T$10)-M$349+M$350))*IF($C$3="Yes",'NZS Fund Adjuster'!U$21-'NZS Fund Adjuster'!U$23+'NZS Fund Adjuster'!U$24,Exogenous!U$7)</f>
        <v>3.5790239326008026</v>
      </c>
      <c r="O350" s="7">
        <f ca="1">IF(O$6=OFFSET(Assumptions!$B$8,0,$C$1),AVERAGE(L$350/(L$347-L$349+L$350),M$350/(M$347-M$349+M$350),N$350/(N$347-N$349+N$350)),N$350/(N$347-IF($C$3="Yes",'NZS Fund Adjuster'!U$25,Exogenous!U$10)-N$349+N$350))*IF($C$3="Yes",'NZS Fund Adjuster'!V$21-'NZS Fund Adjuster'!V$23+'NZS Fund Adjuster'!V$24,Exogenous!V$7)</f>
        <v>3.9657472863900085</v>
      </c>
      <c r="P350" s="7">
        <f ca="1">IF(P$6=OFFSET(Assumptions!$B$8,0,$C$1),AVERAGE(M$350/(M$347-M$349+M$350),N$350/(N$347-N$349+N$350),O$350/(O$347-O$349+O$350)),O$350/(O$347-IF($C$3="Yes",'NZS Fund Adjuster'!V$25,Exogenous!V$10)-O$349+O$350))*IF($C$3="Yes",'NZS Fund Adjuster'!W$21-'NZS Fund Adjuster'!W$23+'NZS Fund Adjuster'!W$24,Exogenous!W$7)</f>
        <v>4.3431269843045319</v>
      </c>
      <c r="Q350" s="7">
        <f ca="1">IF(Q$6=OFFSET(Assumptions!$B$8,0,$C$1),AVERAGE(N$350/(N$347-N$349+N$350),O$350/(O$347-O$349+O$350),P$350/(P$347-P$349+P$350)),P$350/(P$347-IF($C$3="Yes",'NZS Fund Adjuster'!W$25,Exogenous!W$10)-P$349+P$350))*IF($C$3="Yes",'NZS Fund Adjuster'!X$21-'NZS Fund Adjuster'!X$23+'NZS Fund Adjuster'!X$24,Exogenous!X$7)</f>
        <v>4.6432521366210837</v>
      </c>
      <c r="R350" s="7">
        <f ca="1">IF(R$6=OFFSET(Assumptions!$B$8,0,$C$1),AVERAGE(O$350/(O$347-O$349+O$350),P$350/(P$347-P$349+P$350),Q$350/(Q$347-Q$349+Q$350)),Q$350/(Q$347-IF($C$3="Yes",'NZS Fund Adjuster'!X$25,Exogenous!X$10)-Q$349+Q$350))*IF($C$3="Yes",'NZS Fund Adjuster'!Y$21-'NZS Fund Adjuster'!Y$23+'NZS Fund Adjuster'!Y$24,Exogenous!Y$7)</f>
        <v>4.9400287685718212</v>
      </c>
      <c r="S350" s="7">
        <f ca="1">IF(S$6=OFFSET(Assumptions!$B$8,0,$C$1),AVERAGE(P$350/(P$347-P$349+P$350),Q$350/(Q$347-Q$349+Q$350),R$350/(R$347-R$349+R$350)),R$350/(R$347-IF($C$3="Yes",'NZS Fund Adjuster'!Y$25,Exogenous!Y$10)-R$349+R$350))*IF($C$3="Yes",'NZS Fund Adjuster'!Z$21-'NZS Fund Adjuster'!Z$23+'NZS Fund Adjuster'!Z$24,Exogenous!Z$7)</f>
        <v>5.2345349252542688</v>
      </c>
      <c r="T350" s="7">
        <f ca="1">IF(T$6=OFFSET(Assumptions!$B$8,0,$C$1),AVERAGE(Q$350/(Q$347-Q$349+Q$350),R$350/(R$347-R$349+R$350),S$350/(S$347-S$349+S$350)),S$350/(S$347-IF($C$3="Yes",'NZS Fund Adjuster'!Z$25,Exogenous!Z$10)-S$349+S$350))*IF($C$3="Yes",'NZS Fund Adjuster'!AA$21-'NZS Fund Adjuster'!AA$23+'NZS Fund Adjuster'!AA$24,Exogenous!AA$7)</f>
        <v>5.5279305231959288</v>
      </c>
    </row>
    <row r="351" spans="1:20" ht="15" x14ac:dyDescent="0.25">
      <c r="A351" s="2" t="s">
        <v>530</v>
      </c>
      <c r="D351" s="35">
        <f t="shared" ref="D351:J351" si="147">SUM(D$347,D$350)-SUM(D$348,D$349)</f>
        <v>3.6720000000000006</v>
      </c>
      <c r="E351" s="35">
        <f t="shared" si="147"/>
        <v>2.6000000000000023E-2</v>
      </c>
      <c r="F351" s="34">
        <f t="shared" si="147"/>
        <v>4.9779999999999998</v>
      </c>
      <c r="G351" s="34">
        <f t="shared" si="147"/>
        <v>2.2839999999999998</v>
      </c>
      <c r="H351" s="34">
        <f t="shared" si="147"/>
        <v>2.4459999999999997</v>
      </c>
      <c r="I351" s="34">
        <f t="shared" si="147"/>
        <v>2.6169999999999995</v>
      </c>
      <c r="J351" s="34">
        <f t="shared" si="147"/>
        <v>2.7990000000000004</v>
      </c>
      <c r="K351" s="38">
        <f ca="1">SUM(K$347,-K$348,-K$349,K$350)</f>
        <v>2.4946068292690531</v>
      </c>
      <c r="L351" s="38">
        <f t="shared" ref="L351:T351" ca="1" si="148">SUM(L$347,-L$348,-L$349,L$350)</f>
        <v>2.8138142945180871</v>
      </c>
      <c r="M351" s="38">
        <f t="shared" ca="1" si="148"/>
        <v>3.1537306227013673</v>
      </c>
      <c r="N351" s="38">
        <f t="shared" ca="1" si="148"/>
        <v>3.5137591786159375</v>
      </c>
      <c r="O351" s="38">
        <f t="shared" ca="1" si="148"/>
        <v>3.8934304967047524</v>
      </c>
      <c r="P351" s="38">
        <f t="shared" ca="1" si="148"/>
        <v>4.2639285437538188</v>
      </c>
      <c r="Q351" s="38">
        <f t="shared" ca="1" si="148"/>
        <v>4.5585808088811595</v>
      </c>
      <c r="R351" s="38">
        <f t="shared" ca="1" si="148"/>
        <v>4.8499456150834597</v>
      </c>
      <c r="S351" s="38">
        <f t="shared" ca="1" si="148"/>
        <v>5.1390813489286007</v>
      </c>
      <c r="T351" s="38">
        <f t="shared" ca="1" si="148"/>
        <v>5.4271267754602617</v>
      </c>
    </row>
    <row r="352" spans="1:20" x14ac:dyDescent="0.2">
      <c r="A352" s="1" t="s">
        <v>531</v>
      </c>
      <c r="B352" s="4" t="str">
        <f t="shared" si="146"/>
        <v>From Fiscal</v>
      </c>
      <c r="D352" s="15">
        <f>'Fiscal Forecasts'!D$339</f>
        <v>0</v>
      </c>
      <c r="E352" s="15">
        <f>'Fiscal Forecasts'!E$339</f>
        <v>0</v>
      </c>
      <c r="F352" s="16">
        <f>IF($C$3="Yes",'NZS Fund Adjuster'!M$20,'Fiscal Forecasts'!F$339)</f>
        <v>0</v>
      </c>
      <c r="G352" s="16">
        <f>IF($C$3="Yes",'NZS Fund Adjuster'!N$20,'Fiscal Forecasts'!G$339)</f>
        <v>0</v>
      </c>
      <c r="H352" s="16">
        <f>IF($C$3="Yes",'NZS Fund Adjuster'!O$20,'Fiscal Forecasts'!H$339)</f>
        <v>0</v>
      </c>
      <c r="I352" s="16">
        <f>IF($C$3="Yes",'NZS Fund Adjuster'!P$20,'Fiscal Forecasts'!I$339)</f>
        <v>0</v>
      </c>
      <c r="J352" s="16">
        <f>IF($C$3="Yes",'NZS Fund Adjuster'!Q$20,'Fiscal Forecasts'!J$339)</f>
        <v>2.1840000000000002</v>
      </c>
      <c r="K352" s="7">
        <f>IF($C$3="Yes",'NZS Fund Adjuster'!R$20,Exogenous!R$9)</f>
        <v>2.17</v>
      </c>
      <c r="L352" s="7">
        <f>IF($C$3="Yes",'NZS Fund Adjuster'!S$20,Exogenous!S$9)</f>
        <v>2</v>
      </c>
      <c r="M352" s="7">
        <f>IF($C$3="Yes",'NZS Fund Adjuster'!T$20,Exogenous!T$9)</f>
        <v>1.768</v>
      </c>
      <c r="N352" s="7">
        <f>IF($C$3="Yes",'NZS Fund Adjuster'!U$20,Exogenous!U$9)</f>
        <v>1.518</v>
      </c>
      <c r="O352" s="7">
        <f>IF($C$3="Yes",'NZS Fund Adjuster'!V$20,Exogenous!V$9)</f>
        <v>1.212</v>
      </c>
      <c r="P352" s="7">
        <f>IF($C$3="Yes",'NZS Fund Adjuster'!W$20,Exogenous!W$9)</f>
        <v>0.873</v>
      </c>
      <c r="Q352" s="7">
        <f>IF($C$3="Yes",'NZS Fund Adjuster'!X$20,Exogenous!X$9)</f>
        <v>0.52100000000000002</v>
      </c>
      <c r="R352" s="7">
        <f>IF($C$3="Yes",'NZS Fund Adjuster'!Y$20,Exogenous!Y$9)</f>
        <v>0.17299999999999999</v>
      </c>
      <c r="S352" s="7">
        <f>IF($C$3="Yes",'NZS Fund Adjuster'!Z$20,Exogenous!Z$9)</f>
        <v>-0.13500000000000001</v>
      </c>
      <c r="T352" s="7">
        <f>IF($C$3="Yes",'NZS Fund Adjuster'!AA$20,Exogenous!AA$9)</f>
        <v>-0.442</v>
      </c>
    </row>
    <row r="353" spans="1:21" x14ac:dyDescent="0.2">
      <c r="A353" s="1" t="s">
        <v>86</v>
      </c>
      <c r="B353" s="4" t="str">
        <f t="shared" si="146"/>
        <v>From Fiscal</v>
      </c>
      <c r="D353" s="15">
        <f>'Fiscal Forecasts'!D$340</f>
        <v>4.1000000000000002E-2</v>
      </c>
      <c r="E353" s="15">
        <f>'Fiscal Forecasts'!E$340</f>
        <v>-2.1000000000000001E-2</v>
      </c>
      <c r="F353" s="16">
        <f>IF($C$3="Yes",'NZS Fund Adjuster'!M$25,'Fiscal Forecasts'!F$340)</f>
        <v>6.0000000000000001E-3</v>
      </c>
      <c r="G353" s="16">
        <f>IF($C$3="Yes",'NZS Fund Adjuster'!N$25,'Fiscal Forecasts'!G$340)</f>
        <v>2.3E-2</v>
      </c>
      <c r="H353" s="16">
        <f>IF($C$3="Yes",'NZS Fund Adjuster'!O$25,'Fiscal Forecasts'!H$340)</f>
        <v>2.7E-2</v>
      </c>
      <c r="I353" s="16">
        <f>IF($C$3="Yes",'NZS Fund Adjuster'!P$25,'Fiscal Forecasts'!I$340)</f>
        <v>3.1E-2</v>
      </c>
      <c r="J353" s="16">
        <f>IF($C$3="Yes",'NZS Fund Adjuster'!Q$25,'Fiscal Forecasts'!J$340)</f>
        <v>3.6999999999999998E-2</v>
      </c>
      <c r="K353" s="7">
        <f ca="1">IF(K$6=OFFSET(Assumptions!$B$8,0,$C$1),0,J$353)</f>
        <v>0</v>
      </c>
      <c r="L353" s="7">
        <f ca="1">IF(L$6=OFFSET(Assumptions!$B$8,0,$C$1),0,K$353)</f>
        <v>0</v>
      </c>
      <c r="M353" s="7">
        <f ca="1">IF(M$6=OFFSET(Assumptions!$B$8,0,$C$1),0,L$353)</f>
        <v>0</v>
      </c>
      <c r="N353" s="7">
        <f ca="1">IF(N$6=OFFSET(Assumptions!$B$8,0,$C$1),0,M$353)</f>
        <v>0</v>
      </c>
      <c r="O353" s="7">
        <f ca="1">IF(O$6=OFFSET(Assumptions!$B$8,0,$C$1),0,N$353)</f>
        <v>0</v>
      </c>
      <c r="P353" s="7">
        <f ca="1">IF(P$6=OFFSET(Assumptions!$B$8,0,$C$1),0,O$353)</f>
        <v>0</v>
      </c>
      <c r="Q353" s="7">
        <f ca="1">IF(Q$6=OFFSET(Assumptions!$B$8,0,$C$1),0,P$353)</f>
        <v>0</v>
      </c>
      <c r="R353" s="7">
        <f ca="1">IF(R$6=OFFSET(Assumptions!$B$8,0,$C$1),0,Q$353)</f>
        <v>0</v>
      </c>
      <c r="S353" s="7">
        <f ca="1">IF(S$6=OFFSET(Assumptions!$B$8,0,$C$1),0,R$353)</f>
        <v>0</v>
      </c>
      <c r="T353" s="7">
        <f ca="1">IF(T$6=OFFSET(Assumptions!$B$8,0,$C$1),0,S$353)</f>
        <v>0</v>
      </c>
    </row>
    <row r="354" spans="1:21" ht="15" x14ac:dyDescent="0.25">
      <c r="A354" s="2" t="s">
        <v>389</v>
      </c>
      <c r="C354" s="61">
        <f>'Fiscal Forecasts'!C$341</f>
        <v>25.809000000000001</v>
      </c>
      <c r="D354" s="35">
        <f t="shared" ref="D354:T354" si="149">SUM(C$354,D$351:D$353)</f>
        <v>29.522000000000002</v>
      </c>
      <c r="E354" s="35">
        <f t="shared" si="149"/>
        <v>29.527000000000001</v>
      </c>
      <c r="F354" s="34">
        <f t="shared" si="149"/>
        <v>34.511000000000003</v>
      </c>
      <c r="G354" s="34">
        <f t="shared" si="149"/>
        <v>36.818000000000005</v>
      </c>
      <c r="H354" s="34">
        <f t="shared" si="149"/>
        <v>39.291000000000004</v>
      </c>
      <c r="I354" s="34">
        <f t="shared" si="149"/>
        <v>41.939</v>
      </c>
      <c r="J354" s="34">
        <f t="shared" si="149"/>
        <v>46.958999999999996</v>
      </c>
      <c r="K354" s="38">
        <f t="shared" ca="1" si="149"/>
        <v>51.62360682926905</v>
      </c>
      <c r="L354" s="38">
        <f t="shared" ca="1" si="149"/>
        <v>56.437421123787139</v>
      </c>
      <c r="M354" s="38">
        <f t="shared" ca="1" si="149"/>
        <v>61.359151746488507</v>
      </c>
      <c r="N354" s="38">
        <f t="shared" ca="1" si="149"/>
        <v>66.39091092510445</v>
      </c>
      <c r="O354" s="38">
        <f t="shared" ca="1" si="149"/>
        <v>71.496341421809205</v>
      </c>
      <c r="P354" s="38">
        <f t="shared" ca="1" si="149"/>
        <v>76.633269965563031</v>
      </c>
      <c r="Q354" s="38">
        <f t="shared" ca="1" si="149"/>
        <v>81.712850774444192</v>
      </c>
      <c r="R354" s="38">
        <f t="shared" ca="1" si="149"/>
        <v>86.73579638952765</v>
      </c>
      <c r="S354" s="38">
        <f t="shared" ca="1" si="149"/>
        <v>91.739877738456244</v>
      </c>
      <c r="T354" s="38">
        <f t="shared" ca="1" si="149"/>
        <v>96.725004513916517</v>
      </c>
    </row>
    <row r="355" spans="1:21" x14ac:dyDescent="0.2">
      <c r="A355" s="4" t="s">
        <v>534</v>
      </c>
    </row>
    <row r="356" spans="1:21" x14ac:dyDescent="0.2">
      <c r="A356" s="1" t="s">
        <v>390</v>
      </c>
      <c r="B356" s="4" t="str">
        <f t="shared" ref="B356:B361" si="150">$B$38</f>
        <v>From Fiscal</v>
      </c>
      <c r="D356" s="15">
        <f>'Fiscal Forecasts'!D$342</f>
        <v>31.274000000000001</v>
      </c>
      <c r="E356" s="15">
        <f>'Fiscal Forecasts'!E$342</f>
        <v>30.561</v>
      </c>
      <c r="F356" s="16">
        <f>IF($C$3="Yes",ROUND(F$354*'Fiscal Forecasts'!F$342/SUM('Fiscal Forecasts'!F$342:F$344),3),'Fiscal Forecasts'!F$342)</f>
        <v>37.344999999999999</v>
      </c>
      <c r="G356" s="16">
        <f>IF($C$3="Yes",ROUND(G$354*'Fiscal Forecasts'!G$342/SUM('Fiscal Forecasts'!G$342:G$344),3),'Fiscal Forecasts'!G$342)</f>
        <v>37.420999999999999</v>
      </c>
      <c r="H356" s="16">
        <f>IF($C$3="Yes",ROUND(H$354*'Fiscal Forecasts'!H$342/SUM('Fiscal Forecasts'!H$342:H$344),3),'Fiscal Forecasts'!H$342)</f>
        <v>39.886000000000003</v>
      </c>
      <c r="I356" s="16">
        <f>IF($C$3="Yes",ROUND(I$354*'Fiscal Forecasts'!I$342/SUM('Fiscal Forecasts'!I$342:I$344),3),'Fiscal Forecasts'!I$342)</f>
        <v>42.527000000000001</v>
      </c>
      <c r="J356" s="16">
        <f>IF($C$3="Yes",ROUND(J$354*'Fiscal Forecasts'!J$342/SUM('Fiscal Forecasts'!J$342:J$344),3),'Fiscal Forecasts'!J$342)</f>
        <v>47.537999999999997</v>
      </c>
      <c r="K356" s="7">
        <f ca="1">SUM(K$316,K$322,K$329,K$338,K$361)</f>
        <v>51.813134714750859</v>
      </c>
      <c r="L356" s="7">
        <f t="shared" ref="L356:T356" ca="1" si="151">SUM(L$316,L$322,L$329,L$338,L$361)</f>
        <v>56.649514502395348</v>
      </c>
      <c r="M356" s="7">
        <f t="shared" ca="1" si="151"/>
        <v>61.600685464939332</v>
      </c>
      <c r="N356" s="7">
        <f t="shared" ca="1" si="151"/>
        <v>66.67318886186807</v>
      </c>
      <c r="O356" s="7">
        <f t="shared" ca="1" si="151"/>
        <v>71.833735988373746</v>
      </c>
      <c r="P356" s="7">
        <f t="shared" ca="1" si="151"/>
        <v>77.040817042550614</v>
      </c>
      <c r="Q356" s="7">
        <f t="shared" ca="1" si="151"/>
        <v>82.206134830220947</v>
      </c>
      <c r="R356" s="7">
        <f t="shared" ca="1" si="151"/>
        <v>87.326757759823209</v>
      </c>
      <c r="S356" s="7">
        <f t="shared" ca="1" si="151"/>
        <v>92.438079246530222</v>
      </c>
      <c r="T356" s="7">
        <f t="shared" ca="1" si="151"/>
        <v>97.541441222282302</v>
      </c>
    </row>
    <row r="357" spans="1:21" x14ac:dyDescent="0.2">
      <c r="A357" s="1" t="s">
        <v>535</v>
      </c>
      <c r="B357" s="4" t="str">
        <f t="shared" si="150"/>
        <v>From Fiscal</v>
      </c>
      <c r="D357" s="15">
        <f>-'Fiscal Forecasts'!D$343</f>
        <v>3.145</v>
      </c>
      <c r="E357" s="15">
        <f>-'Fiscal Forecasts'!E$343</f>
        <v>2.58</v>
      </c>
      <c r="F357" s="16">
        <f>IF($C$3="Yes",ROUND(F$354*(-'Fiscal Forecasts'!F$343)/SUM('Fiscal Forecasts'!F$342:F$344),3),-'Fiscal Forecasts'!F$343)</f>
        <v>4.6509999999999998</v>
      </c>
      <c r="G357" s="16">
        <f>IF($C$3="Yes",ROUND(G$354*(-'Fiscal Forecasts'!G$343)/SUM('Fiscal Forecasts'!G$342:G$344),3),-'Fiscal Forecasts'!G$343)</f>
        <v>2.48</v>
      </c>
      <c r="H357" s="16">
        <f>IF($C$3="Yes",ROUND(H$354*(-'Fiscal Forecasts'!H$343)/SUM('Fiscal Forecasts'!H$342:H$344),3),-'Fiscal Forecasts'!H$343)</f>
        <v>2.5339999999999998</v>
      </c>
      <c r="I357" s="16">
        <f>IF($C$3="Yes",ROUND(I$354*(-'Fiscal Forecasts'!I$343)/SUM('Fiscal Forecasts'!I$342:I$344),3),-'Fiscal Forecasts'!I$343)</f>
        <v>2.5910000000000002</v>
      </c>
      <c r="J357" s="16">
        <f>IF($C$3="Yes",ROUND(J$354*(-'Fiscal Forecasts'!J$343)/SUM('Fiscal Forecasts'!J$342:J$344),3),-'Fiscal Forecasts'!J$343)</f>
        <v>2.6509999999999998</v>
      </c>
      <c r="K357" s="7">
        <f t="shared" ref="K357:T357" ca="1" si="152">SUM(K$70,K$429)</f>
        <v>3.2934141056740573</v>
      </c>
      <c r="L357" s="7">
        <f t="shared" ca="1" si="152"/>
        <v>3.6026008953367308</v>
      </c>
      <c r="M357" s="7">
        <f t="shared" ca="1" si="152"/>
        <v>3.9245449198659057</v>
      </c>
      <c r="N357" s="7">
        <f t="shared" ca="1" si="152"/>
        <v>4.2640079106901903</v>
      </c>
      <c r="O357" s="7">
        <f t="shared" ca="1" si="152"/>
        <v>4.6219541135312632</v>
      </c>
      <c r="P357" s="7">
        <f t="shared" ca="1" si="152"/>
        <v>4.9965364983750309</v>
      </c>
      <c r="Q357" s="7">
        <f t="shared" ca="1" si="152"/>
        <v>5.3831533304646619</v>
      </c>
      <c r="R357" s="7">
        <f t="shared" ca="1" si="152"/>
        <v>5.7779920719109086</v>
      </c>
      <c r="S357" s="7">
        <f t="shared" ca="1" si="152"/>
        <v>6.1808496668229678</v>
      </c>
      <c r="T357" s="7">
        <f t="shared" ca="1" si="152"/>
        <v>6.5932441882894661</v>
      </c>
    </row>
    <row r="358" spans="1:21" x14ac:dyDescent="0.2">
      <c r="A358" s="1" t="s">
        <v>392</v>
      </c>
      <c r="B358" s="4" t="str">
        <f t="shared" si="150"/>
        <v>From Fiscal</v>
      </c>
      <c r="D358" s="15">
        <f>'Fiscal Forecasts'!D$344</f>
        <v>1.393</v>
      </c>
      <c r="E358" s="15">
        <f>'Fiscal Forecasts'!E$344</f>
        <v>1.546</v>
      </c>
      <c r="F358" s="16">
        <f>IF($C$3="Yes",F$354-(F$356-F$357),'Fiscal Forecasts'!F$344)</f>
        <v>1.8169999999999999</v>
      </c>
      <c r="G358" s="16">
        <f>IF($C$3="Yes",G$354-(G$356-G$357),'Fiscal Forecasts'!G$344)</f>
        <v>1.877</v>
      </c>
      <c r="H358" s="16">
        <f>IF($C$3="Yes",H$354-(H$356-H$357),'Fiscal Forecasts'!H$344)</f>
        <v>1.9390000000000001</v>
      </c>
      <c r="I358" s="16">
        <f>IF($C$3="Yes",I$354-(I$356-I$357),'Fiscal Forecasts'!I$344)</f>
        <v>2.0030000000000001</v>
      </c>
      <c r="J358" s="16">
        <f>IF($C$3="Yes",J$354-(J$356-J$357),'Fiscal Forecasts'!J$344)</f>
        <v>2.0720000000000001</v>
      </c>
      <c r="K358" s="7">
        <f ca="1">SUM(K$387,K$401)</f>
        <v>3.1038862201922415</v>
      </c>
      <c r="L358" s="7">
        <f t="shared" ref="L358:T358" ca="1" si="153">SUM(L$387,L$401)</f>
        <v>3.3905075167285301</v>
      </c>
      <c r="M358" s="7">
        <f t="shared" ca="1" si="153"/>
        <v>3.6830112014150771</v>
      </c>
      <c r="N358" s="7">
        <f t="shared" ca="1" si="153"/>
        <v>3.9817299739265613</v>
      </c>
      <c r="O358" s="7">
        <f t="shared" ca="1" si="153"/>
        <v>4.2845595469667117</v>
      </c>
      <c r="P358" s="7">
        <f t="shared" ca="1" si="153"/>
        <v>4.5889894213874607</v>
      </c>
      <c r="Q358" s="7">
        <f t="shared" ca="1" si="153"/>
        <v>4.8898692746879124</v>
      </c>
      <c r="R358" s="7">
        <f t="shared" ca="1" si="153"/>
        <v>5.1870307016153401</v>
      </c>
      <c r="S358" s="7">
        <f t="shared" ca="1" si="153"/>
        <v>5.4826481587489999</v>
      </c>
      <c r="T358" s="7">
        <f t="shared" ca="1" si="153"/>
        <v>5.7768074799236793</v>
      </c>
    </row>
    <row r="359" spans="1:21" x14ac:dyDescent="0.2">
      <c r="B359" s="4"/>
    </row>
    <row r="360" spans="1:21" x14ac:dyDescent="0.2">
      <c r="A360" s="19" t="s">
        <v>223</v>
      </c>
      <c r="B360" s="4"/>
      <c r="D360" s="15"/>
      <c r="E360" s="15"/>
      <c r="F360" s="16"/>
      <c r="G360" s="16"/>
      <c r="H360" s="16"/>
      <c r="I360" s="16"/>
      <c r="J360" s="16"/>
      <c r="K360" s="16"/>
      <c r="L360" s="16"/>
      <c r="M360" s="16"/>
      <c r="N360" s="16"/>
      <c r="O360" s="16"/>
      <c r="P360" s="16"/>
      <c r="Q360" s="16"/>
      <c r="R360" s="16"/>
      <c r="S360" s="16"/>
      <c r="T360" s="16"/>
      <c r="U360" s="16"/>
    </row>
    <row r="361" spans="1:21" x14ac:dyDescent="0.2">
      <c r="A361" s="1" t="s">
        <v>612</v>
      </c>
      <c r="B361" s="4" t="str">
        <f t="shared" si="150"/>
        <v>From Fiscal</v>
      </c>
      <c r="D361" s="15">
        <f>'Fiscal Forecasts'!D$172-D$74</f>
        <v>0.96799999999999997</v>
      </c>
      <c r="E361" s="15">
        <f>'Fiscal Forecasts'!E$172-E$74</f>
        <v>1.375</v>
      </c>
      <c r="F361" s="16">
        <f>'Fiscal Forecasts'!F$172-F$74</f>
        <v>0.99300000000000033</v>
      </c>
      <c r="G361" s="16">
        <f>'Fiscal Forecasts'!G$172-G$74</f>
        <v>0.99399999999999977</v>
      </c>
      <c r="H361" s="16">
        <f>'Fiscal Forecasts'!H$172-H$74</f>
        <v>0.99400000000000155</v>
      </c>
      <c r="I361" s="16">
        <f>'Fiscal Forecasts'!I$172-I$74</f>
        <v>0.99399999999999977</v>
      </c>
      <c r="J361" s="16">
        <f>'Fiscal Forecasts'!J$172-J$74</f>
        <v>0.99399999999999977</v>
      </c>
      <c r="K361" s="7">
        <f ca="1">OFFSET(Assumptions!$B$71,0,$C$1)/SUM(OFFSET(Assumptions!$B$68,0,$C$1,6,1))*SUM(K$354,K$70,-K$322,K$429)</f>
        <v>1.0346287400640803</v>
      </c>
      <c r="L361" s="7">
        <f ca="1">OFFSET(Assumptions!$B$71,0,$C$1)/SUM(OFFSET(Assumptions!$B$68,0,$C$1,6,1))*SUM(L$354,L$70,-L$322,L$429)</f>
        <v>1.1301691722428433</v>
      </c>
      <c r="M361" s="7">
        <f ca="1">OFFSET(Assumptions!$B$71,0,$C$1)/SUM(OFFSET(Assumptions!$B$68,0,$C$1,6,1))*SUM(M$354,M$70,-M$322,M$429)</f>
        <v>1.2276704004716925</v>
      </c>
      <c r="N361" s="7">
        <f ca="1">OFFSET(Assumptions!$B$71,0,$C$1)/SUM(OFFSET(Assumptions!$B$68,0,$C$1,6,1))*SUM(N$354,N$70,-N$322,N$429)</f>
        <v>1.3272433246421871</v>
      </c>
      <c r="O361" s="7">
        <f ca="1">OFFSET(Assumptions!$B$71,0,$C$1)/SUM(OFFSET(Assumptions!$B$68,0,$C$1,6,1))*SUM(O$354,O$70,-O$322,O$429)</f>
        <v>1.4281865156555704</v>
      </c>
      <c r="P361" s="7">
        <f ca="1">OFFSET(Assumptions!$B$71,0,$C$1)/SUM(OFFSET(Assumptions!$B$68,0,$C$1,6,1))*SUM(P$354,P$70,-P$322,P$429)</f>
        <v>1.529663140462487</v>
      </c>
      <c r="Q361" s="7">
        <f ca="1">OFFSET(Assumptions!$B$71,0,$C$1)/SUM(OFFSET(Assumptions!$B$68,0,$C$1,6,1))*SUM(Q$354,Q$70,-Q$322,Q$429)</f>
        <v>1.6299564248959708</v>
      </c>
      <c r="R361" s="7">
        <f ca="1">OFFSET(Assumptions!$B$71,0,$C$1)/SUM(OFFSET(Assumptions!$B$68,0,$C$1,6,1))*SUM(R$354,R$70,-R$322,R$429)</f>
        <v>1.7290102338717801</v>
      </c>
      <c r="S361" s="7">
        <f ca="1">OFFSET(Assumptions!$B$71,0,$C$1)/SUM(OFFSET(Assumptions!$B$68,0,$C$1,6,1))*SUM(S$354,S$70,-S$322,S$429)</f>
        <v>1.8275493862496666</v>
      </c>
      <c r="T361" s="7">
        <f ca="1">OFFSET(Assumptions!$B$71,0,$C$1)/SUM(OFFSET(Assumptions!$B$68,0,$C$1,6,1))*SUM(T$354,T$70,-T$322,T$429)</f>
        <v>1.925602493307893</v>
      </c>
    </row>
    <row r="362" spans="1:21" x14ac:dyDescent="0.2">
      <c r="A362" s="1" t="s">
        <v>524</v>
      </c>
      <c r="B362" s="4"/>
      <c r="D362" s="15">
        <f t="shared" ref="D362:T362" si="154">D$376</f>
        <v>8.8639999999999972</v>
      </c>
      <c r="E362" s="15">
        <f t="shared" si="154"/>
        <v>8.9819999999999958</v>
      </c>
      <c r="F362" s="16">
        <f t="shared" si="154"/>
        <v>9.1969999999999956</v>
      </c>
      <c r="G362" s="16">
        <f t="shared" si="154"/>
        <v>9.2289999999999957</v>
      </c>
      <c r="H362" s="16">
        <f t="shared" si="154"/>
        <v>9.1779999999999955</v>
      </c>
      <c r="I362" s="16">
        <f t="shared" si="154"/>
        <v>9.0459999999999958</v>
      </c>
      <c r="J362" s="16">
        <f t="shared" si="154"/>
        <v>8.8279999999999959</v>
      </c>
      <c r="K362" s="7">
        <f t="shared" si="154"/>
        <v>8.8049999999999962</v>
      </c>
      <c r="L362" s="7">
        <f t="shared" si="154"/>
        <v>8.8079999999999981</v>
      </c>
      <c r="M362" s="7">
        <f t="shared" si="154"/>
        <v>8.8079999999999963</v>
      </c>
      <c r="N362" s="7">
        <f t="shared" si="154"/>
        <v>8.8029999999999955</v>
      </c>
      <c r="O362" s="7">
        <f t="shared" si="154"/>
        <v>8.7939999999999952</v>
      </c>
      <c r="P362" s="7">
        <f t="shared" si="154"/>
        <v>8.7939999999999952</v>
      </c>
      <c r="Q362" s="7">
        <f t="shared" si="154"/>
        <v>8.7899999999999938</v>
      </c>
      <c r="R362" s="7">
        <f t="shared" si="154"/>
        <v>8.7879999999999914</v>
      </c>
      <c r="S362" s="7">
        <f t="shared" si="154"/>
        <v>8.7829999999999906</v>
      </c>
      <c r="T362" s="7">
        <f t="shared" si="154"/>
        <v>8.7719999999999896</v>
      </c>
    </row>
    <row r="363" spans="1:21" x14ac:dyDescent="0.2">
      <c r="A363" s="1" t="s">
        <v>613</v>
      </c>
      <c r="B363" s="4"/>
      <c r="D363" s="15">
        <f t="shared" ref="D363:J363" si="155">D$74-D$376</f>
        <v>5.2760000000000034</v>
      </c>
      <c r="E363" s="15">
        <f t="shared" si="155"/>
        <v>5.6300000000000043</v>
      </c>
      <c r="F363" s="16">
        <f t="shared" si="155"/>
        <v>2.8430000000000035</v>
      </c>
      <c r="G363" s="16">
        <f t="shared" si="155"/>
        <v>3.0560000000000045</v>
      </c>
      <c r="H363" s="16">
        <f t="shared" si="155"/>
        <v>3.2560000000000038</v>
      </c>
      <c r="I363" s="16">
        <f t="shared" si="155"/>
        <v>3.3220000000000045</v>
      </c>
      <c r="J363" s="16">
        <f t="shared" si="155"/>
        <v>3.464000000000004</v>
      </c>
      <c r="K363" s="7">
        <f ca="1">(J$363/J$13+ IF(K$2&gt;0,K$2*IF(K$6=OFFSET(Assumptions!$B$8,0,$C$1),SUMPRODUCT(OFFSET(J$363,0,0,1,-OFFSET(Assumptions!$B$82,0,$C$1)),OFFSET(J$15,0,0,1,-OFFSET(Assumptions!$B$82,0,$C$1)))/OFFSET(Assumptions!$B$82,0,$C$1)-J$363/J$13,(J$363/J$13-I$363/I$13)/J$2),0))*K$13</f>
        <v>3.6215061641674042</v>
      </c>
      <c r="L363" s="7">
        <f ca="1">(K$363/K$13+ IF(L$2&gt;0,L$2*IF(L$6=OFFSET(Assumptions!$B$8,0,$C$1),SUMPRODUCT(OFFSET(K$363,0,0,1,-OFFSET(Assumptions!$B$82,0,$C$1)),OFFSET(K$15,0,0,1,-OFFSET(Assumptions!$B$82,0,$C$1)))/OFFSET(Assumptions!$B$82,0,$C$1)-K$363/K$13,(K$363/K$13-J$363/J$13)/K$2),0))*L$13</f>
        <v>3.7880280977394185</v>
      </c>
      <c r="M363" s="7">
        <f ca="1">(L$363/L$13+ IF(M$2&gt;0,M$2*IF(M$6=OFFSET(Assumptions!$B$8,0,$C$1),SUMPRODUCT(OFFSET(L$363,0,0,1,-OFFSET(Assumptions!$B$82,0,$C$1)),OFFSET(L$15,0,0,1,-OFFSET(Assumptions!$B$82,0,$C$1)))/OFFSET(Assumptions!$B$82,0,$C$1)-L$363/L$13,(L$363/L$13-K$363/K$13)/L$2),0))*M$13</f>
        <v>3.9595398863185687</v>
      </c>
      <c r="N363" s="7">
        <f ca="1">(M$363/M$13+ IF(N$2&gt;0,N$2*IF(N$6=OFFSET(Assumptions!$B$8,0,$C$1),SUMPRODUCT(OFFSET(M$363,0,0,1,-OFFSET(Assumptions!$B$82,0,$C$1)),OFFSET(M$15,0,0,1,-OFFSET(Assumptions!$B$82,0,$C$1)))/OFFSET(Assumptions!$B$82,0,$C$1)-M$363/M$13,(M$363/M$13-L$363/L$13)/M$2),0))*N$13</f>
        <v>4.1365414994442196</v>
      </c>
      <c r="O363" s="7">
        <f ca="1">(N$363/N$13+ IF(O$2&gt;0,O$2*IF(O$6=OFFSET(Assumptions!$B$8,0,$C$1),SUMPRODUCT(OFFSET(N$363,0,0,1,-OFFSET(Assumptions!$B$82,0,$C$1)),OFFSET(N$15,0,0,1,-OFFSET(Assumptions!$B$82,0,$C$1)))/OFFSET(Assumptions!$B$82,0,$C$1)-N$363/N$13,(N$363/N$13-M$363/M$13)/N$2),0))*O$13</f>
        <v>4.3174814289962269</v>
      </c>
      <c r="P363" s="7">
        <f ca="1">(O$363/O$13+ IF(P$2&gt;0,P$2*IF(P$6=OFFSET(Assumptions!$B$8,0,$C$1),SUMPRODUCT(OFFSET(O$363,0,0,1,-OFFSET(Assumptions!$B$82,0,$C$1)),OFFSET(O$15,0,0,1,-OFFSET(Assumptions!$B$82,0,$C$1)))/OFFSET(Assumptions!$B$82,0,$C$1)-O$363/O$13,(O$363/O$13-N$363/N$13)/O$2),0))*P$13</f>
        <v>4.502805225058343</v>
      </c>
      <c r="Q363" s="7">
        <f ca="1">(P$363/P$13+ IF(Q$2&gt;0,Q$2*IF(Q$6=OFFSET(Assumptions!$B$8,0,$C$1),SUMPRODUCT(OFFSET(P$363,0,0,1,-OFFSET(Assumptions!$B$82,0,$C$1)),OFFSET(P$15,0,0,1,-OFFSET(Assumptions!$B$82,0,$C$1)))/OFFSET(Assumptions!$B$82,0,$C$1)-P$363/P$13,(P$363/P$13-O$363/O$13)/P$2),0))*Q$13</f>
        <v>4.6943051158599136</v>
      </c>
      <c r="R363" s="7">
        <f ca="1">(Q$363/Q$13+ IF(R$2&gt;0,R$2*IF(R$6=OFFSET(Assumptions!$B$8,0,$C$1),SUMPRODUCT(OFFSET(Q$363,0,0,1,-OFFSET(Assumptions!$B$82,0,$C$1)),OFFSET(Q$15,0,0,1,-OFFSET(Assumptions!$B$82,0,$C$1)))/OFFSET(Assumptions!$B$82,0,$C$1)-Q$363/Q$13,(Q$363/Q$13-P$363/P$13)/Q$2),0))*R$13</f>
        <v>4.8917675624962831</v>
      </c>
      <c r="S363" s="7">
        <f ca="1">(R$363/R$13+ IF(S$2&gt;0,S$2*IF(S$6=OFFSET(Assumptions!$B$8,0,$C$1),SUMPRODUCT(OFFSET(R$363,0,0,1,-OFFSET(Assumptions!$B$82,0,$C$1)),OFFSET(R$15,0,0,1,-OFFSET(Assumptions!$B$82,0,$C$1)))/OFFSET(Assumptions!$B$82,0,$C$1)-R$363/R$13,(R$363/R$13-Q$363/Q$13)/R$2),0))*S$13</f>
        <v>5.0960888955151562</v>
      </c>
      <c r="T363" s="7">
        <f ca="1">(S$363/S$13+ IF(T$2&gt;0,T$2*IF(T$6=OFFSET(Assumptions!$B$8,0,$C$1),SUMPRODUCT(OFFSET(S$363,0,0,1,-OFFSET(Assumptions!$B$82,0,$C$1)),OFFSET(S$15,0,0,1,-OFFSET(Assumptions!$B$82,0,$C$1)))/OFFSET(Assumptions!$B$82,0,$C$1)-S$363/S$13,(S$363/S$13-R$363/R$13)/S$2),0))*T$13</f>
        <v>5.3069518101121123</v>
      </c>
    </row>
    <row r="364" spans="1:21" ht="15" x14ac:dyDescent="0.25">
      <c r="A364" s="2" t="s">
        <v>614</v>
      </c>
      <c r="B364" s="4"/>
      <c r="D364" s="35">
        <f t="shared" ref="D364:T364" si="156">SUM(D$361:D$363)</f>
        <v>15.108000000000001</v>
      </c>
      <c r="E364" s="35">
        <f t="shared" si="156"/>
        <v>15.987</v>
      </c>
      <c r="F364" s="34">
        <f t="shared" si="156"/>
        <v>13.032999999999999</v>
      </c>
      <c r="G364" s="34">
        <f t="shared" si="156"/>
        <v>13.279</v>
      </c>
      <c r="H364" s="34">
        <f t="shared" si="156"/>
        <v>13.428000000000001</v>
      </c>
      <c r="I364" s="34">
        <f t="shared" si="156"/>
        <v>13.362</v>
      </c>
      <c r="J364" s="34">
        <f t="shared" si="156"/>
        <v>13.286</v>
      </c>
      <c r="K364" s="38">
        <f t="shared" ca="1" si="156"/>
        <v>13.461134904231482</v>
      </c>
      <c r="L364" s="38">
        <f t="shared" ca="1" si="156"/>
        <v>13.72619726998226</v>
      </c>
      <c r="M364" s="38">
        <f t="shared" ca="1" si="156"/>
        <v>13.995210286790257</v>
      </c>
      <c r="N364" s="38">
        <f t="shared" ca="1" si="156"/>
        <v>14.266784824086404</v>
      </c>
      <c r="O364" s="38">
        <f t="shared" ca="1" si="156"/>
        <v>14.539667944651793</v>
      </c>
      <c r="P364" s="38">
        <f t="shared" ca="1" si="156"/>
        <v>14.826468365520824</v>
      </c>
      <c r="Q364" s="38">
        <f t="shared" ca="1" si="156"/>
        <v>15.114261540755878</v>
      </c>
      <c r="R364" s="38">
        <f t="shared" ca="1" si="156"/>
        <v>15.408777796368053</v>
      </c>
      <c r="S364" s="38">
        <f t="shared" ca="1" si="156"/>
        <v>15.706638281764814</v>
      </c>
      <c r="T364" s="38">
        <f t="shared" ca="1" si="156"/>
        <v>16.004554303419994</v>
      </c>
    </row>
    <row r="365" spans="1:21" x14ac:dyDescent="0.2">
      <c r="A365" s="1" t="s">
        <v>616</v>
      </c>
      <c r="B365" s="4" t="str">
        <f>$B$38</f>
        <v>From Fiscal</v>
      </c>
      <c r="D365" s="15">
        <f>'Fiscal Forecasts'!D$302</f>
        <v>15.598000000000001</v>
      </c>
      <c r="E365" s="15">
        <f>'Fiscal Forecasts'!E$302</f>
        <v>16.689</v>
      </c>
      <c r="F365" s="16">
        <f>'Fiscal Forecasts'!F$302</f>
        <v>17.716000000000001</v>
      </c>
      <c r="G365" s="16">
        <f>'Fiscal Forecasts'!G$302</f>
        <v>18.891999999999999</v>
      </c>
      <c r="H365" s="16">
        <f>'Fiscal Forecasts'!H$302</f>
        <v>19.992000000000001</v>
      </c>
      <c r="I365" s="16">
        <f>'Fiscal Forecasts'!I$302</f>
        <v>21.091999999999999</v>
      </c>
      <c r="J365" s="16">
        <f>'Fiscal Forecasts'!J$302</f>
        <v>22.192</v>
      </c>
      <c r="K365" s="7">
        <f ca="1">IF(K$6=OFFSET(Assumptions!$B$8,0,$C$1),AVERAGE(H$365/H$13,I$365/I$13,J$365/J$13),J$365/J$13)*K$13</f>
        <v>22.92066168963834</v>
      </c>
      <c r="L365" s="7">
        <f ca="1">IF(L$6=OFFSET(Assumptions!$B$8,0,$C$1),AVERAGE(I$365/I$13,J$365/J$13,K$365/K$13),K$365/K$13)*L$13</f>
        <v>23.926269747367364</v>
      </c>
      <c r="M365" s="7">
        <f ca="1">IF(M$6=OFFSET(Assumptions!$B$8,0,$C$1),AVERAGE(J$365/J$13,K$365/K$13,L$365/L$13),L$365/L$13)*M$13</f>
        <v>24.971842874738833</v>
      </c>
      <c r="N365" s="7">
        <f ca="1">IF(N$6=OFFSET(Assumptions!$B$8,0,$C$1),AVERAGE(K$365/K$13,L$365/L$13,M$365/M$13),M$365/M$13)*N$13</f>
        <v>26.061926714378789</v>
      </c>
      <c r="O365" s="7">
        <f ca="1">IF(O$6=OFFSET(Assumptions!$B$8,0,$C$1),AVERAGE(L$365/L$13,M$365/M$13,N$365/N$13),N$365/N$13)*O$13</f>
        <v>27.188259556785514</v>
      </c>
      <c r="P365" s="7">
        <f ca="1">IF(P$6=OFFSET(Assumptions!$B$8,0,$C$1),AVERAGE(M$365/M$13,N$365/N$13,O$365/O$13),O$365/O$13)*P$13</f>
        <v>28.355289815571602</v>
      </c>
      <c r="Q365" s="7">
        <f ca="1">IF(Q$6=OFFSET(Assumptions!$B$8,0,$C$1),AVERAGE(N$365/N$13,O$365/O$13,P$365/P$13),P$365/P$13)*Q$13</f>
        <v>29.561212486423635</v>
      </c>
      <c r="R365" s="7">
        <f ca="1">IF(R$6=OFFSET(Assumptions!$B$8,0,$C$1),AVERAGE(O$365/O$13,P$365/P$13,Q$365/Q$13),Q$365/Q$13)*R$13</f>
        <v>30.804682861492669</v>
      </c>
      <c r="S365" s="7">
        <f ca="1">IF(S$6=OFFSET(Assumptions!$B$8,0,$C$1),AVERAGE(P$365/P$13,Q$365/Q$13,R$365/R$13),R$365/R$13)*S$13</f>
        <v>32.091345358243018</v>
      </c>
      <c r="T365" s="7">
        <f ca="1">IF(T$6=OFFSET(Assumptions!$B$8,0,$C$1),AVERAGE(Q$365/Q$13,R$365/R$13,S$365/S$13),S$365/S$13)*T$13</f>
        <v>33.419201829022377</v>
      </c>
    </row>
    <row r="366" spans="1:21" x14ac:dyDescent="0.2">
      <c r="A366" s="1" t="s">
        <v>617</v>
      </c>
      <c r="B366" s="4" t="str">
        <f>$B$38</f>
        <v>From Fiscal</v>
      </c>
      <c r="D366" s="15">
        <f>'Fiscal Forecasts'!D$119-SUM(D$364:D$365)</f>
        <v>-4.2090000000000032</v>
      </c>
      <c r="E366" s="15">
        <f>'Fiscal Forecasts'!E$119-SUM(E$364:E$365)</f>
        <v>-4.4420000000000002</v>
      </c>
      <c r="F366" s="16">
        <f>'Fiscal Forecasts'!F$119-SUM(F$364:F$365)</f>
        <v>-2.1090000000000018</v>
      </c>
      <c r="G366" s="16">
        <f>'Fiscal Forecasts'!G$119-SUM(G$364:G$365)</f>
        <v>-2.1289999999999978</v>
      </c>
      <c r="H366" s="16">
        <f>'Fiscal Forecasts'!H$119-SUM(H$364:H$365)</f>
        <v>-2.1300000000000026</v>
      </c>
      <c r="I366" s="16">
        <f>'Fiscal Forecasts'!I$119-SUM(I$364:I$365)</f>
        <v>-2.0429999999999993</v>
      </c>
      <c r="J366" s="16">
        <f>'Fiscal Forecasts'!J$119-SUM(J$364:J$365)</f>
        <v>-2.142000000000003</v>
      </c>
      <c r="K366" s="7">
        <f ca="1">IF(K$6=OFFSET(Assumptions!$B$8,0,$C$1),AVERAGE(H$366/H$363,I$366/I$363,J$366/J$363),J$366/J$363)*K$363</f>
        <v>-2.2785649441563836</v>
      </c>
      <c r="L366" s="7">
        <f ca="1">IF(L$6=OFFSET(Assumptions!$B$8,0,$C$1),AVERAGE(I$366/I$363,J$366/J$363,K$366/K$363),K$366/K$363)*L$363</f>
        <v>-2.3833365565933766</v>
      </c>
      <c r="M366" s="7">
        <f ca="1">IF(M$6=OFFSET(Assumptions!$B$8,0,$C$1),AVERAGE(J$366/J$363,K$366/K$363,L$366/L$363),L$366/L$363)*M$363</f>
        <v>-2.4912476662948451</v>
      </c>
      <c r="N366" s="7">
        <f ca="1">IF(N$6=OFFSET(Assumptions!$B$8,0,$C$1),AVERAGE(K$366/K$363,L$366/L$363,M$366/M$363),M$366/M$363)*N$363</f>
        <v>-2.6026128421207879</v>
      </c>
      <c r="O366" s="7">
        <f ca="1">IF(O$6=OFFSET(Assumptions!$B$8,0,$C$1),AVERAGE(L$366/L$363,M$366/M$363,N$366/N$363),N$366/N$363)*O$363</f>
        <v>-2.7164559123203147</v>
      </c>
      <c r="P366" s="7">
        <f ca="1">IF(P$6=OFFSET(Assumptions!$B$8,0,$C$1),AVERAGE(M$366/M$363,N$366/N$363,O$366/O$363),O$366/O$363)*P$363</f>
        <v>-2.833057206335289</v>
      </c>
      <c r="Q366" s="7">
        <f ca="1">IF(Q$6=OFFSET(Assumptions!$B$8,0,$C$1),AVERAGE(N$366/N$363,O$366/O$363,P$366/P$363),P$366/P$363)*Q$363</f>
        <v>-2.953544351244112</v>
      </c>
      <c r="R366" s="7">
        <f ca="1">IF(R$6=OFFSET(Assumptions!$B$8,0,$C$1),AVERAGE(O$366/O$363,P$366/P$363,Q$366/Q$363),Q$366/Q$363)*R$363</f>
        <v>-3.0777829934821885</v>
      </c>
      <c r="S366" s="7">
        <f ca="1">IF(S$6=OFFSET(Assumptions!$B$8,0,$C$1),AVERAGE(P$366/P$363,Q$366/Q$363,R$366/R$363),R$366/R$363)*S$363</f>
        <v>-3.206337082763199</v>
      </c>
      <c r="T366" s="7">
        <f ca="1">IF(T$6=OFFSET(Assumptions!$B$8,0,$C$1),AVERAGE(Q$366/Q$363,R$366/R$363,S$366/S$363),S$366/S$363)*T$363</f>
        <v>-3.3390069785035879</v>
      </c>
    </row>
    <row r="367" spans="1:21" ht="15" x14ac:dyDescent="0.25">
      <c r="A367" s="2" t="s">
        <v>615</v>
      </c>
      <c r="D367" s="35">
        <f t="shared" ref="D367:T367" si="157">SUM(D$364:D$366)</f>
        <v>26.497</v>
      </c>
      <c r="E367" s="35">
        <f t="shared" si="157"/>
        <v>28.234000000000002</v>
      </c>
      <c r="F367" s="34">
        <f t="shared" si="157"/>
        <v>28.64</v>
      </c>
      <c r="G367" s="34">
        <f t="shared" si="157"/>
        <v>30.042000000000002</v>
      </c>
      <c r="H367" s="34">
        <f t="shared" si="157"/>
        <v>31.29</v>
      </c>
      <c r="I367" s="34">
        <f t="shared" si="157"/>
        <v>32.411000000000001</v>
      </c>
      <c r="J367" s="34">
        <f t="shared" si="157"/>
        <v>33.335999999999999</v>
      </c>
      <c r="K367" s="38">
        <f t="shared" ca="1" si="157"/>
        <v>34.103231649713436</v>
      </c>
      <c r="L367" s="38">
        <f t="shared" ca="1" si="157"/>
        <v>35.269130460756244</v>
      </c>
      <c r="M367" s="38">
        <f t="shared" ca="1" si="157"/>
        <v>36.475805495234248</v>
      </c>
      <c r="N367" s="38">
        <f t="shared" ca="1" si="157"/>
        <v>37.726098696344408</v>
      </c>
      <c r="O367" s="38">
        <f t="shared" ca="1" si="157"/>
        <v>39.011471589116994</v>
      </c>
      <c r="P367" s="38">
        <f t="shared" ca="1" si="157"/>
        <v>40.348700974757136</v>
      </c>
      <c r="Q367" s="38">
        <f t="shared" ca="1" si="157"/>
        <v>41.721929675935399</v>
      </c>
      <c r="R367" s="38">
        <f t="shared" ca="1" si="157"/>
        <v>43.135677664378534</v>
      </c>
      <c r="S367" s="38">
        <f t="shared" ca="1" si="157"/>
        <v>44.59164655724463</v>
      </c>
      <c r="T367" s="38">
        <f t="shared" ca="1" si="157"/>
        <v>46.08474915393878</v>
      </c>
    </row>
    <row r="368" spans="1:21" ht="15" x14ac:dyDescent="0.25">
      <c r="A368" s="2"/>
      <c r="D368" s="47"/>
      <c r="E368" s="47"/>
      <c r="F368" s="48"/>
      <c r="G368" s="48"/>
      <c r="H368" s="48"/>
      <c r="I368" s="48"/>
      <c r="J368" s="48"/>
      <c r="K368" s="48"/>
      <c r="L368" s="48"/>
      <c r="M368" s="48"/>
      <c r="N368" s="48"/>
      <c r="O368" s="48"/>
      <c r="P368" s="48"/>
      <c r="Q368" s="48"/>
      <c r="R368" s="48"/>
      <c r="S368" s="48"/>
      <c r="T368" s="48"/>
    </row>
    <row r="369" spans="1:20" x14ac:dyDescent="0.2">
      <c r="A369" s="19" t="s">
        <v>524</v>
      </c>
    </row>
    <row r="370" spans="1:20" x14ac:dyDescent="0.2">
      <c r="A370" s="1" t="s">
        <v>958</v>
      </c>
      <c r="B370" s="4" t="str">
        <f t="shared" ref="B370:B375" si="158">$B$38</f>
        <v>From Fiscal</v>
      </c>
      <c r="D370" s="15">
        <f>'Fiscal Forecasts'!D$304</f>
        <v>1.518</v>
      </c>
      <c r="E370" s="15">
        <f>'Fiscal Forecasts'!E$304</f>
        <v>1.512</v>
      </c>
      <c r="F370" s="16">
        <f>'Fiscal Forecasts'!F$304</f>
        <v>1.4930000000000001</v>
      </c>
      <c r="G370" s="16">
        <f>'Fiscal Forecasts'!G$304</f>
        <v>1.5329999999999999</v>
      </c>
      <c r="H370" s="16">
        <f>'Fiscal Forecasts'!H$304</f>
        <v>1.544</v>
      </c>
      <c r="I370" s="16">
        <f>'Fiscal Forecasts'!I$304</f>
        <v>1.5569999999999999</v>
      </c>
      <c r="J370" s="16">
        <f>'Fiscal Forecasts'!J$304</f>
        <v>1.579</v>
      </c>
      <c r="K370" s="7">
        <f>Exogenous!R$14</f>
        <v>1.6120000000000001</v>
      </c>
      <c r="L370" s="7">
        <f>Exogenous!S$14</f>
        <v>1.649</v>
      </c>
      <c r="M370" s="7">
        <f>Exogenous!T$14</f>
        <v>1.69</v>
      </c>
      <c r="N370" s="7">
        <f>Exogenous!U$14</f>
        <v>1.7330000000000001</v>
      </c>
      <c r="O370" s="7">
        <f>Exogenous!V$14</f>
        <v>1.7769999999999999</v>
      </c>
      <c r="P370" s="7">
        <f>Exogenous!W$14</f>
        <v>1.8260000000000001</v>
      </c>
      <c r="Q370" s="7">
        <f>Exogenous!X$14</f>
        <v>1.8759999999999999</v>
      </c>
      <c r="R370" s="7">
        <f>Exogenous!Y$14</f>
        <v>1.9239999999999999</v>
      </c>
      <c r="S370" s="7">
        <f>Exogenous!Z$14</f>
        <v>1.9710000000000001</v>
      </c>
      <c r="T370" s="7">
        <f>Exogenous!AA$14</f>
        <v>2.0169999999999999</v>
      </c>
    </row>
    <row r="371" spans="1:20" x14ac:dyDescent="0.2">
      <c r="A371" s="1" t="s">
        <v>960</v>
      </c>
      <c r="B371" s="4" t="str">
        <f t="shared" si="158"/>
        <v>From Fiscal</v>
      </c>
      <c r="D371" s="15">
        <f>'Fiscal Forecasts'!D$305</f>
        <v>1.0999999999999999E-2</v>
      </c>
      <c r="E371" s="15">
        <f>'Fiscal Forecasts'!E$305</f>
        <v>0.01</v>
      </c>
      <c r="F371" s="16">
        <f>'Fiscal Forecasts'!F$305</f>
        <v>-7.0000000000000001E-3</v>
      </c>
      <c r="G371" s="16">
        <f>'Fiscal Forecasts'!G$305</f>
        <v>0.01</v>
      </c>
      <c r="H371" s="16">
        <f>'Fiscal Forecasts'!H$305</f>
        <v>0.01</v>
      </c>
      <c r="I371" s="16">
        <f>'Fiscal Forecasts'!I$305</f>
        <v>0.01</v>
      </c>
      <c r="J371" s="16">
        <f>'Fiscal Forecasts'!J$305</f>
        <v>1.0999999999999999E-2</v>
      </c>
      <c r="K371" s="7">
        <f>Exogenous!R$15</f>
        <v>9.0000000000000011E-3</v>
      </c>
      <c r="L371" s="7">
        <f>Exogenous!S$15</f>
        <v>1.2E-2</v>
      </c>
      <c r="M371" s="7">
        <f>Exogenous!T$15</f>
        <v>0.01</v>
      </c>
      <c r="N371" s="7">
        <f>Exogenous!U$15</f>
        <v>0.01</v>
      </c>
      <c r="O371" s="7">
        <f>Exogenous!V$15</f>
        <v>0.01</v>
      </c>
      <c r="P371" s="7">
        <f>Exogenous!W$15</f>
        <v>0.01</v>
      </c>
      <c r="Q371" s="7">
        <f>Exogenous!X$15</f>
        <v>1.0999999999999999E-2</v>
      </c>
      <c r="R371" s="7">
        <f>Exogenous!Y$15</f>
        <v>1.0999999999999999E-2</v>
      </c>
      <c r="S371" s="7">
        <f>Exogenous!Z$15</f>
        <v>1.0999999999999999E-2</v>
      </c>
      <c r="T371" s="7">
        <f>Exogenous!AA$15</f>
        <v>1.0999999999999999E-2</v>
      </c>
    </row>
    <row r="372" spans="1:20" x14ac:dyDescent="0.2">
      <c r="A372" s="1" t="s">
        <v>370</v>
      </c>
      <c r="B372" s="4" t="str">
        <f t="shared" si="158"/>
        <v>From Fiscal</v>
      </c>
      <c r="D372" s="15">
        <f>-'Fiscal Forecasts'!D$306</f>
        <v>0.60199999999999998</v>
      </c>
      <c r="E372" s="15">
        <f>-'Fiscal Forecasts'!E$306</f>
        <v>0.65900000000000003</v>
      </c>
      <c r="F372" s="16">
        <f>-'Fiscal Forecasts'!F$306</f>
        <v>0.66200000000000003</v>
      </c>
      <c r="G372" s="16">
        <f>-'Fiscal Forecasts'!G$306</f>
        <v>0.67</v>
      </c>
      <c r="H372" s="16">
        <f>-'Fiscal Forecasts'!H$306</f>
        <v>0.66900000000000004</v>
      </c>
      <c r="I372" s="16">
        <f>-'Fiscal Forecasts'!I$306</f>
        <v>0.67400000000000004</v>
      </c>
      <c r="J372" s="16">
        <f>-'Fiscal Forecasts'!J$306</f>
        <v>0.68300000000000005</v>
      </c>
      <c r="K372" s="7">
        <f>Exogenous!R$16</f>
        <v>0.66800000000000004</v>
      </c>
      <c r="L372" s="7">
        <f>Exogenous!S$16</f>
        <v>0.68799999999999994</v>
      </c>
      <c r="M372" s="7">
        <f>Exogenous!T$16</f>
        <v>0.70699999999999996</v>
      </c>
      <c r="N372" s="7">
        <f>Exogenous!U$16</f>
        <v>0.72699999999999998</v>
      </c>
      <c r="O372" s="7">
        <f>Exogenous!V$16</f>
        <v>0.74399999999999999</v>
      </c>
      <c r="P372" s="7">
        <f>Exogenous!W$16</f>
        <v>0.76400000000000001</v>
      </c>
      <c r="Q372" s="7">
        <f>Exogenous!X$16</f>
        <v>0.78400000000000003</v>
      </c>
      <c r="R372" s="7">
        <f>Exogenous!Y$16</f>
        <v>0.8</v>
      </c>
      <c r="S372" s="7">
        <f>Exogenous!Z$16</f>
        <v>0.81599999999999995</v>
      </c>
      <c r="T372" s="7">
        <f>Exogenous!AA$16</f>
        <v>0.83299999999999996</v>
      </c>
    </row>
    <row r="373" spans="1:20" x14ac:dyDescent="0.2">
      <c r="A373" s="1" t="s">
        <v>532</v>
      </c>
      <c r="B373" s="4" t="str">
        <f t="shared" si="158"/>
        <v>From Fiscal</v>
      </c>
      <c r="D373" s="15">
        <f>-'Fiscal Forecasts'!D$307</f>
        <v>1.1140000000000001</v>
      </c>
      <c r="E373" s="15">
        <f>-'Fiscal Forecasts'!E$307</f>
        <v>1.208</v>
      </c>
      <c r="F373" s="16">
        <f>-'Fiscal Forecasts'!F$307</f>
        <v>1.2729999999999999</v>
      </c>
      <c r="G373" s="16">
        <f>-'Fiscal Forecasts'!G$307</f>
        <v>1.3360000000000001</v>
      </c>
      <c r="H373" s="16">
        <f>-'Fiscal Forecasts'!H$307</f>
        <v>1.427</v>
      </c>
      <c r="I373" s="16">
        <f>-'Fiscal Forecasts'!I$307</f>
        <v>1.5089999999999999</v>
      </c>
      <c r="J373" s="16">
        <f>-'Fiscal Forecasts'!J$307</f>
        <v>1.5960000000000001</v>
      </c>
      <c r="K373" s="7">
        <f>Exogenous!R$17</f>
        <v>1.5509999999999999</v>
      </c>
      <c r="L373" s="7">
        <f>Exogenous!S$17</f>
        <v>1.5489999999999999</v>
      </c>
      <c r="M373" s="7">
        <f>Exogenous!T$17</f>
        <v>1.5780000000000001</v>
      </c>
      <c r="N373" s="7">
        <f>Exogenous!U$17</f>
        <v>1.6120000000000001</v>
      </c>
      <c r="O373" s="7">
        <f>Exogenous!V$17</f>
        <v>1.649</v>
      </c>
      <c r="P373" s="7">
        <f>Exogenous!W$17</f>
        <v>1.675</v>
      </c>
      <c r="Q373" s="7">
        <f>Exogenous!X$17</f>
        <v>1.716</v>
      </c>
      <c r="R373" s="7">
        <f>Exogenous!Y$17</f>
        <v>1.7529999999999999</v>
      </c>
      <c r="S373" s="7">
        <f>Exogenous!Z$17</f>
        <v>1.7929999999999999</v>
      </c>
      <c r="T373" s="7">
        <f>Exogenous!AA$17</f>
        <v>1.833</v>
      </c>
    </row>
    <row r="374" spans="1:20" x14ac:dyDescent="0.2">
      <c r="A374" s="1" t="s">
        <v>89</v>
      </c>
      <c r="B374" s="4" t="str">
        <f t="shared" si="158"/>
        <v>From Fiscal</v>
      </c>
      <c r="D374" s="15">
        <f>'Fiscal Forecasts'!D$308</f>
        <v>0.60399999999999998</v>
      </c>
      <c r="E374" s="15">
        <f>'Fiscal Forecasts'!E$308</f>
        <v>0.60299999999999998</v>
      </c>
      <c r="F374" s="16">
        <f>'Fiscal Forecasts'!F$308</f>
        <v>0.60199999999999998</v>
      </c>
      <c r="G374" s="16">
        <f>'Fiscal Forecasts'!G$308</f>
        <v>0.59499999999999997</v>
      </c>
      <c r="H374" s="16">
        <f>'Fiscal Forecasts'!H$308</f>
        <v>0.59099999999999997</v>
      </c>
      <c r="I374" s="16">
        <f>'Fiscal Forecasts'!I$308</f>
        <v>0.58399999999999996</v>
      </c>
      <c r="J374" s="16">
        <f>'Fiscal Forecasts'!J$308</f>
        <v>0.57099999999999995</v>
      </c>
      <c r="K374" s="7">
        <f>Exogenous!R$18</f>
        <v>0.57499999999999996</v>
      </c>
      <c r="L374" s="7">
        <f>Exogenous!S$18</f>
        <v>0.57899999999999996</v>
      </c>
      <c r="M374" s="7">
        <f>Exogenous!T$18</f>
        <v>0.58499999999999996</v>
      </c>
      <c r="N374" s="7">
        <f>Exogenous!U$18</f>
        <v>0.59099999999999997</v>
      </c>
      <c r="O374" s="7">
        <f>Exogenous!V$18</f>
        <v>0.59699999999999998</v>
      </c>
      <c r="P374" s="7">
        <f>Exogenous!W$18</f>
        <v>0.60299999999999998</v>
      </c>
      <c r="Q374" s="7">
        <f>Exogenous!X$18</f>
        <v>0.60899999999999999</v>
      </c>
      <c r="R374" s="7">
        <f>Exogenous!Y$18</f>
        <v>0.61599999999999999</v>
      </c>
      <c r="S374" s="7">
        <f>Exogenous!Z$18</f>
        <v>0.622</v>
      </c>
      <c r="T374" s="7">
        <f>Exogenous!AA$18</f>
        <v>0.627</v>
      </c>
    </row>
    <row r="375" spans="1:20" x14ac:dyDescent="0.2">
      <c r="A375" s="1" t="s">
        <v>533</v>
      </c>
      <c r="B375" s="4" t="str">
        <f t="shared" si="158"/>
        <v>From Fiscal</v>
      </c>
      <c r="D375" s="15">
        <f>-'Fiscal Forecasts'!D$309</f>
        <v>0.26900000000000002</v>
      </c>
      <c r="E375" s="15">
        <f>-'Fiscal Forecasts'!E$309</f>
        <v>0.14000000000000001</v>
      </c>
      <c r="F375" s="16">
        <f>-'Fiscal Forecasts'!F$309</f>
        <v>-6.2E-2</v>
      </c>
      <c r="G375" s="16">
        <f>-'Fiscal Forecasts'!G$309</f>
        <v>0.1</v>
      </c>
      <c r="H375" s="16">
        <f>-'Fiscal Forecasts'!H$309</f>
        <v>0.1</v>
      </c>
      <c r="I375" s="16">
        <f>-'Fiscal Forecasts'!I$309</f>
        <v>0.1</v>
      </c>
      <c r="J375" s="16">
        <f>-'Fiscal Forecasts'!J$309</f>
        <v>0.1</v>
      </c>
      <c r="K375" s="7">
        <f>Exogenous!R$19</f>
        <v>0</v>
      </c>
      <c r="L375" s="7">
        <f>Exogenous!S$19</f>
        <v>0</v>
      </c>
      <c r="M375" s="7">
        <f>Exogenous!T$19</f>
        <v>0</v>
      </c>
      <c r="N375" s="7">
        <f>Exogenous!U$19</f>
        <v>0</v>
      </c>
      <c r="O375" s="7">
        <f>Exogenous!V$19</f>
        <v>0</v>
      </c>
      <c r="P375" s="7">
        <f>Exogenous!W$19</f>
        <v>0</v>
      </c>
      <c r="Q375" s="7">
        <f>Exogenous!X$19</f>
        <v>0</v>
      </c>
      <c r="R375" s="7">
        <f>Exogenous!Y$19</f>
        <v>0</v>
      </c>
      <c r="S375" s="7">
        <f>Exogenous!Z$19</f>
        <v>0</v>
      </c>
      <c r="T375" s="7">
        <f>Exogenous!AA$19</f>
        <v>0</v>
      </c>
    </row>
    <row r="376" spans="1:20" ht="15" x14ac:dyDescent="0.25">
      <c r="A376" s="2" t="s">
        <v>525</v>
      </c>
      <c r="C376" s="61">
        <f>'Fiscal Forecasts'!C$301</f>
        <v>8.7159999999999993</v>
      </c>
      <c r="D376" s="35">
        <f t="shared" ref="D376:I376" si="159">SUM(C$376,D$370,D$371,-D$372,-D$373,D$374,-D$375)</f>
        <v>8.8639999999999972</v>
      </c>
      <c r="E376" s="35">
        <f t="shared" si="159"/>
        <v>8.9819999999999958</v>
      </c>
      <c r="F376" s="34">
        <f t="shared" si="159"/>
        <v>9.1969999999999956</v>
      </c>
      <c r="G376" s="34">
        <f t="shared" si="159"/>
        <v>9.2289999999999957</v>
      </c>
      <c r="H376" s="34">
        <f t="shared" si="159"/>
        <v>9.1779999999999955</v>
      </c>
      <c r="I376" s="34">
        <f t="shared" si="159"/>
        <v>9.0459999999999958</v>
      </c>
      <c r="J376" s="34">
        <f>SUM(I$376,J$370,J$371,-J$372,-J$373,J$374,-J$375)</f>
        <v>8.8279999999999959</v>
      </c>
      <c r="K376" s="38">
        <f>SUM(J$376,K$370,K$371,-K$372,-K$373,K$374,-K$375)</f>
        <v>8.8049999999999962</v>
      </c>
      <c r="L376" s="38">
        <f t="shared" ref="L376:T376" si="160">SUM(K$376,L$370,L$371,-L$372,-L$373,L$374,-L$375)</f>
        <v>8.8079999999999981</v>
      </c>
      <c r="M376" s="38">
        <f t="shared" si="160"/>
        <v>8.8079999999999963</v>
      </c>
      <c r="N376" s="38">
        <f t="shared" si="160"/>
        <v>8.8029999999999955</v>
      </c>
      <c r="O376" s="38">
        <f t="shared" si="160"/>
        <v>8.7939999999999952</v>
      </c>
      <c r="P376" s="38">
        <f t="shared" si="160"/>
        <v>8.7939999999999952</v>
      </c>
      <c r="Q376" s="38">
        <f t="shared" si="160"/>
        <v>8.7899999999999938</v>
      </c>
      <c r="R376" s="38">
        <f t="shared" si="160"/>
        <v>8.7879999999999914</v>
      </c>
      <c r="S376" s="38">
        <f t="shared" si="160"/>
        <v>8.7829999999999906</v>
      </c>
      <c r="T376" s="38">
        <f t="shared" si="160"/>
        <v>8.7719999999999896</v>
      </c>
    </row>
    <row r="377" spans="1:20" ht="15" x14ac:dyDescent="0.25">
      <c r="A377" s="2"/>
      <c r="D377" s="47"/>
      <c r="E377" s="47"/>
      <c r="F377" s="48"/>
      <c r="G377" s="48"/>
      <c r="H377" s="48"/>
      <c r="I377" s="48"/>
      <c r="J377" s="48"/>
      <c r="K377" s="49"/>
      <c r="L377" s="49"/>
      <c r="M377" s="49"/>
      <c r="N377" s="49"/>
      <c r="O377" s="49"/>
      <c r="P377" s="49"/>
      <c r="Q377" s="49"/>
      <c r="R377" s="49"/>
      <c r="S377" s="49"/>
      <c r="T377" s="49"/>
    </row>
    <row r="378" spans="1:20" x14ac:dyDescent="0.2">
      <c r="A378" s="19" t="s">
        <v>224</v>
      </c>
    </row>
    <row r="379" spans="1:20" ht="15" x14ac:dyDescent="0.25">
      <c r="A379" s="2" t="s">
        <v>618</v>
      </c>
      <c r="B379" s="4" t="str">
        <f>$B$38</f>
        <v>From Fiscal</v>
      </c>
      <c r="D379" s="40">
        <f>ROUND('Fiscal Forecasts'!D$176*D$380/SUM(D$380,D$384),3)</f>
        <v>0.45500000000000002</v>
      </c>
      <c r="E379" s="40">
        <f>ROUND('Fiscal Forecasts'!E$176*E$380/SUM(E$380,E$384),3)</f>
        <v>0.47799999999999998</v>
      </c>
      <c r="F379" s="39">
        <f>ROUND('Fiscal Forecasts'!F$176*F$380/SUM(F$380,F$384),3)</f>
        <v>0.5</v>
      </c>
      <c r="G379" s="39">
        <f>ROUND('Fiscal Forecasts'!G$176*G$380/SUM(G$380,G$384),3)</f>
        <v>0.48799999999999999</v>
      </c>
      <c r="H379" s="39">
        <f>ROUND('Fiscal Forecasts'!H$176*H$380/SUM(H$380,H$384),3)</f>
        <v>0.49199999999999999</v>
      </c>
      <c r="I379" s="39">
        <f>ROUND('Fiscal Forecasts'!I$176*I$380/SUM(I$380,I$384),3)</f>
        <v>0.48899999999999999</v>
      </c>
      <c r="J379" s="39">
        <f>ROUND('Fiscal Forecasts'!J$176*J$380/SUM(J$380,J$384),3)</f>
        <v>0.498</v>
      </c>
      <c r="K379" s="8">
        <f ca="1">(J$379/J$13+ IF(K$2&gt;0,K$2*IF(K$6=OFFSET(Assumptions!$B$8,0,$C$1),SUMPRODUCT(OFFSET(J$379,0,0,1,-OFFSET(Assumptions!$B$82,0,$C$1)),OFFSET(J$15,0,0,1,-OFFSET(Assumptions!$B$82,0,$C$1)))/OFFSET(Assumptions!$B$82,0,$C$1)-J$379/J$13,(J$379/J$13-I$379/I$13)/J$2),0))*K$13</f>
        <v>0.52503940050885056</v>
      </c>
      <c r="L379" s="8">
        <f ca="1">(K$379/K$13+ IF(L$2&gt;0,L$2*IF(L$6=OFFSET(Assumptions!$B$8,0,$C$1),SUMPRODUCT(OFFSET(K$379,0,0,1,-OFFSET(Assumptions!$B$82,0,$C$1)),OFFSET(K$15,0,0,1,-OFFSET(Assumptions!$B$82,0,$C$1)))/OFFSET(Assumptions!$B$82,0,$C$1)-K$379/K$13,(K$379/K$13-J$379/J$13)/K$2),0))*L$13</f>
        <v>0.55284295616799661</v>
      </c>
      <c r="M379" s="8">
        <f ca="1">(L$379/L$13+ IF(M$2&gt;0,M$2*IF(M$6=OFFSET(Assumptions!$B$8,0,$C$1),SUMPRODUCT(OFFSET(L$379,0,0,1,-OFFSET(Assumptions!$B$82,0,$C$1)),OFFSET(L$15,0,0,1,-OFFSET(Assumptions!$B$82,0,$C$1)))/OFFSET(Assumptions!$B$82,0,$C$1)-L$379/L$13,(L$379/L$13-K$379/K$13)/L$2),0))*M$13</f>
        <v>0.58073456757005393</v>
      </c>
      <c r="N379" s="8">
        <f ca="1">(M$379/M$13+ IF(N$2&gt;0,N$2*IF(N$6=OFFSET(Assumptions!$B$8,0,$C$1),SUMPRODUCT(OFFSET(M$379,0,0,1,-OFFSET(Assumptions!$B$82,0,$C$1)),OFFSET(M$15,0,0,1,-OFFSET(Assumptions!$B$82,0,$C$1)))/OFFSET(Assumptions!$B$82,0,$C$1)-M$379/M$13,(M$379/M$13-L$379/L$13)/M$2),0))*N$13</f>
        <v>0.60868204015394123</v>
      </c>
      <c r="O379" s="8">
        <f ca="1">(N$379/N$13+ IF(O$2&gt;0,O$2*IF(O$6=OFFSET(Assumptions!$B$8,0,$C$1),SUMPRODUCT(OFFSET(N$379,0,0,1,-OFFSET(Assumptions!$B$82,0,$C$1)),OFFSET(N$15,0,0,1,-OFFSET(Assumptions!$B$82,0,$C$1)))/OFFSET(Assumptions!$B$82,0,$C$1)-N$379/N$13,(N$379/N$13-M$379/M$13)/N$2),0))*O$13</f>
        <v>0.63634238165296486</v>
      </c>
      <c r="P379" s="8">
        <f ca="1">(O$379/O$13+ IF(P$2&gt;0,P$2*IF(P$6=OFFSET(Assumptions!$B$8,0,$C$1),SUMPRODUCT(OFFSET(O$379,0,0,1,-OFFSET(Assumptions!$B$82,0,$C$1)),OFFSET(O$15,0,0,1,-OFFSET(Assumptions!$B$82,0,$C$1)))/OFFSET(Assumptions!$B$82,0,$C$1)-O$379/O$13,(O$379/O$13-N$379/N$13)/O$2),0))*P$13</f>
        <v>0.66365677494047759</v>
      </c>
      <c r="Q379" s="8">
        <f ca="1">(P$379/P$13+ IF(Q$2&gt;0,Q$2*IF(Q$6=OFFSET(Assumptions!$B$8,0,$C$1),SUMPRODUCT(OFFSET(P$379,0,0,1,-OFFSET(Assumptions!$B$82,0,$C$1)),OFFSET(P$15,0,0,1,-OFFSET(Assumptions!$B$82,0,$C$1)))/OFFSET(Assumptions!$B$82,0,$C$1)-P$379/P$13,(P$379/P$13-O$379/O$13)/P$2),0))*Q$13</f>
        <v>0.69188144680137897</v>
      </c>
      <c r="R379" s="8">
        <f ca="1">(Q$379/Q$13+ IF(R$2&gt;0,R$2*IF(R$6=OFFSET(Assumptions!$B$8,0,$C$1),SUMPRODUCT(OFFSET(Q$379,0,0,1,-OFFSET(Assumptions!$B$82,0,$C$1)),OFFSET(Q$15,0,0,1,-OFFSET(Assumptions!$B$82,0,$C$1)))/OFFSET(Assumptions!$B$82,0,$C$1)-Q$379/Q$13,(Q$379/Q$13-P$379/P$13)/Q$2),0))*R$13</f>
        <v>0.72098492429075922</v>
      </c>
      <c r="S379" s="8">
        <f ca="1">(R$379/R$13+ IF(S$2&gt;0,S$2*IF(S$6=OFFSET(Assumptions!$B$8,0,$C$1),SUMPRODUCT(OFFSET(R$379,0,0,1,-OFFSET(Assumptions!$B$82,0,$C$1)),OFFSET(R$15,0,0,1,-OFFSET(Assumptions!$B$82,0,$C$1)))/OFFSET(Assumptions!$B$82,0,$C$1)-R$379/R$13,(R$379/R$13-Q$379/Q$13)/R$2),0))*S$13</f>
        <v>0.75109931524158879</v>
      </c>
      <c r="T379" s="8">
        <f ca="1">(S$379/S$13+ IF(T$2&gt;0,T$2*IF(T$6=OFFSET(Assumptions!$B$8,0,$C$1),SUMPRODUCT(OFFSET(S$379,0,0,1,-OFFSET(Assumptions!$B$82,0,$C$1)),OFFSET(S$15,0,0,1,-OFFSET(Assumptions!$B$82,0,$C$1)))/OFFSET(Assumptions!$B$82,0,$C$1)-S$379/S$13,(S$379/S$13-R$379/R$13)/S$2),0))*T$13</f>
        <v>0.78217785292231912</v>
      </c>
    </row>
    <row r="380" spans="1:20" ht="15" x14ac:dyDescent="0.25">
      <c r="A380" s="2" t="s">
        <v>619</v>
      </c>
      <c r="B380" s="4" t="str">
        <f>$B$38</f>
        <v>From Fiscal</v>
      </c>
      <c r="D380" s="40">
        <f>'Fiscal Forecasts'!D$120</f>
        <v>0.995</v>
      </c>
      <c r="E380" s="40">
        <f>'Fiscal Forecasts'!E$120</f>
        <v>1.1100000000000001</v>
      </c>
      <c r="F380" s="39">
        <f>'Fiscal Forecasts'!F$120</f>
        <v>1.133</v>
      </c>
      <c r="G380" s="39">
        <f>'Fiscal Forecasts'!G$120</f>
        <v>1.026</v>
      </c>
      <c r="H380" s="39">
        <f>'Fiscal Forecasts'!H$120</f>
        <v>1.0169999999999999</v>
      </c>
      <c r="I380" s="39">
        <f>'Fiscal Forecasts'!I$120</f>
        <v>1.022</v>
      </c>
      <c r="J380" s="39">
        <f>'Fiscal Forecasts'!J$120</f>
        <v>1.0449999999999999</v>
      </c>
      <c r="K380" s="8">
        <f ca="1">SUM(K$379,((J$380-J$379)/J$13+ IF(K$2&gt;0,K$2*IF(K$6=OFFSET(Assumptions!$B$8,0,$C$1),(SUMPRODUCT(OFFSET(J$380,0,0,1,-OFFSET(Assumptions!$B$82,0,$C$1)),OFFSET(J$15,0,0,1,-OFFSET(Assumptions!$B$82,0,$C$1)))-SUMPRODUCT(OFFSET(J$379,0,0,1,-OFFSET(Assumptions!$B$82,0,$C$1)),OFFSET(J$15,0,0,1,-OFFSET(Assumptions!$B$82,0,$C$1))))/OFFSET(Assumptions!$B$82,0,$C$1)-(J$380-J$379)/J$13,((J$380-J$379)/J$13-(I$380-I$379)/I$13)/J$2),0))*K$13)</f>
        <v>1.0992968414056461</v>
      </c>
      <c r="L380" s="8">
        <f ca="1">SUM(L$379,((K$380-K$379)/K$13+ IF(L$2&gt;0,L$2*IF(L$6=OFFSET(Assumptions!$B$8,0,$C$1),(SUMPRODUCT(OFFSET(K$380,0,0,1,-OFFSET(Assumptions!$B$82,0,$C$1)),OFFSET(K$15,0,0,1,-OFFSET(Assumptions!$B$82,0,$C$1)))-SUMPRODUCT(OFFSET(K$379,0,0,1,-OFFSET(Assumptions!$B$82,0,$C$1)),OFFSET(K$15,0,0,1,-OFFSET(Assumptions!$B$82,0,$C$1))))/OFFSET(Assumptions!$B$82,0,$C$1)-(K$380-K$379)/K$13,((K$380-K$379)/K$13-(J$380-J$379)/J$13)/K$2),0))*L$13)</f>
        <v>1.1554927870380696</v>
      </c>
      <c r="M380" s="8">
        <f ca="1">SUM(M$379,((L$380-L$379)/L$13+ IF(M$2&gt;0,M$2*IF(M$6=OFFSET(Assumptions!$B$8,0,$C$1),(SUMPRODUCT(OFFSET(L$380,0,0,1,-OFFSET(Assumptions!$B$82,0,$C$1)),OFFSET(L$15,0,0,1,-OFFSET(Assumptions!$B$82,0,$C$1)))-SUMPRODUCT(OFFSET(L$379,0,0,1,-OFFSET(Assumptions!$B$82,0,$C$1)),OFFSET(L$15,0,0,1,-OFFSET(Assumptions!$B$82,0,$C$1))))/OFFSET(Assumptions!$B$82,0,$C$1)-(L$380-L$379)/L$13,((L$380-L$379)/L$13-(K$380-K$379)/K$13)/L$2),0))*M$13)</f>
        <v>1.2122231887980539</v>
      </c>
      <c r="N380" s="8">
        <f ca="1">SUM(N$379,((M$380-M$379)/M$13+ IF(N$2&gt;0,N$2*IF(N$6=OFFSET(Assumptions!$B$8,0,$C$1),(SUMPRODUCT(OFFSET(M$380,0,0,1,-OFFSET(Assumptions!$B$82,0,$C$1)),OFFSET(M$15,0,0,1,-OFFSET(Assumptions!$B$82,0,$C$1)))-SUMPRODUCT(OFFSET(M$379,0,0,1,-OFFSET(Assumptions!$B$82,0,$C$1)),OFFSET(M$15,0,0,1,-OFFSET(Assumptions!$B$82,0,$C$1))))/OFFSET(Assumptions!$B$82,0,$C$1)-(M$380-M$379)/M$13,((M$380-M$379)/M$13-(L$380-L$379)/L$13)/M$2),0))*N$13)</f>
        <v>1.2694783185745349</v>
      </c>
      <c r="O380" s="8">
        <f ca="1">SUM(O$379,((N$380-N$379)/N$13+ IF(O$2&gt;0,O$2*IF(O$6=OFFSET(Assumptions!$B$8,0,$C$1),(SUMPRODUCT(OFFSET(N$380,0,0,1,-OFFSET(Assumptions!$B$82,0,$C$1)),OFFSET(N$15,0,0,1,-OFFSET(Assumptions!$B$82,0,$C$1)))-SUMPRODUCT(OFFSET(N$379,0,0,1,-OFFSET(Assumptions!$B$82,0,$C$1)),OFFSET(N$15,0,0,1,-OFFSET(Assumptions!$B$82,0,$C$1))))/OFFSET(Assumptions!$B$82,0,$C$1)-(N$380-N$379)/N$13,((N$380-N$379)/N$13-(M$380-M$379)/M$13)/N$2),0))*O$13)</f>
        <v>1.326605089643023</v>
      </c>
      <c r="P380" s="8">
        <f ca="1">SUM(P$379,((O$380-O$379)/O$13+ IF(P$2&gt;0,P$2*IF(P$6=OFFSET(Assumptions!$B$8,0,$C$1),(SUMPRODUCT(OFFSET(O$380,0,0,1,-OFFSET(Assumptions!$B$82,0,$C$1)),OFFSET(O$15,0,0,1,-OFFSET(Assumptions!$B$82,0,$C$1)))-SUMPRODUCT(OFFSET(O$379,0,0,1,-OFFSET(Assumptions!$B$82,0,$C$1)),OFFSET(O$15,0,0,1,-OFFSET(Assumptions!$B$82,0,$C$1))))/OFFSET(Assumptions!$B$82,0,$C$1)-(O$380-O$379)/O$13,((O$380-O$379)/O$13-(N$380-N$379)/N$13)/O$2),0))*P$13)</f>
        <v>1.383548355093299</v>
      </c>
      <c r="Q380" s="8">
        <f ca="1">SUM(Q$379,((P$380-P$379)/P$13+ IF(Q$2&gt;0,Q$2*IF(Q$6=OFFSET(Assumptions!$B$8,0,$C$1),(SUMPRODUCT(OFFSET(P$380,0,0,1,-OFFSET(Assumptions!$B$82,0,$C$1)),OFFSET(P$15,0,0,1,-OFFSET(Assumptions!$B$82,0,$C$1)))-SUMPRODUCT(OFFSET(P$379,0,0,1,-OFFSET(Assumptions!$B$82,0,$C$1)),OFFSET(P$15,0,0,1,-OFFSET(Assumptions!$B$82,0,$C$1))))/OFFSET(Assumptions!$B$82,0,$C$1)-(P$380-P$379)/P$13,((P$380-P$379)/P$13-(O$380-O$379)/O$13)/P$2),0))*Q$13)</f>
        <v>1.4423893099373153</v>
      </c>
      <c r="R380" s="8">
        <f ca="1">SUM(R$379,((Q$380-Q$379)/Q$13+ IF(R$2&gt;0,R$2*IF(R$6=OFFSET(Assumptions!$B$8,0,$C$1),(SUMPRODUCT(OFFSET(Q$380,0,0,1,-OFFSET(Assumptions!$B$82,0,$C$1)),OFFSET(Q$15,0,0,1,-OFFSET(Assumptions!$B$82,0,$C$1)))-SUMPRODUCT(OFFSET(Q$379,0,0,1,-OFFSET(Assumptions!$B$82,0,$C$1)),OFFSET(Q$15,0,0,1,-OFFSET(Assumptions!$B$82,0,$C$1))))/OFFSET(Assumptions!$B$82,0,$C$1)-(Q$380-Q$379)/Q$13,((Q$380-Q$379)/Q$13-(P$380-P$379)/P$13)/Q$2),0))*R$13)</f>
        <v>1.5030623414324555</v>
      </c>
      <c r="S380" s="8">
        <f ca="1">SUM(S$379,((R$380-R$379)/R$13+ IF(S$2&gt;0,S$2*IF(S$6=OFFSET(Assumptions!$B$8,0,$C$1),(SUMPRODUCT(OFFSET(R$380,0,0,1,-OFFSET(Assumptions!$B$82,0,$C$1)),OFFSET(R$15,0,0,1,-OFFSET(Assumptions!$B$82,0,$C$1)))-SUMPRODUCT(OFFSET(R$379,0,0,1,-OFFSET(Assumptions!$B$82,0,$C$1)),OFFSET(R$15,0,0,1,-OFFSET(Assumptions!$B$82,0,$C$1))))/OFFSET(Assumptions!$B$82,0,$C$1)-(R$380-R$379)/R$13,((R$380-R$379)/R$13-(Q$380-Q$379)/Q$13)/R$2),0))*S$13)</f>
        <v>1.5658428593717075</v>
      </c>
      <c r="T380" s="8">
        <f ca="1">SUM(T$379,((S$380-S$379)/S$13+ IF(T$2&gt;0,T$2*IF(T$6=OFFSET(Assumptions!$B$8,0,$C$1),(SUMPRODUCT(OFFSET(S$380,0,0,1,-OFFSET(Assumptions!$B$82,0,$C$1)),OFFSET(S$15,0,0,1,-OFFSET(Assumptions!$B$82,0,$C$1)))-SUMPRODUCT(OFFSET(S$379,0,0,1,-OFFSET(Assumptions!$B$82,0,$C$1)),OFFSET(S$15,0,0,1,-OFFSET(Assumptions!$B$82,0,$C$1))))/OFFSET(Assumptions!$B$82,0,$C$1)-(S$380-S$379)/S$13,((S$380-S$379)/S$13-(R$380-R$379)/R$13)/S$2),0))*T$13)</f>
        <v>1.6306333675236602</v>
      </c>
    </row>
    <row r="381" spans="1:20" ht="15" x14ac:dyDescent="0.25">
      <c r="A381" s="2"/>
      <c r="B381" s="4"/>
      <c r="D381" s="40"/>
      <c r="E381" s="40"/>
      <c r="F381" s="40"/>
      <c r="G381" s="40"/>
      <c r="H381" s="40"/>
      <c r="I381" s="40"/>
      <c r="J381" s="40"/>
      <c r="K381" s="40"/>
      <c r="L381" s="40"/>
      <c r="M381" s="40"/>
      <c r="N381" s="40"/>
      <c r="O381" s="40"/>
      <c r="P381" s="40"/>
      <c r="Q381" s="40"/>
      <c r="R381" s="40"/>
      <c r="S381" s="40"/>
      <c r="T381" s="40"/>
    </row>
    <row r="382" spans="1:20" x14ac:dyDescent="0.2">
      <c r="A382" s="19" t="s">
        <v>225</v>
      </c>
    </row>
    <row r="383" spans="1:20" ht="15" x14ac:dyDescent="0.25">
      <c r="A383" s="2" t="s">
        <v>620</v>
      </c>
      <c r="B383" s="4" t="str">
        <f>$B$38</f>
        <v>From Fiscal</v>
      </c>
      <c r="D383" s="40">
        <f>'Fiscal Forecasts'!D$176-D$379</f>
        <v>1.0919999999999999</v>
      </c>
      <c r="E383" s="40">
        <f>'Fiscal Forecasts'!E$176-E$379</f>
        <v>1.254</v>
      </c>
      <c r="F383" s="39">
        <f>'Fiscal Forecasts'!F$176-F$379</f>
        <v>1.2789999999999999</v>
      </c>
      <c r="G383" s="39">
        <f>'Fiscal Forecasts'!G$176-G$379</f>
        <v>1.1859999999999999</v>
      </c>
      <c r="H383" s="39">
        <f>'Fiscal Forecasts'!H$176-H$379</f>
        <v>1.214</v>
      </c>
      <c r="I383" s="39">
        <f>'Fiscal Forecasts'!I$176-I$379</f>
        <v>1.2120000000000002</v>
      </c>
      <c r="J383" s="39">
        <f>'Fiscal Forecasts'!J$176-J$379</f>
        <v>1.2330000000000001</v>
      </c>
      <c r="K383" s="8">
        <f ca="1">(J$383/J$13+ IF(K$2&gt;0,K$2*IF(K$6=OFFSET(Assumptions!$B$8,0,$C$1),SUMPRODUCT(OFFSET(J$383,0,0,1,-OFFSET(Assumptions!$B$82,0,$C$1)),OFFSET(J$15,0,0,1,-OFFSET(Assumptions!$B$82,0,$C$1)))/OFFSET(Assumptions!$B$82,0,$C$1)-J$383/J$13,(J$383/J$13-I$383/I$13)/J$2),0))*K$13</f>
        <v>1.2995782471801685</v>
      </c>
      <c r="L383" s="8">
        <f ca="1">(K$383/K$13+ IF(L$2&gt;0,L$2*IF(L$6=OFFSET(Assumptions!$B$8,0,$C$1),SUMPRODUCT(OFFSET(K$383,0,0,1,-OFFSET(Assumptions!$B$82,0,$C$1)),OFFSET(K$15,0,0,1,-OFFSET(Assumptions!$B$82,0,$C$1)))/OFFSET(Assumptions!$B$82,0,$C$1)-K$383/K$13,(K$383/K$13-J$383/J$13)/K$2),0))*L$13</f>
        <v>1.3680930920931038</v>
      </c>
      <c r="M383" s="8">
        <f ca="1">(L$383/L$13+ IF(M$2&gt;0,M$2*IF(M$6=OFFSET(Assumptions!$B$8,0,$C$1),SUMPRODUCT(OFFSET(L$383,0,0,1,-OFFSET(Assumptions!$B$82,0,$C$1)),OFFSET(L$15,0,0,1,-OFFSET(Assumptions!$B$82,0,$C$1)))/OFFSET(Assumptions!$B$82,0,$C$1)-L$383/L$13,(L$383/L$13-K$383/K$13)/L$2),0))*M$13</f>
        <v>1.4368787406028549</v>
      </c>
      <c r="N383" s="8">
        <f ca="1">(M$383/M$13+ IF(N$2&gt;0,N$2*IF(N$6=OFFSET(Assumptions!$B$8,0,$C$1),SUMPRODUCT(OFFSET(M$383,0,0,1,-OFFSET(Assumptions!$B$82,0,$C$1)),OFFSET(M$15,0,0,1,-OFFSET(Assumptions!$B$82,0,$C$1)))/OFFSET(Assumptions!$B$82,0,$C$1)-M$383/M$13,(M$383/M$13-L$383/L$13)/M$2),0))*N$13</f>
        <v>1.5058642116249317</v>
      </c>
      <c r="O383" s="8">
        <f ca="1">(N$383/N$13+ IF(O$2&gt;0,O$2*IF(O$6=OFFSET(Assumptions!$B$8,0,$C$1),SUMPRODUCT(OFFSET(N$383,0,0,1,-OFFSET(Assumptions!$B$82,0,$C$1)),OFFSET(N$15,0,0,1,-OFFSET(Assumptions!$B$82,0,$C$1)))/OFFSET(Assumptions!$B$82,0,$C$1)-N$383/N$13,(N$383/N$13-M$383/M$13)/N$2),0))*O$13</f>
        <v>1.5742103499279554</v>
      </c>
      <c r="P383" s="8">
        <f ca="1">(O$383/O$13+ IF(P$2&gt;0,P$2*IF(P$6=OFFSET(Assumptions!$B$8,0,$C$1),SUMPRODUCT(OFFSET(O$383,0,0,1,-OFFSET(Assumptions!$B$82,0,$C$1)),OFFSET(O$15,0,0,1,-OFFSET(Assumptions!$B$82,0,$C$1)))/OFFSET(Assumptions!$B$82,0,$C$1)-O$383/O$13,(O$383/O$13-N$383/N$13)/O$2),0))*P$13</f>
        <v>1.6417818363713255</v>
      </c>
      <c r="Q383" s="8">
        <f ca="1">(P$383/P$13+ IF(Q$2&gt;0,Q$2*IF(Q$6=OFFSET(Assumptions!$B$8,0,$C$1),SUMPRODUCT(OFFSET(P$383,0,0,1,-OFFSET(Assumptions!$B$82,0,$C$1)),OFFSET(P$15,0,0,1,-OFFSET(Assumptions!$B$82,0,$C$1)))/OFFSET(Assumptions!$B$82,0,$C$1)-P$383/P$13,(P$383/P$13-O$383/O$13)/P$2),0))*Q$13</f>
        <v>1.711605207952102</v>
      </c>
      <c r="R383" s="8">
        <f ca="1">(Q$383/Q$13+ IF(R$2&gt;0,R$2*IF(R$6=OFFSET(Assumptions!$B$8,0,$C$1),SUMPRODUCT(OFFSET(Q$383,0,0,1,-OFFSET(Assumptions!$B$82,0,$C$1)),OFFSET(Q$15,0,0,1,-OFFSET(Assumptions!$B$82,0,$C$1)))/OFFSET(Assumptions!$B$82,0,$C$1)-Q$383/Q$13,(Q$383/Q$13-P$383/P$13)/Q$2),0))*R$13</f>
        <v>1.7836026055852259</v>
      </c>
      <c r="S383" s="8">
        <f ca="1">(R$383/R$13+ IF(S$2&gt;0,S$2*IF(S$6=OFFSET(Assumptions!$B$8,0,$C$1),SUMPRODUCT(OFFSET(R$383,0,0,1,-OFFSET(Assumptions!$B$82,0,$C$1)),OFFSET(R$15,0,0,1,-OFFSET(Assumptions!$B$82,0,$C$1)))/OFFSET(Assumptions!$B$82,0,$C$1)-R$383/R$13,(R$383/R$13-Q$383/Q$13)/R$2),0))*S$13</f>
        <v>1.8581008431431734</v>
      </c>
      <c r="T383" s="8">
        <f ca="1">(S$383/S$13+ IF(T$2&gt;0,T$2*IF(T$6=OFFSET(Assumptions!$B$8,0,$C$1),SUMPRODUCT(OFFSET(S$383,0,0,1,-OFFSET(Assumptions!$B$82,0,$C$1)),OFFSET(S$15,0,0,1,-OFFSET(Assumptions!$B$82,0,$C$1)))/OFFSET(Assumptions!$B$82,0,$C$1)-S$383/S$13,(S$383/S$13-R$383/R$13)/S$2),0))*T$13</f>
        <v>1.9349842271330095</v>
      </c>
    </row>
    <row r="384" spans="1:20" ht="15" x14ac:dyDescent="0.25">
      <c r="A384" s="2" t="s">
        <v>621</v>
      </c>
      <c r="B384" s="4" t="str">
        <f>$B$38</f>
        <v>From Fiscal</v>
      </c>
      <c r="D384" s="40">
        <f>'Fiscal Forecasts'!D$121</f>
        <v>2.3889999999999998</v>
      </c>
      <c r="E384" s="40">
        <f>'Fiscal Forecasts'!E$121</f>
        <v>2.9140000000000001</v>
      </c>
      <c r="F384" s="39">
        <f>'Fiscal Forecasts'!F$121</f>
        <v>2.8969999999999998</v>
      </c>
      <c r="G384" s="39">
        <f>'Fiscal Forecasts'!G$121</f>
        <v>2.4900000000000002</v>
      </c>
      <c r="H384" s="39">
        <f>'Fiscal Forecasts'!H$121</f>
        <v>2.5089999999999999</v>
      </c>
      <c r="I384" s="39">
        <f>'Fiscal Forecasts'!I$121</f>
        <v>2.5299999999999998</v>
      </c>
      <c r="J384" s="39">
        <f>'Fiscal Forecasts'!J$121</f>
        <v>2.59</v>
      </c>
      <c r="K384" s="8">
        <f ca="1">SUM(K$383,((J$384-J$383)/J$13+ IF(K$2&gt;0,K$2*IF(K$6=OFFSET(Assumptions!$B$8,0,$C$1),(SUMPRODUCT(OFFSET(J$384,0,0,1,-OFFSET(Assumptions!$B$82,0,$C$1)),OFFSET(J$15,0,0,1,-OFFSET(Assumptions!$B$82,0,$C$1)))-SUMPRODUCT(OFFSET(J$383,0,0,1,-OFFSET(Assumptions!$B$82,0,$C$1)),OFFSET(J$15,0,0,1,-OFFSET(Assumptions!$B$82,0,$C$1))))/OFFSET(Assumptions!$B$82,0,$C$1)-(J$384-J$383)/J$13,((J$384-J$383)/J$13-(I$384-I$383)/I$13)/J$2),0))*K$13)</f>
        <v>2.722746351495466</v>
      </c>
      <c r="L384" s="8">
        <f ca="1">SUM(L$383,((K$384-K$383)/K$13+ IF(L$2&gt;0,L$2*IF(L$6=OFFSET(Assumptions!$B$8,0,$C$1),(SUMPRODUCT(OFFSET(K$384,0,0,1,-OFFSET(Assumptions!$B$82,0,$C$1)),OFFSET(K$15,0,0,1,-OFFSET(Assumptions!$B$82,0,$C$1)))-SUMPRODUCT(OFFSET(K$383,0,0,1,-OFFSET(Assumptions!$B$82,0,$C$1)),OFFSET(K$15,0,0,1,-OFFSET(Assumptions!$B$82,0,$C$1))))/OFFSET(Assumptions!$B$82,0,$C$1)-(K$384-K$383)/K$13,((K$384-K$383)/K$13-(J$384-J$383)/J$13)/K$2),0))*L$13)</f>
        <v>2.86042065301528</v>
      </c>
      <c r="M384" s="8">
        <f ca="1">SUM(M$383,((L$384-L$383)/L$13+ IF(M$2&gt;0,M$2*IF(M$6=OFFSET(Assumptions!$B$8,0,$C$1),(SUMPRODUCT(OFFSET(L$384,0,0,1,-OFFSET(Assumptions!$B$82,0,$C$1)),OFFSET(L$15,0,0,1,-OFFSET(Assumptions!$B$82,0,$C$1)))-SUMPRODUCT(OFFSET(L$383,0,0,1,-OFFSET(Assumptions!$B$82,0,$C$1)),OFFSET(L$15,0,0,1,-OFFSET(Assumptions!$B$82,0,$C$1))))/OFFSET(Assumptions!$B$82,0,$C$1)-(L$384-L$383)/L$13,((L$384-L$383)/L$13-(K$384-K$383)/K$13)/L$2),0))*M$13)</f>
        <v>2.9996811082319876</v>
      </c>
      <c r="N384" s="8">
        <f ca="1">SUM(N$383,((M$384-M$383)/M$13+ IF(N$2&gt;0,N$2*IF(N$6=OFFSET(Assumptions!$B$8,0,$C$1),(SUMPRODUCT(OFFSET(M$384,0,0,1,-OFFSET(Assumptions!$B$82,0,$C$1)),OFFSET(M$15,0,0,1,-OFFSET(Assumptions!$B$82,0,$C$1)))-SUMPRODUCT(OFFSET(M$383,0,0,1,-OFFSET(Assumptions!$B$82,0,$C$1)),OFFSET(M$15,0,0,1,-OFFSET(Assumptions!$B$82,0,$C$1))))/OFFSET(Assumptions!$B$82,0,$C$1)-(M$384-M$383)/M$13,((M$384-M$383)/M$13-(L$384-L$383)/L$13)/M$2),0))*N$13)</f>
        <v>3.140546855577024</v>
      </c>
      <c r="O384" s="8">
        <f ca="1">SUM(O$383,((N$384-N$383)/N$13+ IF(O$2&gt;0,O$2*IF(O$6=OFFSET(Assumptions!$B$8,0,$C$1),(SUMPRODUCT(OFFSET(N$384,0,0,1,-OFFSET(Assumptions!$B$82,0,$C$1)),OFFSET(N$15,0,0,1,-OFFSET(Assumptions!$B$82,0,$C$1)))-SUMPRODUCT(OFFSET(N$383,0,0,1,-OFFSET(Assumptions!$B$82,0,$C$1)),OFFSET(N$15,0,0,1,-OFFSET(Assumptions!$B$82,0,$C$1))))/OFFSET(Assumptions!$B$82,0,$C$1)-(N$384-N$383)/N$13,((N$384-N$383)/N$13-(M$384-M$383)/M$13)/N$2),0))*O$13)</f>
        <v>3.2814490834895595</v>
      </c>
      <c r="P384" s="8">
        <f ca="1">SUM(P$383,((O$384-O$383)/O$13+ IF(P$2&gt;0,P$2*IF(P$6=OFFSET(Assumptions!$B$8,0,$C$1),(SUMPRODUCT(OFFSET(O$384,0,0,1,-OFFSET(Assumptions!$B$82,0,$C$1)),OFFSET(O$15,0,0,1,-OFFSET(Assumptions!$B$82,0,$C$1)))-SUMPRODUCT(OFFSET(O$383,0,0,1,-OFFSET(Assumptions!$B$82,0,$C$1)),OFFSET(O$15,0,0,1,-OFFSET(Assumptions!$B$82,0,$C$1))))/OFFSET(Assumptions!$B$82,0,$C$1)-(O$384-O$383)/O$13,((O$384-O$383)/O$13-(N$384-N$383)/N$13)/O$2),0))*P$13)</f>
        <v>3.4223021735926529</v>
      </c>
      <c r="Q384" s="8">
        <f ca="1">SUM(Q$383,((P$384-P$383)/P$13+ IF(Q$2&gt;0,Q$2*IF(Q$6=OFFSET(Assumptions!$B$8,0,$C$1),(SUMPRODUCT(OFFSET(P$384,0,0,1,-OFFSET(Assumptions!$B$82,0,$C$1)),OFFSET(P$15,0,0,1,-OFFSET(Assumptions!$B$82,0,$C$1)))-SUMPRODUCT(OFFSET(P$383,0,0,1,-OFFSET(Assumptions!$B$82,0,$C$1)),OFFSET(P$15,0,0,1,-OFFSET(Assumptions!$B$82,0,$C$1))))/OFFSET(Assumptions!$B$82,0,$C$1)-(P$384-P$383)/P$13,((P$384-P$383)/P$13-(O$384-O$383)/O$13)/P$2),0))*Q$13)</f>
        <v>3.5678493291493263</v>
      </c>
      <c r="R384" s="8">
        <f ca="1">SUM(R$383,((Q$384-Q$383)/Q$13+ IF(R$2&gt;0,R$2*IF(R$6=OFFSET(Assumptions!$B$8,0,$C$1),(SUMPRODUCT(OFFSET(Q$384,0,0,1,-OFFSET(Assumptions!$B$82,0,$C$1)),OFFSET(Q$15,0,0,1,-OFFSET(Assumptions!$B$82,0,$C$1)))-SUMPRODUCT(OFFSET(Q$383,0,0,1,-OFFSET(Assumptions!$B$82,0,$C$1)),OFFSET(Q$15,0,0,1,-OFFSET(Assumptions!$B$82,0,$C$1))))/OFFSET(Assumptions!$B$82,0,$C$1)-(Q$384-Q$383)/Q$13,((Q$384-Q$383)/Q$13-(P$384-P$383)/P$13)/Q$2),0))*R$13)</f>
        <v>3.7179282525204371</v>
      </c>
      <c r="S384" s="8">
        <f ca="1">SUM(S$383,((R$384-R$383)/R$13+ IF(S$2&gt;0,S$2*IF(S$6=OFFSET(Assumptions!$B$8,0,$C$1),(SUMPRODUCT(OFFSET(R$384,0,0,1,-OFFSET(Assumptions!$B$82,0,$C$1)),OFFSET(R$15,0,0,1,-OFFSET(Assumptions!$B$82,0,$C$1)))-SUMPRODUCT(OFFSET(R$383,0,0,1,-OFFSET(Assumptions!$B$82,0,$C$1)),OFFSET(R$15,0,0,1,-OFFSET(Assumptions!$B$82,0,$C$1))))/OFFSET(Assumptions!$B$82,0,$C$1)-(R$384-R$383)/R$13,((R$384-R$383)/R$13-(Q$384-Q$383)/Q$13)/R$2),0))*S$13)</f>
        <v>3.8732201888028417</v>
      </c>
      <c r="T384" s="8">
        <f ca="1">SUM(T$383,((S$384-S$383)/S$13+ IF(T$2&gt;0,T$2*IF(T$6=OFFSET(Assumptions!$B$8,0,$C$1),(SUMPRODUCT(OFFSET(S$384,0,0,1,-OFFSET(Assumptions!$B$82,0,$C$1)),OFFSET(S$15,0,0,1,-OFFSET(Assumptions!$B$82,0,$C$1)))-SUMPRODUCT(OFFSET(S$383,0,0,1,-OFFSET(Assumptions!$B$82,0,$C$1)),OFFSET(S$15,0,0,1,-OFFSET(Assumptions!$B$82,0,$C$1))))/OFFSET(Assumptions!$B$82,0,$C$1)-(S$384-S$383)/S$13,((S$384-S$383)/S$13-(R$384-R$383)/R$13)/S$2),0))*T$13)</f>
        <v>4.033483974351304</v>
      </c>
    </row>
    <row r="385" spans="1:21" ht="15" x14ac:dyDescent="0.25">
      <c r="A385" s="2"/>
      <c r="B385" s="4"/>
      <c r="D385" s="7"/>
      <c r="E385" s="7"/>
      <c r="F385" s="7"/>
      <c r="G385" s="7"/>
      <c r="H385" s="7"/>
      <c r="I385" s="7"/>
      <c r="J385" s="7"/>
      <c r="K385" s="7"/>
      <c r="L385" s="7"/>
      <c r="M385" s="7"/>
      <c r="N385" s="7"/>
      <c r="O385" s="7"/>
      <c r="P385" s="7"/>
      <c r="Q385" s="7"/>
      <c r="R385" s="7"/>
      <c r="S385" s="7"/>
      <c r="T385" s="7"/>
      <c r="U385" s="7"/>
    </row>
    <row r="386" spans="1:21" x14ac:dyDescent="0.2">
      <c r="A386" s="19" t="s">
        <v>622</v>
      </c>
      <c r="B386" s="4"/>
      <c r="D386" s="7"/>
      <c r="E386" s="7"/>
      <c r="F386" s="7"/>
      <c r="G386" s="7"/>
      <c r="H386" s="7"/>
      <c r="I386" s="7"/>
      <c r="J386" s="7"/>
      <c r="K386" s="7"/>
      <c r="L386" s="7"/>
      <c r="M386" s="7"/>
      <c r="N386" s="7"/>
      <c r="O386" s="7"/>
      <c r="P386" s="7"/>
      <c r="Q386" s="7"/>
      <c r="R386" s="7"/>
      <c r="S386" s="7"/>
      <c r="T386" s="7"/>
      <c r="U386" s="7"/>
    </row>
    <row r="387" spans="1:21" ht="15" x14ac:dyDescent="0.25">
      <c r="A387" s="1" t="s">
        <v>626</v>
      </c>
      <c r="B387" s="4"/>
      <c r="C387" s="61">
        <f ca="1">OFFSET(Assumptions!$B$72,0,$C$1)*C$354</f>
        <v>0.25809000000000004</v>
      </c>
      <c r="D387" s="15">
        <f ca="1">OFFSET(Assumptions!$B$72,0,$C$1)*D$354</f>
        <v>0.29522000000000004</v>
      </c>
      <c r="E387" s="15">
        <f ca="1">OFFSET(Assumptions!$B$72,0,$C$1)*E$354</f>
        <v>0.29527000000000003</v>
      </c>
      <c r="F387" s="16">
        <f ca="1">OFFSET(Assumptions!$B$72,0,$C$1)*F$354</f>
        <v>0.34511000000000003</v>
      </c>
      <c r="G387" s="16">
        <f ca="1">OFFSET(Assumptions!$B$72,0,$C$1)*G$354</f>
        <v>0.36818000000000006</v>
      </c>
      <c r="H387" s="16">
        <f ca="1">OFFSET(Assumptions!$B$72,0,$C$1)*H$354</f>
        <v>0.39291000000000004</v>
      </c>
      <c r="I387" s="16">
        <f ca="1">OFFSET(Assumptions!$B$72,0,$C$1)*I$354</f>
        <v>0.41938999999999999</v>
      </c>
      <c r="J387" s="16">
        <f ca="1">OFFSET(Assumptions!$B$72,0,$C$1)*J$354</f>
        <v>0.46958999999999995</v>
      </c>
      <c r="K387" s="7">
        <f ca="1">OFFSET(Assumptions!$B$72,0,$C$1)/SUM(OFFSET(Assumptions!$B$68,0,$C$1,6,1))*SUM(K$354,K$70,-K$322,K$429)</f>
        <v>0.51731437003204017</v>
      </c>
      <c r="L387" s="7">
        <f ca="1">OFFSET(Assumptions!$B$72,0,$C$1)/SUM(OFFSET(Assumptions!$B$68,0,$C$1,6,1))*SUM(L$354,L$70,-L$322,L$429)</f>
        <v>0.56508458612142165</v>
      </c>
      <c r="M387" s="7">
        <f ca="1">OFFSET(Assumptions!$B$72,0,$C$1)/SUM(OFFSET(Assumptions!$B$68,0,$C$1,6,1))*SUM(M$354,M$70,-M$322,M$429)</f>
        <v>0.61383520023584626</v>
      </c>
      <c r="N387" s="7">
        <f ca="1">OFFSET(Assumptions!$B$72,0,$C$1)/SUM(OFFSET(Assumptions!$B$68,0,$C$1,6,1))*SUM(N$354,N$70,-N$322,N$429)</f>
        <v>0.66362166232109354</v>
      </c>
      <c r="O387" s="7">
        <f ca="1">OFFSET(Assumptions!$B$72,0,$C$1)/SUM(OFFSET(Assumptions!$B$68,0,$C$1,6,1))*SUM(O$354,O$70,-O$322,O$429)</f>
        <v>0.71409325782778521</v>
      </c>
      <c r="P387" s="7">
        <f ca="1">OFFSET(Assumptions!$B$72,0,$C$1)/SUM(OFFSET(Assumptions!$B$68,0,$C$1,6,1))*SUM(P$354,P$70,-P$322,P$429)</f>
        <v>0.76483157023124348</v>
      </c>
      <c r="Q387" s="7">
        <f ca="1">OFFSET(Assumptions!$B$72,0,$C$1)/SUM(OFFSET(Assumptions!$B$68,0,$C$1,6,1))*SUM(Q$354,Q$70,-Q$322,Q$429)</f>
        <v>0.81497821244798541</v>
      </c>
      <c r="R387" s="7">
        <f ca="1">OFFSET(Assumptions!$B$72,0,$C$1)/SUM(OFFSET(Assumptions!$B$68,0,$C$1,6,1))*SUM(R$354,R$70,-R$322,R$429)</f>
        <v>0.86450511693589005</v>
      </c>
      <c r="S387" s="7">
        <f ca="1">OFFSET(Assumptions!$B$72,0,$C$1)/SUM(OFFSET(Assumptions!$B$68,0,$C$1,6,1))*SUM(S$354,S$70,-S$322,S$429)</f>
        <v>0.91377469312483328</v>
      </c>
      <c r="T387" s="7">
        <f ca="1">OFFSET(Assumptions!$B$72,0,$C$1)/SUM(OFFSET(Assumptions!$B$68,0,$C$1,6,1))*SUM(T$354,T$70,-T$322,T$429)</f>
        <v>0.96280124665394651</v>
      </c>
    </row>
    <row r="388" spans="1:21" x14ac:dyDescent="0.2">
      <c r="A388" s="1" t="s">
        <v>627</v>
      </c>
      <c r="B388" s="4" t="str">
        <f>$B$38</f>
        <v>From Fiscal</v>
      </c>
      <c r="D388" s="15">
        <f ca="1">'Fiscal Forecasts'!D$173-D$387</f>
        <v>31.993780000000001</v>
      </c>
      <c r="E388" s="15">
        <f ca="1">'Fiscal Forecasts'!E$173-E$387</f>
        <v>35.401730000000001</v>
      </c>
      <c r="F388" s="16">
        <f ca="1">'Fiscal Forecasts'!F$173-F$387 +IF(OFFSET(Assumptions!$B$64,0,$C$1)="Yes",SUM(F$422:F$423),0)</f>
        <v>38.80189</v>
      </c>
      <c r="G388" s="16">
        <f ca="1">'Fiscal Forecasts'!G$173-G$387 +IF(OFFSET(Assumptions!$B$64,0,$C$1)="Yes",SUM(G$422:G$423),0)</f>
        <v>40.759819999999998</v>
      </c>
      <c r="H388" s="16">
        <f ca="1">'Fiscal Forecasts'!H$173-H$387 +IF(OFFSET(Assumptions!$B$64,0,$C$1)="Yes",SUM(H$422:H$423),0)</f>
        <v>41.816090000000003</v>
      </c>
      <c r="I388" s="16">
        <f ca="1">'Fiscal Forecasts'!I$173-I$387 +IF(OFFSET(Assumptions!$B$64,0,$C$1)="Yes",SUM(I$422:I$423),0)</f>
        <v>42.301609999999997</v>
      </c>
      <c r="J388" s="16">
        <f ca="1">'Fiscal Forecasts'!J$173-J$387 +IF(OFFSET(Assumptions!$B$64,0,$C$1)="Yes",SUM(J$422:J$423),0)</f>
        <v>42.511410000000005</v>
      </c>
      <c r="K388" s="7">
        <f t="shared" ref="K388:T388" ca="1" si="161">SUM(J$388,-(K$387-J$387),K$393,-K$394,-K$395)</f>
        <v>42.511409999999998</v>
      </c>
      <c r="L388" s="7">
        <f t="shared" ca="1" si="161"/>
        <v>42.511409999999998</v>
      </c>
      <c r="M388" s="7">
        <f t="shared" ca="1" si="161"/>
        <v>42.511409999999998</v>
      </c>
      <c r="N388" s="7">
        <f t="shared" ca="1" si="161"/>
        <v>42.511409999999998</v>
      </c>
      <c r="O388" s="7">
        <f t="shared" ca="1" si="161"/>
        <v>42.511410000000005</v>
      </c>
      <c r="P388" s="7">
        <f t="shared" ca="1" si="161"/>
        <v>42.511410000000005</v>
      </c>
      <c r="Q388" s="7">
        <f t="shared" ca="1" si="161"/>
        <v>42.511409999999998</v>
      </c>
      <c r="R388" s="7">
        <f t="shared" ca="1" si="161"/>
        <v>42.511409999999998</v>
      </c>
      <c r="S388" s="7">
        <f t="shared" ca="1" si="161"/>
        <v>42.511409999999998</v>
      </c>
      <c r="T388" s="7">
        <f t="shared" ca="1" si="161"/>
        <v>42.511410000000005</v>
      </c>
    </row>
    <row r="389" spans="1:21" ht="15" x14ac:dyDescent="0.25">
      <c r="A389" s="2" t="s">
        <v>625</v>
      </c>
      <c r="B389" s="4"/>
      <c r="C389" s="61">
        <f>'Fiscal Forecasts'!C$173</f>
        <v>30.963000000000001</v>
      </c>
      <c r="D389" s="35">
        <f t="shared" ref="D389:T389" ca="1" si="162">SUM(D$387:D$388)</f>
        <v>32.289000000000001</v>
      </c>
      <c r="E389" s="35">
        <f t="shared" ca="1" si="162"/>
        <v>35.697000000000003</v>
      </c>
      <c r="F389" s="34">
        <f t="shared" ca="1" si="162"/>
        <v>39.146999999999998</v>
      </c>
      <c r="G389" s="34">
        <f t="shared" ca="1" si="162"/>
        <v>41.128</v>
      </c>
      <c r="H389" s="34">
        <f t="shared" ca="1" si="162"/>
        <v>42.209000000000003</v>
      </c>
      <c r="I389" s="34">
        <f t="shared" ca="1" si="162"/>
        <v>42.720999999999997</v>
      </c>
      <c r="J389" s="34">
        <f t="shared" ca="1" si="162"/>
        <v>42.981000000000002</v>
      </c>
      <c r="K389" s="38">
        <f t="shared" ca="1" si="162"/>
        <v>43.028724370032037</v>
      </c>
      <c r="L389" s="38">
        <f t="shared" ca="1" si="162"/>
        <v>43.07649458612142</v>
      </c>
      <c r="M389" s="38">
        <f t="shared" ca="1" si="162"/>
        <v>43.125245200235845</v>
      </c>
      <c r="N389" s="38">
        <f t="shared" ca="1" si="162"/>
        <v>43.175031662321089</v>
      </c>
      <c r="O389" s="38">
        <f t="shared" ca="1" si="162"/>
        <v>43.225503257827789</v>
      </c>
      <c r="P389" s="38">
        <f t="shared" ca="1" si="162"/>
        <v>43.27624157023125</v>
      </c>
      <c r="Q389" s="38">
        <f t="shared" ca="1" si="162"/>
        <v>43.326388212447981</v>
      </c>
      <c r="R389" s="38">
        <f t="shared" ca="1" si="162"/>
        <v>43.375915116935886</v>
      </c>
      <c r="S389" s="38">
        <f t="shared" ca="1" si="162"/>
        <v>43.425184693124834</v>
      </c>
      <c r="T389" s="38">
        <f t="shared" ca="1" si="162"/>
        <v>43.474211246653951</v>
      </c>
    </row>
    <row r="390" spans="1:21" x14ac:dyDescent="0.2">
      <c r="A390" s="1" t="s">
        <v>279</v>
      </c>
      <c r="B390" s="4" t="str">
        <f>$B$38</f>
        <v>From Fiscal</v>
      </c>
      <c r="D390" s="15">
        <f>'Fiscal Forecasts'!D$312</f>
        <v>61.417000000000002</v>
      </c>
      <c r="E390" s="15">
        <f>'Fiscal Forecasts'!E$312</f>
        <v>66.769000000000005</v>
      </c>
      <c r="F390" s="16">
        <f>'Fiscal Forecasts'!F$312</f>
        <v>72.186999999999998</v>
      </c>
      <c r="G390" s="16">
        <f>'Fiscal Forecasts'!G$312</f>
        <v>74.91</v>
      </c>
      <c r="H390" s="16">
        <f>'Fiscal Forecasts'!H$312</f>
        <v>77.754999999999995</v>
      </c>
      <c r="I390" s="16">
        <f>'Fiscal Forecasts'!I$312</f>
        <v>79.861999999999995</v>
      </c>
      <c r="J390" s="16">
        <f>'Fiscal Forecasts'!J$312</f>
        <v>81.034999999999997</v>
      </c>
      <c r="K390" s="7">
        <f ca="1">IF(K$6=OFFSET(Assumptions!$B$8,0,$C$1),AVERAGE(H$390/SUM(H$390,H$391),I$390/SUM(I$390,I$391),J$390/SUM(J$390,J$391)),J$390/SUM(J$390,J$391))*SUM(J$390,J$391,K$396-K$393,-(K$397-K$394),-(K$398-K$395))</f>
        <v>81.444113050385681</v>
      </c>
      <c r="L390" s="7">
        <f ca="1">IF(L$6=OFFSET(Assumptions!$B$8,0,$C$1),AVERAGE(I$390/SUM(I$390,I$391),J$390/SUM(J$390,J$391),K$390/SUM(K$390,K$391)),K$390/SUM(K$390,K$391))*SUM(K$390,K$391,L$396-L$393,-(L$397-L$394),-(L$398-L$395))</f>
        <v>82.545925954744746</v>
      </c>
      <c r="M390" s="7">
        <f ca="1">IF(M$6=OFFSET(Assumptions!$B$8,0,$C$1),AVERAGE(J$390/SUM(J$390,J$391),K$390/SUM(K$390,K$391),L$390/SUM(L$390,L$391)),L$390/SUM(L$390,L$391))*SUM(L$390,L$391,M$396-M$393,-(M$397-M$394),-(M$398-M$395))</f>
        <v>83.708302415550037</v>
      </c>
      <c r="N390" s="7">
        <f ca="1">IF(N$6=OFFSET(Assumptions!$B$8,0,$C$1),AVERAGE(K$390/SUM(K$390,K$391),L$390/SUM(L$390,L$391),M$390/SUM(M$390,M$391)),M$390/SUM(M$390,M$391))*SUM(M$390,M$391,N$396-N$393,-(N$397-N$394),-(N$398-N$395))</f>
        <v>84.921419536620448</v>
      </c>
      <c r="O390" s="7">
        <f ca="1">IF(O$6=OFFSET(Assumptions!$B$8,0,$C$1),AVERAGE(L$390/SUM(L$390,L$391),M$390/SUM(M$390,M$391),N$390/SUM(N$390,N$391)),N$390/SUM(N$390,N$391))*SUM(N$390,N$391,O$396-O$393,-(O$397-O$394),-(O$398-O$395))</f>
        <v>86.186964617838342</v>
      </c>
      <c r="P390" s="7">
        <f ca="1">IF(P$6=OFFSET(Assumptions!$B$8,0,$C$1),AVERAGE(M$390/SUM(M$390,M$391),N$390/SUM(N$390,N$391),O$390/SUM(O$390,O$391)),O$390/SUM(O$390,O$391))*SUM(O$390,O$391,P$396-P$393,-(P$397-P$394),-(P$398-P$395))</f>
        <v>87.506832021548192</v>
      </c>
      <c r="Q390" s="7">
        <f ca="1">IF(Q$6=OFFSET(Assumptions!$B$8,0,$C$1),AVERAGE(N$390/SUM(N$390,N$391),O$390/SUM(O$390,O$391),P$390/SUM(P$390,P$391)),P$390/SUM(P$390,P$391))*SUM(P$390,P$391,Q$396-Q$393,-(Q$397-Q$394),-(Q$398-Q$395))</f>
        <v>88.882832091684833</v>
      </c>
      <c r="R390" s="7">
        <f ca="1">IF(R$6=OFFSET(Assumptions!$B$8,0,$C$1),AVERAGE(O$390/SUM(O$390,O$391),P$390/SUM(P$390,P$391),Q$390/SUM(Q$390,Q$391)),Q$390/SUM(Q$390,Q$391))*SUM(Q$390,Q$391,R$396-R$393,-(R$397-R$394),-(R$398-R$395))</f>
        <v>90.316712579415793</v>
      </c>
      <c r="S390" s="7">
        <f ca="1">IF(S$6=OFFSET(Assumptions!$B$8,0,$C$1),AVERAGE(P$390/SUM(P$390,P$391),Q$390/SUM(Q$390,Q$391),R$390/SUM(R$390,R$391)),R$390/SUM(R$390,R$391))*SUM(R$390,R$391,S$396-S$393,-(S$397-S$394),-(S$398-S$395))</f>
        <v>91.810483969341092</v>
      </c>
      <c r="T390" s="7">
        <f ca="1">IF(T$6=OFFSET(Assumptions!$B$8,0,$C$1),AVERAGE(Q$390/SUM(Q$390,Q$391),R$390/SUM(R$390,R$391),S$390/SUM(S$390,S$391)),S$390/SUM(S$390,S$391))*SUM(S$390,S$391,T$396-T$393,-(T$397-T$394),-(T$398-T$395))</f>
        <v>93.366063737314562</v>
      </c>
    </row>
    <row r="391" spans="1:21" x14ac:dyDescent="0.2">
      <c r="A391" s="1" t="s">
        <v>506</v>
      </c>
      <c r="B391" s="4" t="str">
        <f>$B$38</f>
        <v>From Fiscal</v>
      </c>
      <c r="D391" s="15">
        <f>SUM('Fiscal Forecasts'!D$313:D$314)</f>
        <v>30.852</v>
      </c>
      <c r="E391" s="15">
        <f>SUM('Fiscal Forecasts'!E$313:E$314)</f>
        <v>32.033000000000001</v>
      </c>
      <c r="F391" s="16">
        <f>SUM('Fiscal Forecasts'!F$313:F$314)</f>
        <v>32.792000000000002</v>
      </c>
      <c r="G391" s="16">
        <f>SUM('Fiscal Forecasts'!G$313:G$314)</f>
        <v>32.815000000000005</v>
      </c>
      <c r="H391" s="16">
        <f>SUM('Fiscal Forecasts'!H$313:H$314)</f>
        <v>33.090000000000003</v>
      </c>
      <c r="I391" s="16">
        <f>SUM('Fiscal Forecasts'!I$313:I$314)</f>
        <v>32.956000000000003</v>
      </c>
      <c r="J391" s="16">
        <f>SUM('Fiscal Forecasts'!J$313:J$314)</f>
        <v>32.672000000000004</v>
      </c>
      <c r="K391" s="7">
        <f ca="1">IF(K$6=OFFSET(Assumptions!$B$8,0,$C$1),AVERAGE(H$391/SUM(H$390,H$391),I$391/SUM(I$390,I$391),J$391/SUM(J$390,J$391)),J$391/SUM(J$390,J$391))*SUM(J$390,J$391,K$396-K$393,-(K$397-K$394),-(K$398-K$395))</f>
        <v>33.697088377155247</v>
      </c>
      <c r="L391" s="7">
        <f ca="1">IF(L$6=OFFSET(Assumptions!$B$8,0,$C$1),AVERAGE(I$391/SUM(I$390,I$391),J$391/SUM(J$390,J$391),K$391/SUM(K$390,K$391)),K$391/SUM(K$390,K$391))*SUM(K$390,K$391,L$396-L$393,-(L$397-L$394),-(L$398-L$395))</f>
        <v>34.152957873705702</v>
      </c>
      <c r="M391" s="7">
        <f ca="1">IF(M$6=OFFSET(Assumptions!$B$8,0,$C$1),AVERAGE(J$391/SUM(J$390,J$391),K$391/SUM(K$390,K$391),L$391/SUM(L$390,L$391)),L$391/SUM(L$390,L$391))*SUM(L$390,L$391,M$396-M$393,-(M$397-M$394),-(M$398-M$395))</f>
        <v>34.633885234324744</v>
      </c>
      <c r="N391" s="7">
        <f ca="1">IF(N$6=OFFSET(Assumptions!$B$8,0,$C$1),AVERAGE(K$391/SUM(K$390,K$391),L$391/SUM(L$390,L$391),M$391/SUM(M$390,M$391)),M$391/SUM(M$390,M$391))*SUM(M$390,M$391,N$396-N$393,-(N$397-N$394),-(N$398-N$395))</f>
        <v>35.135806285576912</v>
      </c>
      <c r="O391" s="7">
        <f ca="1">IF(O$6=OFFSET(Assumptions!$B$8,0,$C$1),AVERAGE(L$391/SUM(L$390,L$391),M$391/SUM(M$390,M$391),N$391/SUM(N$390,N$391)),N$391/SUM(N$390,N$391))*SUM(N$390,N$391,O$396-O$393,-(O$397-O$394),-(O$398-O$395))</f>
        <v>35.659419139224056</v>
      </c>
      <c r="P391" s="7">
        <f ca="1">IF(P$6=OFFSET(Assumptions!$B$8,0,$C$1),AVERAGE(M$391/SUM(M$390,M$391),N$391/SUM(N$390,N$391),O$391/SUM(O$390,O$391)),O$391/SUM(O$390,O$391))*SUM(O$390,O$391,P$396-P$393,-(P$397-P$394),-(P$398-P$395))</f>
        <v>36.205507578070737</v>
      </c>
      <c r="Q391" s="7">
        <f ca="1">IF(Q$6=OFFSET(Assumptions!$B$8,0,$C$1),AVERAGE(N$391/SUM(N$390,N$391),O$391/SUM(O$390,O$391),P$391/SUM(P$390,P$391)),P$391/SUM(P$390,P$391))*SUM(P$390,P$391,Q$396-Q$393,-(Q$397-Q$394),-(Q$398-Q$395))</f>
        <v>36.774820622730957</v>
      </c>
      <c r="R391" s="7">
        <f ca="1">IF(R$6=OFFSET(Assumptions!$B$8,0,$C$1),AVERAGE(O$391/SUM(O$390,O$391),P$391/SUM(P$390,P$391),Q$391/SUM(Q$390,Q$391)),Q$391/SUM(Q$390,Q$391))*SUM(Q$390,Q$391,R$396-R$393,-(R$397-R$394),-(R$398-R$395))</f>
        <v>37.368081396378976</v>
      </c>
      <c r="S391" s="7">
        <f ca="1">IF(S$6=OFFSET(Assumptions!$B$8,0,$C$1),AVERAGE(P$391/SUM(P$390,P$391),Q$391/SUM(Q$390,Q$391),R$391/SUM(R$390,R$391)),R$391/SUM(R$390,R$391))*SUM(R$390,R$391,S$396-S$393,-(S$397-S$394),-(S$398-S$395))</f>
        <v>37.986121726813153</v>
      </c>
      <c r="T391" s="7">
        <f ca="1">IF(T$6=OFFSET(Assumptions!$B$8,0,$C$1),AVERAGE(Q$391/SUM(Q$390,Q$391),R$391/SUM(R$390,R$391),S$391/SUM(S$390,S$391)),S$391/SUM(S$390,S$391))*SUM(S$390,S$391,T$396-T$393,-(T$397-T$394),-(T$398-T$395))</f>
        <v>38.629734959935206</v>
      </c>
    </row>
    <row r="392" spans="1:21" ht="15" x14ac:dyDescent="0.25">
      <c r="A392" s="2" t="s">
        <v>623</v>
      </c>
      <c r="B392" s="4"/>
      <c r="D392" s="35">
        <f t="shared" ref="D392:T392" ca="1" si="163">SUM(D$389:D$391)</f>
        <v>124.55800000000001</v>
      </c>
      <c r="E392" s="35">
        <f t="shared" ca="1" si="163"/>
        <v>134.49900000000002</v>
      </c>
      <c r="F392" s="34">
        <f t="shared" ca="1" si="163"/>
        <v>144.126</v>
      </c>
      <c r="G392" s="34">
        <f t="shared" ca="1" si="163"/>
        <v>148.85300000000001</v>
      </c>
      <c r="H392" s="34">
        <f t="shared" ca="1" si="163"/>
        <v>153.054</v>
      </c>
      <c r="I392" s="34">
        <f t="shared" ca="1" si="163"/>
        <v>155.53899999999999</v>
      </c>
      <c r="J392" s="34">
        <f t="shared" ca="1" si="163"/>
        <v>156.68799999999999</v>
      </c>
      <c r="K392" s="38">
        <f t="shared" ca="1" si="163"/>
        <v>158.16992579757297</v>
      </c>
      <c r="L392" s="38">
        <f t="shared" ca="1" si="163"/>
        <v>159.77537841457186</v>
      </c>
      <c r="M392" s="38">
        <f t="shared" ca="1" si="163"/>
        <v>161.46743285011061</v>
      </c>
      <c r="N392" s="38">
        <f t="shared" ca="1" si="163"/>
        <v>163.23225748451844</v>
      </c>
      <c r="O392" s="38">
        <f t="shared" ca="1" si="163"/>
        <v>165.07188701489019</v>
      </c>
      <c r="P392" s="38">
        <f t="shared" ca="1" si="163"/>
        <v>166.98858116985019</v>
      </c>
      <c r="Q392" s="38">
        <f t="shared" ca="1" si="163"/>
        <v>168.98404092686377</v>
      </c>
      <c r="R392" s="38">
        <f t="shared" ca="1" si="163"/>
        <v>171.06070909273066</v>
      </c>
      <c r="S392" s="38">
        <f t="shared" ca="1" si="163"/>
        <v>173.22179038927908</v>
      </c>
      <c r="T392" s="38">
        <f t="shared" ca="1" si="163"/>
        <v>175.47000994390373</v>
      </c>
    </row>
    <row r="393" spans="1:21" x14ac:dyDescent="0.2">
      <c r="A393" s="1" t="s">
        <v>1336</v>
      </c>
      <c r="B393" s="4"/>
      <c r="D393" s="15">
        <f t="shared" ref="D393:J393" ca="1" si="164">SUM(D$389-C$389,D$394,D$395)</f>
        <v>1.7337644050915526</v>
      </c>
      <c r="E393" s="15">
        <f t="shared" ca="1" si="164"/>
        <v>3.9153419691260805</v>
      </c>
      <c r="F393" s="16">
        <f t="shared" ca="1" si="164"/>
        <v>4.4343797166458341</v>
      </c>
      <c r="G393" s="16">
        <f t="shared" ca="1" si="164"/>
        <v>3.292606228972152</v>
      </c>
      <c r="H393" s="16">
        <f t="shared" ca="1" si="164"/>
        <v>2.601920670265105</v>
      </c>
      <c r="I393" s="16">
        <f t="shared" ca="1" si="164"/>
        <v>2.0979111519021663</v>
      </c>
      <c r="J393" s="16">
        <f t="shared" ca="1" si="164"/>
        <v>1.9001149461116036</v>
      </c>
      <c r="K393" s="7">
        <f ca="1">SUM(K$387-J$387,IF(OFFSET(Assumptions!$B$64,0,$C$1)="Yes",SUM(K$422-J$422,K$423-J$423),0),K$395)/(1-IF(K$6=OFFSET(Assumptions!$B$8,0,$C$1),AVERAGE(H$394/H$393,I$394/I$393,J$394/J$393),J$394/J$393))</f>
        <v>1.7869902592625868</v>
      </c>
      <c r="L393" s="7">
        <f ca="1">SUM(L$387-K$387,IF(OFFSET(Assumptions!$B$64,0,$C$1)="Yes",SUM(L$422-K$422,L$423-K$423),0),L$395)/(1-IF(L$6=OFFSET(Assumptions!$B$8,0,$C$1),AVERAGE(I$394/I$393,J$394/J$393,K$394/K$393),K$394/K$393))</f>
        <v>1.8185427080928447</v>
      </c>
      <c r="M393" s="7">
        <f ca="1">SUM(M$387-L$387,IF(OFFSET(Assumptions!$B$64,0,$C$1)="Yes",SUM(M$422-L$422,M$423-L$423),0),M$395)/(1-IF(M$6=OFFSET(Assumptions!$B$8,0,$C$1),AVERAGE(J$394/J$393,K$394/K$393,L$394/L$393),L$394/L$393))</f>
        <v>1.930749732967783</v>
      </c>
      <c r="N393" s="7">
        <f ca="1">SUM(N$387-M$387,IF(OFFSET(Assumptions!$B$64,0,$C$1)="Yes",SUM(N$422-M$422,N$423-M$423),0),N$395)/(1-IF(N$6=OFFSET(Assumptions!$B$8,0,$C$1),AVERAGE(K$394/K$393,L$394/L$393,M$394/M$393),M$394/M$393))</f>
        <v>2.0788203453238974</v>
      </c>
      <c r="O393" s="7">
        <f ca="1">SUM(O$387-N$387,IF(OFFSET(Assumptions!$B$64,0,$C$1)="Yes",SUM(O$422-N$422,O$423-N$423),0),O$395)/(1-IF(O$6=OFFSET(Assumptions!$B$8,0,$C$1),AVERAGE(L$394/L$393,M$394/M$393,N$394/N$393),N$394/N$393))</f>
        <v>2.2639038411604964</v>
      </c>
      <c r="P393" s="7">
        <f ca="1">SUM(P$387-O$387,IF(OFFSET(Assumptions!$B$64,0,$C$1)="Yes",SUM(P$422-O$422,P$423-O$423),0),P$395)/(1-IF(P$6=OFFSET(Assumptions!$B$8,0,$C$1),AVERAGE(M$394/M$393,N$394/N$393,O$394/O$393),O$394/O$393))</f>
        <v>2.4854573602385277</v>
      </c>
      <c r="Q393" s="7">
        <f ca="1">SUM(Q$387-P$387,IF(OFFSET(Assumptions!$B$64,0,$C$1)="Yes",SUM(Q$422-P$422,Q$423-P$423),0),Q$395)/(1-IF(Q$6=OFFSET(Assumptions!$B$8,0,$C$1),AVERAGE(N$394/N$393,O$394/O$393,P$394/P$393),P$394/P$393))</f>
        <v>2.7504242436978465</v>
      </c>
      <c r="R393" s="7">
        <f ca="1">SUM(R$387-Q$387,IF(OFFSET(Assumptions!$B$64,0,$C$1)="Yes",SUM(R$422-Q$422,R$423-Q$423),0),R$395)/(1-IF(R$6=OFFSET(Assumptions!$B$8,0,$C$1),AVERAGE(O$394/O$393,P$394/P$393,Q$394/Q$393),Q$394/Q$393))</f>
        <v>3.0684733455506752</v>
      </c>
      <c r="S393" s="7">
        <f ca="1">SUM(S$387-R$387,IF(OFFSET(Assumptions!$B$64,0,$C$1)="Yes",SUM(S$422-R$422,S$423-R$423),0),S$395)/(1-IF(S$6=OFFSET(Assumptions!$B$8,0,$C$1),AVERAGE(P$394/P$393,Q$394/Q$393,R$394/R$393),R$394/R$393))</f>
        <v>3.4506109479445692</v>
      </c>
      <c r="T393" s="7">
        <f ca="1">SUM(T$387-S$387,IF(OFFSET(Assumptions!$B$64,0,$C$1)="Yes",SUM(T$422-S$422,T$423-S$423),0),T$395)/(1-IF(T$6=OFFSET(Assumptions!$B$8,0,$C$1),AVERAGE(Q$394/Q$393,R$394/R$393,S$394/S$393),S$394/S$393))</f>
        <v>3.9092408039621533</v>
      </c>
    </row>
    <row r="394" spans="1:21" x14ac:dyDescent="0.2">
      <c r="A394" s="1" t="s">
        <v>726</v>
      </c>
      <c r="B394" s="4"/>
      <c r="D394" s="15">
        <f t="shared" ref="D394:J394" ca="1" si="165">D$388/(D$392-D$387)*D$397</f>
        <v>-0.74485703233100053</v>
      </c>
      <c r="E394" s="15">
        <f t="shared" ca="1" si="165"/>
        <v>-0.71962172318161344</v>
      </c>
      <c r="F394" s="16">
        <f t="shared" ca="1" si="165"/>
        <v>-0.43448780223853117</v>
      </c>
      <c r="G394" s="16">
        <f t="shared" ca="1" si="165"/>
        <v>-0.19983961296515021</v>
      </c>
      <c r="H394" s="16">
        <f t="shared" ca="1" si="165"/>
        <v>-3.643063186565746E-2</v>
      </c>
      <c r="I394" s="16">
        <f t="shared" ca="1" si="165"/>
        <v>-3.4906006274770807E-2</v>
      </c>
      <c r="J394" s="16">
        <f t="shared" ca="1" si="165"/>
        <v>-3.3199621094594428E-2</v>
      </c>
      <c r="K394" s="7">
        <f ca="1">IF(K$6=OFFSET(Assumptions!$B$8,0,$C$1),AVERAGE(H$394/H$393,I$394/I$393,J$394/J$393),J$394/J$393)*K$393</f>
        <v>-2.8658751413092824E-2</v>
      </c>
      <c r="L394" s="7">
        <f ca="1">IF(L$6=OFFSET(Assumptions!$B$8,0,$C$1),AVERAGE(I$394/I$393,J$394/J$393,K$394/K$393),K$394/K$393)*L$393</f>
        <v>-2.9164771959547194E-2</v>
      </c>
      <c r="M394" s="7">
        <f ca="1">IF(M$6=OFFSET(Assumptions!$B$8,0,$C$1),AVERAGE(J$394/J$393,K$394/K$393,L$394/L$393),L$394/L$393)*M$393</f>
        <v>-3.0964285536090451E-2</v>
      </c>
      <c r="N394" s="7">
        <f ca="1">IF(N$6=OFFSET(Assumptions!$B$8,0,$C$1),AVERAGE(K$394/K$393,L$394/L$393,M$394/M$393),M$394/M$393)*N$393</f>
        <v>-3.3338959292202264E-2</v>
      </c>
      <c r="O394" s="7">
        <f ca="1">IF(O$6=OFFSET(Assumptions!$B$8,0,$C$1),AVERAGE(L$394/L$393,M$394/M$393,N$394/N$393),N$394/N$393)*O$393</f>
        <v>-3.6307224995024916E-2</v>
      </c>
      <c r="P394" s="7">
        <f ca="1">IF(P$6=OFFSET(Assumptions!$B$8,0,$C$1),AVERAGE(M$394/M$393,N$394/N$393,O$394/O$393),O$394/O$393)*P$393</f>
        <v>-3.9860376555332443E-2</v>
      </c>
      <c r="Q394" s="7">
        <f ca="1">IF(Q$6=OFFSET(Assumptions!$B$8,0,$C$1),AVERAGE(N$394/N$393,O$394/O$393,P$394/P$393),P$394/P$393)*Q$393</f>
        <v>-4.410976739918411E-2</v>
      </c>
      <c r="R394" s="7">
        <f ca="1">IF(R$6=OFFSET(Assumptions!$B$8,0,$C$1),AVERAGE(O$394/O$393,P$394/P$393,Q$394/Q$393),Q$394/Q$393)*R$393</f>
        <v>-4.9210461205382576E-2</v>
      </c>
      <c r="S394" s="7">
        <f ca="1">IF(S$6=OFFSET(Assumptions!$B$8,0,$C$1),AVERAGE(P$394/P$393,Q$394/Q$393,R$394/R$393),R$394/R$393)*S$393</f>
        <v>-5.5338970577963685E-2</v>
      </c>
      <c r="T394" s="7">
        <f ca="1">IF(T$6=OFFSET(Assumptions!$B$8,0,$C$1),AVERAGE(Q$394/Q$393,R$394/R$393,S$394/S$393),S$394/S$393)*T$393</f>
        <v>-6.2694219979073651E-2</v>
      </c>
    </row>
    <row r="395" spans="1:21" x14ac:dyDescent="0.2">
      <c r="A395" s="1" t="s">
        <v>1334</v>
      </c>
      <c r="B395" s="4"/>
      <c r="D395" s="15">
        <f t="shared" ref="D395:J395" si="166">D$190/D$193*D$398</f>
        <v>1.1526214374225527</v>
      </c>
      <c r="E395" s="15">
        <f t="shared" si="166"/>
        <v>1.2269636923076923</v>
      </c>
      <c r="F395" s="16">
        <f t="shared" si="166"/>
        <v>1.4188675188843693</v>
      </c>
      <c r="G395" s="16">
        <f t="shared" si="166"/>
        <v>1.5114458419373007</v>
      </c>
      <c r="H395" s="16">
        <f t="shared" si="166"/>
        <v>1.5573513021307595</v>
      </c>
      <c r="I395" s="16">
        <f t="shared" si="166"/>
        <v>1.6208171581769439</v>
      </c>
      <c r="J395" s="16">
        <f t="shared" si="166"/>
        <v>1.6733145672061929</v>
      </c>
      <c r="K395" s="7">
        <f ca="1">IF(OFFSET(Assumptions!$B$64,0,$C$1)="Yes",IF(K$6=OFFSET(Assumptions!$B$8,0,$C$1),AVERAGE(H$395/G$388,I$395/H$388,J$395/I$388),J$395/I$388)*J$388,IF(K$6=OFFSET(Assumptions!$B$8,0,$C$1),AVERAGE(H$395/SUM(G$388,G$422:G$423),I$395/SUM(H$388,H$422:H$423),J$395/SUM(I$388,I$422:I$423)),J$395/SUM(I$388,I$422:I$423))*SUM(J$388,J$422:J$423))</f>
        <v>1.7679246406436393</v>
      </c>
      <c r="L395" s="7">
        <f ca="1">IF(OFFSET(Assumptions!$B$64,0,$C$1)="Yes",IF(L$6=OFFSET(Assumptions!$B$8,0,$C$1),AVERAGE(I$395/H$388,J$395/I$388,K$395/J$388),K$395/J$388)*K$388,IF(L$6=OFFSET(Assumptions!$B$8,0,$C$1),AVERAGE(I$395/SUM(H$388,H$422:H$423),J$395/SUM(I$388,I$422:I$423),K$395/SUM(J$388,J$422:J$423)),K$395/SUM(J$388,J$422:J$423))*SUM(K$388,K$422:K$423))</f>
        <v>1.7999372639630105</v>
      </c>
      <c r="M395" s="7">
        <f ca="1">IF(OFFSET(Assumptions!$B$64,0,$C$1)="Yes",IF(M$6=OFFSET(Assumptions!$B$8,0,$C$1),AVERAGE(J$395/I$388,K$395/J$388,L$395/K$388),L$395/K$388)*L$388,IF(M$6=OFFSET(Assumptions!$B$8,0,$C$1),AVERAGE(J$395/SUM(I$388,I$422:I$423),K$395/SUM(J$388,J$422:J$423),L$395/SUM(K$388,K$422:K$423)),L$395/SUM(K$388,K$422:K$423))*SUM(L$388,L$422:L$423))</f>
        <v>1.9129634043894488</v>
      </c>
      <c r="N395" s="7">
        <f ca="1">IF(OFFSET(Assumptions!$B$64,0,$C$1)="Yes",IF(N$6=OFFSET(Assumptions!$B$8,0,$C$1),AVERAGE(K$395/J$388,L$395/K$388,M$395/L$388),M$395/L$388)*M$388,IF(N$6=OFFSET(Assumptions!$B$8,0,$C$1),AVERAGE(K$395/SUM(J$388,J$422:J$423),L$395/SUM(K$388,K$422:K$423),M$395/SUM(L$388,L$422:L$423)),M$395/SUM(L$388,L$422:L$423))*SUM(M$388,M$422:M$423))</f>
        <v>2.0623728425308521</v>
      </c>
      <c r="O395" s="7">
        <f ca="1">IF(OFFSET(Assumptions!$B$64,0,$C$1)="Yes",IF(O$6=OFFSET(Assumptions!$B$8,0,$C$1),AVERAGE(L$395/K$388,M$395/L$388,N$395/M$388),N$395/M$388)*N$388,IF(O$6=OFFSET(Assumptions!$B$8,0,$C$1),AVERAGE(L$395/SUM(K$388,K$422:K$423),M$395/SUM(L$388,L$422:L$423),N$395/SUM(M$388,M$422:M$423)),N$395/SUM(M$388,M$422:M$423))*SUM(N$388,N$422:N$423))</f>
        <v>2.2497394706488292</v>
      </c>
      <c r="P395" s="7">
        <f ca="1">IF(OFFSET(Assumptions!$B$64,0,$C$1)="Yes",IF(P$6=OFFSET(Assumptions!$B$8,0,$C$1),AVERAGE(M$395/L$388,N$395/M$388,O$395/N$388),O$395/N$388)*O$388,IF(P$6=OFFSET(Assumptions!$B$8,0,$C$1),AVERAGE(M$395/SUM(L$388,L$422:L$423),N$395/SUM(M$388,M$422:M$423),O$395/SUM(N$388,N$422:N$423)),O$395/SUM(N$388,N$422:N$423))*SUM(O$388,O$422:O$423))</f>
        <v>2.4745794243904018</v>
      </c>
      <c r="Q395" s="7">
        <f ca="1">IF(OFFSET(Assumptions!$B$64,0,$C$1)="Yes",IF(Q$6=OFFSET(Assumptions!$B$8,0,$C$1),AVERAGE(N$395/M$388,O$395/N$388,P$395/O$388),P$395/O$388)*P$388,IF(Q$6=OFFSET(Assumptions!$B$8,0,$C$1),AVERAGE(N$395/SUM(M$388,M$422:M$423),O$395/SUM(N$388,N$422:N$423),P$395/SUM(O$388,O$422:O$423)),P$395/SUM(O$388,O$422:O$423))*SUM(P$388,P$422:P$423))</f>
        <v>2.7443873688802887</v>
      </c>
      <c r="R395" s="7">
        <f ca="1">IF(OFFSET(Assumptions!$B$64,0,$C$1)="Yes",IF(R$6=OFFSET(Assumptions!$B$8,0,$C$1),AVERAGE(O$395/N$388,P$395/O$388,Q$395/P$388),Q$395/P$388)*Q$388,IF(R$6=OFFSET(Assumptions!$B$8,0,$C$1),AVERAGE(O$395/SUM(N$388,N$422:N$423),P$395/SUM(O$388,O$422:O$423),Q$395/SUM(P$388,P$422:P$423)),Q$395/SUM(P$388,P$422:P$423))*SUM(Q$388,Q$422:Q$423))</f>
        <v>3.0681569022681527</v>
      </c>
      <c r="S395" s="7">
        <f ca="1">IF(OFFSET(Assumptions!$B$64,0,$C$1)="Yes",IF(S$6=OFFSET(Assumptions!$B$8,0,$C$1),AVERAGE(P$395/O$388,Q$395/P$388,R$395/Q$388),R$395/Q$388)*R$388,IF(S$6=OFFSET(Assumptions!$B$8,0,$C$1),AVERAGE(P$395/SUM(O$388,O$422:O$423),Q$395/SUM(P$388,P$422:P$423),R$395/SUM(Q$388,Q$422:Q$423)),R$395/SUM(Q$388,Q$422:Q$423))*SUM(R$388,R$422:R$423))</f>
        <v>3.4566803423335895</v>
      </c>
      <c r="T395" s="7">
        <f ca="1">IF(OFFSET(Assumptions!$B$64,0,$C$1)="Yes",IF(T$6=OFFSET(Assumptions!$B$8,0,$C$1),AVERAGE(Q$395/P$388,R$395/Q$388,S$395/R$388),S$395/R$388)*S$388,IF(T$6=OFFSET(Assumptions!$B$8,0,$C$1),AVERAGE(Q$395/SUM(P$388,P$422:P$423),R$395/SUM(Q$388,Q$422:Q$423),S$395/SUM(R$388,R$422:R$423)),S$395/SUM(R$388,R$422:R$423))*SUM(S$388,S$422:S$423))</f>
        <v>3.9229084704121138</v>
      </c>
    </row>
    <row r="396" spans="1:21" x14ac:dyDescent="0.2">
      <c r="A396" s="1" t="s">
        <v>624</v>
      </c>
      <c r="B396" s="4" t="str">
        <f>$B$38</f>
        <v>From Fiscal</v>
      </c>
      <c r="D396" s="15">
        <f>SUM('Fiscal Forecasts'!D$317:D$320)</f>
        <v>9.2320000000000011</v>
      </c>
      <c r="E396" s="15">
        <f>SUM('Fiscal Forecasts'!E$317:E$320)</f>
        <v>11.125</v>
      </c>
      <c r="F396" s="16">
        <f ca="1">SUM('Fiscal Forecasts'!F$317:F$320) +IF(OFFSET(Assumptions!$B$64,0,$C$1)="Yes",SUM(F$422:F$423)-SUM(E$422:E$423),0)</f>
        <v>12.513999999999999</v>
      </c>
      <c r="G396" s="16">
        <f ca="1">SUM('Fiscal Forecasts'!G$317:G$320) +IF(OFFSET(Assumptions!$B$64,0,$C$1)="Yes",SUM(G$422:G$423)-SUM(F$422:F$423),0)</f>
        <v>8.552999999999999</v>
      </c>
      <c r="H396" s="16">
        <f ca="1">SUM('Fiscal Forecasts'!H$317:H$320) +IF(OFFSET(Assumptions!$B$64,0,$C$1)="Yes",SUM(H$422:H$423)-SUM(G$422:G$423),0)</f>
        <v>8.7640000000000011</v>
      </c>
      <c r="I396" s="16">
        <f ca="1">SUM('Fiscal Forecasts'!I$317:I$320) +IF(OFFSET(Assumptions!$B$64,0,$C$1)="Yes",SUM(I$422:I$423)-SUM(H$422:H$423),0)</f>
        <v>7.1450000000000005</v>
      </c>
      <c r="J396" s="16">
        <f ca="1">SUM('Fiscal Forecasts'!J$317:J$320) +IF(OFFSET(Assumptions!$B$64,0,$C$1)="Yes",SUM(J$422:J$423)-SUM(I$422:I$423),0)</f>
        <v>5.9069999999999991</v>
      </c>
      <c r="K396" s="7">
        <f ca="1">SUM(K$393,SUM(K$398-K$395,K$127-K$261)/(1-IF(K$6=OFFSET(Assumptions!$B$8,0,$C$1),AVERAGE((H$397-H$394)/(H$396-H$393),(I$397-I$394)/(I$396-I$393),(J$397-J$394)/(J$396-J$393)),(J$397-J$394)/(J$396-J$393))))</f>
        <v>6.3992844461459759</v>
      </c>
      <c r="L396" s="7">
        <f ca="1">SUM(L$393,SUM(L$398-L$395,L$127-L$261)/(1-IF(L$6=OFFSET(Assumptions!$B$8,0,$C$1),AVERAGE((I$397-I$394)/(I$396-I$393),(J$397-J$394)/(J$396-J$393),(K$397-K$394)/(K$396-K$393)),(K$397-K$394)/(K$396-K$393))))</f>
        <v>6.5924628894633059</v>
      </c>
      <c r="M396" s="7">
        <f ca="1">SUM(M$393,SUM(M$398-M$395,M$127-M$261)/(1-IF(M$6=OFFSET(Assumptions!$B$8,0,$C$1),AVERAGE((J$397-J$394)/(J$396-J$393),(K$397-K$394)/(K$396-K$393),(L$397-L$394)/(L$396-L$393)),(L$397-L$394)/(L$396-L$393))))</f>
        <v>6.8326134585962697</v>
      </c>
      <c r="N396" s="7">
        <f ca="1">SUM(N$393,SUM(N$398-N$395,N$127-N$261)/(1-IF(N$6=OFFSET(Assumptions!$B$8,0,$C$1),AVERAGE((K$397-K$394)/(K$396-K$393),(L$397-L$394)/(L$396-L$393),(M$397-M$394)/(M$396-M$393)),(M$397-M$394)/(M$396-M$393))))</f>
        <v>7.097409254959782</v>
      </c>
      <c r="O396" s="7">
        <f ca="1">SUM(O$393,SUM(O$398-O$395,O$127-O$261)/(1-IF(O$6=OFFSET(Assumptions!$B$8,0,$C$1),AVERAGE((L$397-L$394)/(L$396-L$393),(M$397-M$394)/(M$396-M$393),(N$397-N$394)/(N$396-N$393)),(N$397-N$394)/(N$396-N$393))))</f>
        <v>7.4035810460571643</v>
      </c>
      <c r="P396" s="7">
        <f ca="1">SUM(P$393,SUM(P$398-P$395,P$127-P$261)/(1-IF(P$6=OFFSET(Assumptions!$B$8,0,$C$1),AVERAGE((M$397-M$394)/(M$396-M$393),(N$397-N$394)/(N$396-N$393),(O$397-O$394)/(O$396-O$393)),(O$397-O$394)/(O$396-O$393))))</f>
        <v>7.7509405406473135</v>
      </c>
      <c r="Q396" s="7">
        <f ca="1">SUM(Q$393,SUM(Q$398-Q$395,Q$127-Q$261)/(1-IF(Q$6=OFFSET(Assumptions!$B$8,0,$C$1),AVERAGE((N$397-N$394)/(N$396-N$393),(O$397-O$394)/(O$396-O$393),(P$397-P$394)/(P$396-P$393)),(P$397-P$394)/(P$396-P$393))))</f>
        <v>8.1463899622663867</v>
      </c>
      <c r="R396" s="7">
        <f ca="1">SUM(R$393,SUM(R$398-R$395,R$127-R$261)/(1-IF(R$6=OFFSET(Assumptions!$B$8,0,$C$1),AVERAGE((O$397-O$394)/(O$396-O$393),(P$397-P$394)/(P$396-P$393),(Q$397-Q$394)/(Q$396-Q$393)),(Q$397-Q$394)/(Q$396-Q$393))))</f>
        <v>8.599583432459049</v>
      </c>
      <c r="S396" s="7">
        <f ca="1">SUM(S$393,SUM(S$398-S$395,S$127-S$261)/(1-IF(S$6=OFFSET(Assumptions!$B$8,0,$C$1),AVERAGE((P$397-P$394)/(P$396-P$393),(Q$397-Q$394)/(Q$396-Q$393),(R$397-R$394)/(R$396-R$393)),(R$397-R$394)/(R$396-R$393))))</f>
        <v>9.1219614661682762</v>
      </c>
      <c r="T396" s="7">
        <f ca="1">SUM(T$393,SUM(T$398-T$395,T$127-T$261)/(1-IF(T$6=OFFSET(Assumptions!$B$8,0,$C$1),AVERAGE((Q$397-Q$394)/(Q$396-Q$393),(R$397-R$394)/(R$396-R$393),(S$397-S$394)/(S$396-S$393)),(S$397-S$394)/(S$396-S$393))))</f>
        <v>9.7258788494524318</v>
      </c>
    </row>
    <row r="397" spans="1:21" x14ac:dyDescent="0.2">
      <c r="A397" s="1" t="s">
        <v>727</v>
      </c>
      <c r="B397" s="4" t="str">
        <f>$B$38</f>
        <v>From Fiscal</v>
      </c>
      <c r="D397" s="15">
        <f>SUM('Fiscal Forecasts'!D$322:D$324,'Fiscal Forecasts'!D$326)</f>
        <v>-2.8930000000000002</v>
      </c>
      <c r="E397" s="15">
        <f>SUM('Fiscal Forecasts'!E$322:E$324,'Fiscal Forecasts'!E$326)</f>
        <v>-2.7280000000000002</v>
      </c>
      <c r="F397" s="16">
        <f>SUM('Fiscal Forecasts'!F$322:F$324,'Fiscal Forecasts'!F$326)</f>
        <v>-1.61</v>
      </c>
      <c r="G397" s="16">
        <f>SUM('Fiscal Forecasts'!G$322:G$324,'Fiscal Forecasts'!G$326)</f>
        <v>-0.72799999999999998</v>
      </c>
      <c r="H397" s="16">
        <f>SUM('Fiscal Forecasts'!H$322:H$324,'Fiscal Forecasts'!H$326)</f>
        <v>-0.13300000000000001</v>
      </c>
      <c r="I397" s="16">
        <f>SUM('Fiscal Forecasts'!I$322:I$324,'Fiscal Forecasts'!I$326)</f>
        <v>-0.128</v>
      </c>
      <c r="J397" s="16">
        <f>SUM('Fiscal Forecasts'!J$322:J$324,'Fiscal Forecasts'!J$326)</f>
        <v>-0.12200000000000001</v>
      </c>
      <c r="K397" s="7">
        <f ca="1">SUM(K$394,IF(K$6=OFFSET(Assumptions!$B$8,0,$C$1),AVERAGE((H$397-H$394)/(H$396-H$393),(I$397-I$394)/(I$396-I$393),(J$397-J$394)/(J$396-J$393)),(J$397-J$394)/(J$396-J$393))*(K$396-K$393))</f>
        <v>-0.1151832238499364</v>
      </c>
      <c r="L397" s="7">
        <f ca="1">SUM(L$394,IF(L$6=OFFSET(Assumptions!$B$8,0,$C$1),AVERAGE((I$397-I$394)/(I$396-I$393),(J$397-J$394)/(J$396-J$393),(K$397-K$394)/(K$396-K$393)),(K$397-K$394)/(K$396-K$393))*(L$396-L$393))</f>
        <v>-0.11872127213322596</v>
      </c>
      <c r="M397" s="7">
        <f ca="1">SUM(M$394,IF(M$6=OFFSET(Assumptions!$B$8,0,$C$1),AVERAGE((J$397-J$394)/(J$396-J$393),(K$397-K$394)/(K$396-K$393),(L$397-L$394)/(L$396-L$393)),(L$397-L$394)/(L$396-L$393))*(M$396-M$393))</f>
        <v>-0.12292094650179058</v>
      </c>
      <c r="N397" s="7">
        <f ca="1">SUM(N$394,IF(N$6=OFFSET(Assumptions!$B$8,0,$C$1),AVERAGE((K$397-K$394)/(K$396-K$393),(L$397-L$394)/(L$396-L$393),(M$397-M$394)/(M$396-M$393)),(M$397-M$394)/(M$396-M$393))*(N$396-N$393))</f>
        <v>-0.12748532988116432</v>
      </c>
      <c r="O397" s="7">
        <f ca="1">SUM(O$394,IF(O$6=OFFSET(Assumptions!$B$8,0,$C$1),AVERAGE((L$397-L$394)/(L$396-L$393),(M$397-M$394)/(M$396-M$393),(N$397-N$394)/(N$396-N$393)),(N$397-N$394)/(N$396-N$393))*(O$396-O$393))</f>
        <v>-0.13272515512490071</v>
      </c>
      <c r="P397" s="7">
        <f ca="1">SUM(P$394,IF(P$6=OFFSET(Assumptions!$B$8,0,$C$1),AVERAGE((M$397-M$394)/(M$396-M$393),(N$397-N$394)/(N$396-N$393),(O$397-O$394)/(O$396-O$393)),(O$397-O$394)/(O$396-O$393))*(P$396-P$393))</f>
        <v>-0.13863836769162549</v>
      </c>
      <c r="Q397" s="7">
        <f ca="1">SUM(Q$394,IF(Q$6=OFFSET(Assumptions!$B$8,0,$C$1),AVERAGE((N$397-N$394)/(N$396-N$393),(O$397-O$394)/(O$396-O$393),(P$397-P$394)/(P$396-P$393)),(P$397-P$394)/(P$396-P$393))*(Q$396-Q$393))</f>
        <v>-0.14533554966046647</v>
      </c>
      <c r="R397" s="7">
        <f ca="1">SUM(R$394,IF(R$6=OFFSET(Assumptions!$B$8,0,$C$1),AVERAGE((O$397-O$394)/(O$396-O$393),(P$397-P$394)/(P$396-P$393),(Q$397-Q$394)/(Q$396-Q$393)),(Q$397-Q$394)/(Q$396-Q$393))*(R$396-R$393))</f>
        <v>-0.15297148833605517</v>
      </c>
      <c r="S397" s="7">
        <f ca="1">SUM(S$394,IF(S$6=OFFSET(Assumptions!$B$8,0,$C$1),AVERAGE((P$397-P$394)/(P$396-P$393),(Q$397-Q$394)/(Q$396-Q$393),(R$397-R$394)/(R$396-R$393)),(R$397-R$394)/(R$396-R$393))*(S$396-S$393))</f>
        <v>-0.16173084232569959</v>
      </c>
      <c r="T397" s="7">
        <f ca="1">SUM(T$394,IF(T$6=OFFSET(Assumptions!$B$8,0,$C$1),AVERAGE((Q$397-Q$394)/(Q$396-Q$393),(R$397-R$394)/(R$396-R$393),(S$397-S$394)/(S$396-S$393)),(S$397-S$394)/(S$396-S$393))*(T$396-T$393))</f>
        <v>-0.17181161749317184</v>
      </c>
    </row>
    <row r="398" spans="1:21" x14ac:dyDescent="0.2">
      <c r="A398" s="1" t="s">
        <v>1335</v>
      </c>
      <c r="B398" s="4" t="str">
        <f>$B$38</f>
        <v>From Fiscal</v>
      </c>
      <c r="D398" s="15">
        <f>'Fiscal Forecasts'!D$325</f>
        <v>3.8730000000000002</v>
      </c>
      <c r="E398" s="15">
        <f>'Fiscal Forecasts'!E$325</f>
        <v>3.9119999999999999</v>
      </c>
      <c r="F398" s="16">
        <f>'Fiscal Forecasts'!F$325</f>
        <v>4.4969999999999999</v>
      </c>
      <c r="G398" s="16">
        <f>'Fiscal Forecasts'!G$325</f>
        <v>4.5540000000000003</v>
      </c>
      <c r="H398" s="16">
        <f>'Fiscal Forecasts'!H$325</f>
        <v>4.6959999999999997</v>
      </c>
      <c r="I398" s="16">
        <f>'Fiscal Forecasts'!I$325</f>
        <v>4.7880000000000003</v>
      </c>
      <c r="J398" s="16">
        <f>'Fiscal Forecasts'!J$325</f>
        <v>4.88</v>
      </c>
      <c r="K398" s="7">
        <f ca="1">SUM(K$395,IF(K$6=OFFSET(Assumptions!$B$8,0,$C$1),AVERAGE((H$398-H$395)/SUM(G$390:G$391),(I$398-I$395)/SUM(H$390:H$391),(J$398-J$395)/SUM(I$390:I$391)),(J$398-J$395)/SUM(I$390:I$391))*SUM(J$390:J$391))</f>
        <v>5.0325418724229376</v>
      </c>
      <c r="L398" s="7">
        <f ca="1">SUM(L$395,IF(L$6=OFFSET(Assumptions!$B$8,0,$C$1),AVERAGE((I$398-I$395)/SUM(H$390:H$391),(J$398-J$395)/SUM(I$390:I$391),(K$398-K$395)/SUM(J$390:J$391)),(K$398-K$395)/SUM(J$390:J$391))*SUM(K$390:K$391))</f>
        <v>5.105731544597635</v>
      </c>
      <c r="M398" s="7">
        <f ca="1">SUM(M$395,IF(M$6=OFFSET(Assumptions!$B$8,0,$C$1),AVERAGE((J$398-J$395)/SUM(I$390:I$391),(K$398-K$395)/SUM(J$390:J$391),(L$398-L$395)/SUM(K$390:K$391)),(L$398-L$395)/SUM(K$390:K$391))*SUM(L$390:L$391))</f>
        <v>5.263479969559314</v>
      </c>
      <c r="N398" s="7">
        <f ca="1">SUM(N$395,IF(N$6=OFFSET(Assumptions!$B$8,0,$C$1),AVERAGE((K$398-K$395)/SUM(J$390:J$391),(L$398-L$395)/SUM(K$390:K$391),(M$398-M$395)/SUM(L$390:L$391)),(M$398-M$395)/SUM(L$390:L$391))*SUM(M$390:M$391))</f>
        <v>5.4600699504330965</v>
      </c>
      <c r="O398" s="7">
        <f ca="1">SUM(O$395,IF(O$6=OFFSET(Assumptions!$B$8,0,$C$1),AVERAGE((L$398-L$395)/SUM(K$390:K$391),(M$398-M$395)/SUM(L$390:L$391),(N$398-N$395)/SUM(M$390:M$391)),(N$398-N$395)/SUM(M$390:M$391))*SUM(N$390:N$391))</f>
        <v>5.6966766708103327</v>
      </c>
      <c r="P398" s="7">
        <f ca="1">SUM(P$395,IF(P$6=OFFSET(Assumptions!$B$8,0,$C$1),AVERAGE((M$398-M$395)/SUM(L$390:L$391),(N$398-N$395)/SUM(M$390:M$391),(O$398-O$395)/SUM(N$390:N$391)),(O$398-O$395)/SUM(N$390:N$391))*SUM(O$390:O$391))</f>
        <v>5.9728847533789349</v>
      </c>
      <c r="Q398" s="7">
        <f ca="1">SUM(Q$395,IF(Q$6=OFFSET(Assumptions!$B$8,0,$C$1),AVERAGE((N$398-N$395)/SUM(M$390:M$391),(O$398-O$395)/SUM(N$390:N$391),(P$398-P$395)/SUM(O$390:O$391)),(P$398-P$395)/SUM(O$390:O$391))*SUM(P$390:P$391))</f>
        <v>6.2962657549132368</v>
      </c>
      <c r="R398" s="7">
        <f ca="1">SUM(R$395,IF(R$6=OFFSET(Assumptions!$B$8,0,$C$1),AVERAGE((O$398-O$395)/SUM(N$390:N$391),(P$398-P$395)/SUM(O$390:O$391),(Q$398-Q$395)/SUM(P$390:P$391)),(Q$398-Q$395)/SUM(P$390:P$391))*SUM(Q$390:Q$391))</f>
        <v>6.6758867549282392</v>
      </c>
      <c r="S398" s="7">
        <f ca="1">SUM(S$395,IF(S$6=OFFSET(Assumptions!$B$8,0,$C$1),AVERAGE((P$398-P$395)/SUM(O$390:O$391),(Q$398-Q$395)/SUM(P$390:P$391),(R$398-R$395)/SUM(Q$390:Q$391)),(R$398-R$395)/SUM(Q$390:Q$391))*SUM(R$390:R$391))</f>
        <v>7.1226110119455672</v>
      </c>
      <c r="T398" s="7">
        <f ca="1">SUM(T$395,IF(T$6=OFFSET(Assumptions!$B$8,0,$C$1),AVERAGE((Q$398-Q$395)/SUM(P$390:P$391),(R$398-R$395)/SUM(Q$390:Q$391),(S$398-S$395)/SUM(R$390:R$391)),(S$398-S$395)/SUM(R$390:R$391))*SUM(S$390:S$391))</f>
        <v>7.6494709123209512</v>
      </c>
    </row>
    <row r="399" spans="1:21" x14ac:dyDescent="0.2">
      <c r="B399" s="66"/>
      <c r="C399" s="66"/>
      <c r="D399" s="66"/>
      <c r="E399" s="66"/>
      <c r="F399" s="66"/>
      <c r="G399" s="66"/>
      <c r="H399" s="66"/>
      <c r="I399" s="66"/>
      <c r="J399" s="66"/>
      <c r="K399" s="66"/>
      <c r="L399" s="66"/>
      <c r="M399" s="66"/>
      <c r="N399" s="66"/>
      <c r="O399" s="66"/>
      <c r="P399" s="66"/>
      <c r="Q399" s="66"/>
      <c r="R399" s="66"/>
      <c r="S399" s="66"/>
      <c r="T399" s="66"/>
    </row>
    <row r="400" spans="1:21" x14ac:dyDescent="0.2">
      <c r="A400" s="19" t="s">
        <v>227</v>
      </c>
      <c r="B400" s="66"/>
      <c r="C400" s="66"/>
      <c r="D400" s="66"/>
      <c r="E400" s="66"/>
      <c r="F400" s="66"/>
      <c r="G400" s="66"/>
      <c r="H400" s="66"/>
      <c r="I400" s="66"/>
      <c r="J400" s="66"/>
      <c r="K400" s="66"/>
      <c r="L400" s="66"/>
      <c r="M400" s="66"/>
      <c r="N400" s="66"/>
      <c r="O400" s="66"/>
      <c r="P400" s="66"/>
      <c r="Q400" s="66"/>
      <c r="R400" s="66"/>
      <c r="S400" s="66"/>
      <c r="T400" s="66"/>
    </row>
    <row r="401" spans="1:20" x14ac:dyDescent="0.2">
      <c r="A401" s="1" t="s">
        <v>628</v>
      </c>
      <c r="B401" s="4"/>
      <c r="D401" s="15">
        <f ca="1">D$358-D$387</f>
        <v>1.09778</v>
      </c>
      <c r="E401" s="15">
        <f ca="1">E$358-E$387</f>
        <v>1.2507299999999999</v>
      </c>
      <c r="F401" s="16">
        <f ca="1">F$358-F$387</f>
        <v>1.4718899999999999</v>
      </c>
      <c r="G401" s="16">
        <f t="shared" ref="G401:J401" ca="1" si="167">G$358-G$387</f>
        <v>1.5088200000000001</v>
      </c>
      <c r="H401" s="16">
        <f t="shared" ca="1" si="167"/>
        <v>1.54609</v>
      </c>
      <c r="I401" s="16">
        <f t="shared" ca="1" si="167"/>
        <v>1.5836100000000002</v>
      </c>
      <c r="J401" s="16">
        <f t="shared" ca="1" si="167"/>
        <v>1.6024100000000001</v>
      </c>
      <c r="K401" s="7">
        <f ca="1">OFFSET(Assumptions!$B$73,0,$C$1)/SUM(OFFSET(Assumptions!$B$68,0,$C$1,6,1))*SUM(K$354,K$70,-K$322,K$429)</f>
        <v>2.5865718501602011</v>
      </c>
      <c r="L401" s="7">
        <f ca="1">OFFSET(Assumptions!$B$73,0,$C$1)/SUM(OFFSET(Assumptions!$B$68,0,$C$1,6,1))*SUM(L$354,L$70,-L$322,L$429)</f>
        <v>2.8254229306071084</v>
      </c>
      <c r="M401" s="7">
        <f ca="1">OFFSET(Assumptions!$B$73,0,$C$1)/SUM(OFFSET(Assumptions!$B$68,0,$C$1,6,1))*SUM(M$354,M$70,-M$322,M$429)</f>
        <v>3.0691760011792311</v>
      </c>
      <c r="N401" s="7">
        <f ca="1">OFFSET(Assumptions!$B$73,0,$C$1)/SUM(OFFSET(Assumptions!$B$68,0,$C$1,6,1))*SUM(N$354,N$70,-N$322,N$429)</f>
        <v>3.3181083116054677</v>
      </c>
      <c r="O401" s="7">
        <f ca="1">OFFSET(Assumptions!$B$73,0,$C$1)/SUM(OFFSET(Assumptions!$B$68,0,$C$1,6,1))*SUM(O$354,O$70,-O$322,O$429)</f>
        <v>3.5704662891389263</v>
      </c>
      <c r="P401" s="7">
        <f ca="1">OFFSET(Assumptions!$B$73,0,$C$1)/SUM(OFFSET(Assumptions!$B$68,0,$C$1,6,1))*SUM(P$354,P$70,-P$322,P$429)</f>
        <v>3.8241578511562171</v>
      </c>
      <c r="Q401" s="7">
        <f ca="1">OFFSET(Assumptions!$B$73,0,$C$1)/SUM(OFFSET(Assumptions!$B$68,0,$C$1,6,1))*SUM(Q$354,Q$70,-Q$322,Q$429)</f>
        <v>4.074891062239927</v>
      </c>
      <c r="R401" s="7">
        <f ca="1">OFFSET(Assumptions!$B$73,0,$C$1)/SUM(OFFSET(Assumptions!$B$68,0,$C$1,6,1))*SUM(R$354,R$70,-R$322,R$429)</f>
        <v>4.3225255846794504</v>
      </c>
      <c r="S401" s="7">
        <f ca="1">OFFSET(Assumptions!$B$73,0,$C$1)/SUM(OFFSET(Assumptions!$B$68,0,$C$1,6,1))*SUM(S$354,S$70,-S$322,S$429)</f>
        <v>4.5688734656241667</v>
      </c>
      <c r="T401" s="7">
        <f ca="1">OFFSET(Assumptions!$B$73,0,$C$1)/SUM(OFFSET(Assumptions!$B$68,0,$C$1,6,1))*SUM(T$354,T$70,-T$322,T$429)</f>
        <v>4.8140062332697324</v>
      </c>
    </row>
    <row r="402" spans="1:20" x14ac:dyDescent="0.2">
      <c r="A402" s="1" t="s">
        <v>629</v>
      </c>
      <c r="B402" s="4" t="str">
        <f>$B$38</f>
        <v>From Fiscal</v>
      </c>
      <c r="D402" s="15">
        <f ca="1">'Fiscal Forecasts'!D$174-D$401</f>
        <v>33.785220000000002</v>
      </c>
      <c r="E402" s="15">
        <f ca="1">'Fiscal Forecasts'!E$174-E$401</f>
        <v>37.12527</v>
      </c>
      <c r="F402" s="16">
        <f ca="1">'Fiscal Forecasts'!F$174-F$401</f>
        <v>41.411110000000001</v>
      </c>
      <c r="G402" s="16">
        <f ca="1">'Fiscal Forecasts'!G$174-G$401</f>
        <v>43.928179999999998</v>
      </c>
      <c r="H402" s="16">
        <f ca="1">'Fiscal Forecasts'!H$174-H$401</f>
        <v>46.142910000000001</v>
      </c>
      <c r="I402" s="16">
        <f ca="1">'Fiscal Forecasts'!I$174-I$401</f>
        <v>48.16039</v>
      </c>
      <c r="J402" s="16">
        <f ca="1">'Fiscal Forecasts'!J$174-J$401</f>
        <v>49.73959</v>
      </c>
      <c r="K402" s="7">
        <f t="shared" ref="K402:T402" ca="1" si="168">SUM(J$402,K$127-K$261)</f>
        <v>51.173791427540934</v>
      </c>
      <c r="L402" s="7">
        <f t="shared" ca="1" si="168"/>
        <v>52.731473828450447</v>
      </c>
      <c r="M402" s="7">
        <f t="shared" ca="1" si="168"/>
        <v>54.374777649874773</v>
      </c>
      <c r="N402" s="7">
        <f t="shared" ca="1" si="168"/>
        <v>56.089815822197373</v>
      </c>
      <c r="O402" s="7">
        <f t="shared" ca="1" si="168"/>
        <v>57.878973757062411</v>
      </c>
      <c r="P402" s="7">
        <f t="shared" ca="1" si="168"/>
        <v>59.744929599618956</v>
      </c>
      <c r="Q402" s="7">
        <f t="shared" ca="1" si="168"/>
        <v>61.690242714415831</v>
      </c>
      <c r="R402" s="7">
        <f t="shared" ca="1" si="168"/>
        <v>63.717383975794789</v>
      </c>
      <c r="S402" s="7">
        <f t="shared" ca="1" si="168"/>
        <v>65.829195696154258</v>
      </c>
      <c r="T402" s="7">
        <f t="shared" ca="1" si="168"/>
        <v>68.028388697249795</v>
      </c>
    </row>
    <row r="403" spans="1:20" ht="15" x14ac:dyDescent="0.25">
      <c r="A403" s="2" t="s">
        <v>630</v>
      </c>
      <c r="B403" s="4"/>
      <c r="D403" s="35">
        <f t="shared" ref="D403:T403" ca="1" si="169">SUM(D$401:D$402)</f>
        <v>34.883000000000003</v>
      </c>
      <c r="E403" s="35">
        <f t="shared" ca="1" si="169"/>
        <v>38.375999999999998</v>
      </c>
      <c r="F403" s="34">
        <f t="shared" ca="1" si="169"/>
        <v>42.883000000000003</v>
      </c>
      <c r="G403" s="34">
        <f t="shared" ca="1" si="169"/>
        <v>45.436999999999998</v>
      </c>
      <c r="H403" s="34">
        <f t="shared" ca="1" si="169"/>
        <v>47.689</v>
      </c>
      <c r="I403" s="34">
        <f t="shared" ca="1" si="169"/>
        <v>49.744</v>
      </c>
      <c r="J403" s="34">
        <f t="shared" ca="1" si="169"/>
        <v>51.341999999999999</v>
      </c>
      <c r="K403" s="38">
        <f t="shared" ca="1" si="169"/>
        <v>53.760363277701131</v>
      </c>
      <c r="L403" s="38">
        <f t="shared" ca="1" si="169"/>
        <v>55.556896759057558</v>
      </c>
      <c r="M403" s="38">
        <f t="shared" ca="1" si="169"/>
        <v>57.443953651054002</v>
      </c>
      <c r="N403" s="38">
        <f t="shared" ca="1" si="169"/>
        <v>59.407924133802844</v>
      </c>
      <c r="O403" s="38">
        <f t="shared" ca="1" si="169"/>
        <v>61.449440046201339</v>
      </c>
      <c r="P403" s="38">
        <f t="shared" ca="1" si="169"/>
        <v>63.569087450775172</v>
      </c>
      <c r="Q403" s="38">
        <f t="shared" ca="1" si="169"/>
        <v>65.765133776655759</v>
      </c>
      <c r="R403" s="38">
        <f t="shared" ca="1" si="169"/>
        <v>68.039909560474243</v>
      </c>
      <c r="S403" s="38">
        <f t="shared" ca="1" si="169"/>
        <v>70.398069161778423</v>
      </c>
      <c r="T403" s="38">
        <f t="shared" ca="1" si="169"/>
        <v>72.842394930519532</v>
      </c>
    </row>
    <row r="404" spans="1:20" ht="15" x14ac:dyDescent="0.25">
      <c r="A404" s="2" t="s">
        <v>631</v>
      </c>
      <c r="B404" s="4" t="str">
        <f>$B$38</f>
        <v>From Fiscal</v>
      </c>
      <c r="D404" s="40">
        <f>'Fiscal Forecasts'!D$123</f>
        <v>11.917999999999999</v>
      </c>
      <c r="E404" s="40">
        <f>'Fiscal Forecasts'!E$123</f>
        <v>12.705</v>
      </c>
      <c r="F404" s="39">
        <f>'Fiscal Forecasts'!F$123</f>
        <v>14.167</v>
      </c>
      <c r="G404" s="39">
        <f>'Fiscal Forecasts'!G$123</f>
        <v>14.351000000000001</v>
      </c>
      <c r="H404" s="39">
        <f>'Fiscal Forecasts'!H$123</f>
        <v>14.547000000000001</v>
      </c>
      <c r="I404" s="39">
        <f>'Fiscal Forecasts'!I$123</f>
        <v>14.74</v>
      </c>
      <c r="J404" s="39">
        <f>'Fiscal Forecasts'!J$123</f>
        <v>14.935</v>
      </c>
      <c r="K404" s="8">
        <f ca="1">IF(K$6=OFFSET(Assumptions!$B$8,0,$C$1),AVERAGE(H$404/H$402,I$404/I$402,J$404/J$402),J$404/J$402)*K$402</f>
        <v>15.720318858640043</v>
      </c>
      <c r="L404" s="8">
        <f ca="1">IF(L$6=OFFSET(Assumptions!$B$8,0,$C$1),AVERAGE(I$404/I$402,J$404/J$402,K$404/K$402),K$404/K$402)*L$402</f>
        <v>16.198830677672685</v>
      </c>
      <c r="M404" s="8">
        <f ca="1">IF(M$6=OFFSET(Assumptions!$B$8,0,$C$1),AVERAGE(J$404/J$402,K$404/K$402,L$404/L$402),L$404/L$402)*M$402</f>
        <v>16.703644945558043</v>
      </c>
      <c r="N404" s="8">
        <f ca="1">IF(N$6=OFFSET(Assumptions!$B$8,0,$C$1),AVERAGE(K$404/K$402,L$404/L$402,M$404/M$402),M$404/M$402)*N$402</f>
        <v>17.230495627744173</v>
      </c>
      <c r="O404" s="8">
        <f ca="1">IF(O$6=OFFSET(Assumptions!$B$8,0,$C$1),AVERAGE(L$404/L$402,M$404/M$402,N$404/N$402),N$404/N$402)*O$402</f>
        <v>17.780115510108551</v>
      </c>
      <c r="P404" s="8">
        <f ca="1">IF(P$6=OFFSET(Assumptions!$B$8,0,$C$1),AVERAGE(M$404/M$402,N$404/N$402,O$404/O$402),O$404/O$402)*P$402</f>
        <v>18.353327304717627</v>
      </c>
      <c r="Q404" s="8">
        <f ca="1">IF(Q$6=OFFSET(Assumptions!$B$8,0,$C$1),AVERAGE(N$404/N$402,O$404/O$402,P$404/P$402),P$404/P$402)*Q$402</f>
        <v>18.950917234863841</v>
      </c>
      <c r="R404" s="8">
        <f ca="1">IF(R$6=OFFSET(Assumptions!$B$8,0,$C$1),AVERAGE(O$404/O$402,P$404/P$402,Q$404/Q$402),Q$404/Q$402)*R$402</f>
        <v>19.573644340114683</v>
      </c>
      <c r="S404" s="8">
        <f ca="1">IF(S$6=OFFSET(Assumptions!$B$8,0,$C$1),AVERAGE(P$404/P$402,Q$404/Q$402,R$404/R$402),R$404/R$402)*S$402</f>
        <v>20.222381763849857</v>
      </c>
      <c r="T404" s="8">
        <f ca="1">IF(T$6=OFFSET(Assumptions!$B$8,0,$C$1),AVERAGE(Q$404/Q$402,R$404/R$402,S$404/S$402),S$404/S$402)*T$402</f>
        <v>20.897962256216996</v>
      </c>
    </row>
    <row r="405" spans="1:20" ht="15" x14ac:dyDescent="0.25">
      <c r="A405" s="2"/>
      <c r="B405" s="4"/>
      <c r="D405" s="8"/>
      <c r="E405" s="8"/>
      <c r="F405" s="8"/>
      <c r="G405" s="8"/>
      <c r="H405" s="8"/>
      <c r="I405" s="8"/>
      <c r="J405" s="8"/>
      <c r="K405" s="8"/>
      <c r="L405" s="8"/>
      <c r="M405" s="8"/>
      <c r="N405" s="8"/>
      <c r="O405" s="8"/>
      <c r="P405" s="8"/>
      <c r="Q405" s="8"/>
      <c r="R405" s="8"/>
      <c r="S405" s="8"/>
      <c r="T405" s="8"/>
    </row>
    <row r="406" spans="1:20" ht="15" x14ac:dyDescent="0.25">
      <c r="A406" s="19" t="s">
        <v>228</v>
      </c>
      <c r="B406" s="4"/>
      <c r="D406" s="40"/>
      <c r="E406" s="40"/>
      <c r="F406" s="39"/>
      <c r="G406" s="39"/>
      <c r="H406" s="39"/>
      <c r="I406" s="39"/>
      <c r="J406" s="39"/>
      <c r="K406" s="39"/>
      <c r="L406" s="39"/>
      <c r="M406" s="39"/>
      <c r="N406" s="39"/>
      <c r="O406" s="39"/>
      <c r="P406" s="39"/>
      <c r="Q406" s="39"/>
      <c r="R406" s="39"/>
      <c r="S406" s="39"/>
      <c r="T406" s="39"/>
    </row>
    <row r="407" spans="1:20" ht="15" x14ac:dyDescent="0.25">
      <c r="A407" s="2" t="s">
        <v>307</v>
      </c>
      <c r="B407" s="4" t="str">
        <f>$B$38</f>
        <v>From Fiscal</v>
      </c>
      <c r="D407" s="15">
        <f>'Fiscal Forecasts'!D$175</f>
        <v>1.2390000000000001</v>
      </c>
      <c r="E407" s="15">
        <f>'Fiscal Forecasts'!E$175</f>
        <v>1.351</v>
      </c>
      <c r="F407" s="16">
        <f>'Fiscal Forecasts'!F$175</f>
        <v>1.52</v>
      </c>
      <c r="G407" s="16">
        <f>'Fiscal Forecasts'!G$175</f>
        <v>1.6930000000000001</v>
      </c>
      <c r="H407" s="16">
        <f>'Fiscal Forecasts'!H$175</f>
        <v>1.7549999999999999</v>
      </c>
      <c r="I407" s="16">
        <f>'Fiscal Forecasts'!I$175</f>
        <v>1.752</v>
      </c>
      <c r="J407" s="16">
        <f>'Fiscal Forecasts'!J$175</f>
        <v>1.667</v>
      </c>
      <c r="K407" s="7">
        <f ca="1">(J$407/J$13+ IF(K$2&gt;0,K$2*IF(K$6=OFFSET(Assumptions!$B$8,0,$C$1),SUMPRODUCT(OFFSET(J$407,0,0,1,-OFFSET(Assumptions!$B$82,0,$C$1)),OFFSET(J$15,0,0,1,-OFFSET(Assumptions!$B$82,0,$C$1)))/OFFSET(Assumptions!$B$82,0,$C$1)-J$407/J$13,(J$407/J$13-I$407/I$13)/J$2),0))*K$13</f>
        <v>1.7850475216593182</v>
      </c>
      <c r="L407" s="7">
        <f ca="1">(K$407/K$13+ IF(L$2&gt;0,L$2*IF(L$6=OFFSET(Assumptions!$B$8,0,$C$1),SUMPRODUCT(OFFSET(K$407,0,0,1,-OFFSET(Assumptions!$B$82,0,$C$1)),OFFSET(K$15,0,0,1,-OFFSET(Assumptions!$B$82,0,$C$1)))/OFFSET(Assumptions!$B$82,0,$C$1)-K$407/K$13,(K$407/K$13-J$407/J$13)/K$2),0))*L$13</f>
        <v>1.902320332211672</v>
      </c>
      <c r="M407" s="7">
        <f ca="1">(L$407/L$13+ IF(M$2&gt;0,M$2*IF(M$6=OFFSET(Assumptions!$B$8,0,$C$1),SUMPRODUCT(OFFSET(L$407,0,0,1,-OFFSET(Assumptions!$B$82,0,$C$1)),OFFSET(L$15,0,0,1,-OFFSET(Assumptions!$B$82,0,$C$1)))/OFFSET(Assumptions!$B$82,0,$C$1)-L$407/L$13,(L$407/L$13-K$407/K$13)/L$2),0))*M$13</f>
        <v>2.0159456317391959</v>
      </c>
      <c r="N407" s="7">
        <f ca="1">(M$407/M$13+ IF(N$2&gt;0,N$2*IF(N$6=OFFSET(Assumptions!$B$8,0,$C$1),SUMPRODUCT(OFFSET(M$407,0,0,1,-OFFSET(Assumptions!$B$82,0,$C$1)),OFFSET(M$15,0,0,1,-OFFSET(Assumptions!$B$82,0,$C$1)))/OFFSET(Assumptions!$B$82,0,$C$1)-M$407/M$13,(M$407/M$13-L$407/L$13)/M$2),0))*N$13</f>
        <v>2.1251636962003682</v>
      </c>
      <c r="O407" s="7">
        <f ca="1">(N$407/N$13+ IF(O$2&gt;0,O$2*IF(O$6=OFFSET(Assumptions!$B$8,0,$C$1),SUMPRODUCT(OFFSET(N$407,0,0,1,-OFFSET(Assumptions!$B$82,0,$C$1)),OFFSET(N$15,0,0,1,-OFFSET(Assumptions!$B$82,0,$C$1)))/OFFSET(Assumptions!$B$82,0,$C$1)-N$407/N$13,(N$407/N$13-M$407/M$13)/N$2),0))*O$13</f>
        <v>2.2280750351403489</v>
      </c>
      <c r="P407" s="7">
        <f ca="1">(O$407/O$13+ IF(P$2&gt;0,P$2*IF(P$6=OFFSET(Assumptions!$B$8,0,$C$1),SUMPRODUCT(OFFSET(O$407,0,0,1,-OFFSET(Assumptions!$B$82,0,$C$1)),OFFSET(O$15,0,0,1,-OFFSET(Assumptions!$B$82,0,$C$1)))/OFFSET(Assumptions!$B$82,0,$C$1)-O$407/O$13,(O$407/O$13-N$407/N$13)/O$2),0))*P$13</f>
        <v>2.3237130431350796</v>
      </c>
      <c r="Q407" s="7">
        <f ca="1">(P$407/P$13+ IF(Q$2&gt;0,Q$2*IF(Q$6=OFFSET(Assumptions!$B$8,0,$C$1),SUMPRODUCT(OFFSET(P$407,0,0,1,-OFFSET(Assumptions!$B$82,0,$C$1)),OFFSET(P$15,0,0,1,-OFFSET(Assumptions!$B$82,0,$C$1)))/OFFSET(Assumptions!$B$82,0,$C$1)-P$407/P$13,(P$407/P$13-O$407/O$13)/P$2),0))*Q$13</f>
        <v>2.422538280242418</v>
      </c>
      <c r="R407" s="7">
        <f ca="1">(Q$407/Q$13+ IF(R$2&gt;0,R$2*IF(R$6=OFFSET(Assumptions!$B$8,0,$C$1),SUMPRODUCT(OFFSET(Q$407,0,0,1,-OFFSET(Assumptions!$B$82,0,$C$1)),OFFSET(Q$15,0,0,1,-OFFSET(Assumptions!$B$82,0,$C$1)))/OFFSET(Assumptions!$B$82,0,$C$1)-Q$407/Q$13,(Q$407/Q$13-P$407/P$13)/Q$2),0))*R$13</f>
        <v>2.5244405477943865</v>
      </c>
      <c r="S407" s="7">
        <f ca="1">(R$407/R$13+ IF(S$2&gt;0,S$2*IF(S$6=OFFSET(Assumptions!$B$8,0,$C$1),SUMPRODUCT(OFFSET(R$407,0,0,1,-OFFSET(Assumptions!$B$82,0,$C$1)),OFFSET(R$15,0,0,1,-OFFSET(Assumptions!$B$82,0,$C$1)))/OFFSET(Assumptions!$B$82,0,$C$1)-R$407/R$13,(R$407/R$13-Q$407/Q$13)/R$2),0))*S$13</f>
        <v>2.6298824052135137</v>
      </c>
      <c r="T407" s="7">
        <f ca="1">(S$407/S$13+ IF(T$2&gt;0,T$2*IF(T$6=OFFSET(Assumptions!$B$8,0,$C$1),SUMPRODUCT(OFFSET(S$407,0,0,1,-OFFSET(Assumptions!$B$82,0,$C$1)),OFFSET(S$15,0,0,1,-OFFSET(Assumptions!$B$82,0,$C$1)))/OFFSET(Assumptions!$B$82,0,$C$1)-S$407/S$13,(S$407/S$13-R$407/R$13)/S$2),0))*T$13</f>
        <v>2.7387001045080854</v>
      </c>
    </row>
    <row r="408" spans="1:20" x14ac:dyDescent="0.2">
      <c r="A408" s="1" t="s">
        <v>279</v>
      </c>
      <c r="B408" s="4" t="str">
        <f>$B$38</f>
        <v>From Fiscal</v>
      </c>
      <c r="D408" s="15">
        <f>'Fiscal Forecasts'!D$330</f>
        <v>0.60699999999999998</v>
      </c>
      <c r="E408" s="15">
        <f>'Fiscal Forecasts'!E$330</f>
        <v>0.54400000000000004</v>
      </c>
      <c r="F408" s="16">
        <f>'Fiscal Forecasts'!F$330</f>
        <v>0.51700000000000002</v>
      </c>
      <c r="G408" s="16">
        <f>'Fiscal Forecasts'!G$330</f>
        <v>0.58099999999999996</v>
      </c>
      <c r="H408" s="16">
        <f>'Fiscal Forecasts'!H$330</f>
        <v>0.57599999999999996</v>
      </c>
      <c r="I408" s="16">
        <f>'Fiscal Forecasts'!I$330</f>
        <v>0.57099999999999995</v>
      </c>
      <c r="J408" s="16">
        <f>'Fiscal Forecasts'!J$330</f>
        <v>0.55600000000000005</v>
      </c>
      <c r="K408" s="7">
        <f ca="1">(J$408/J$13+ IF(K$2&gt;0,K$2*IF(K$6=OFFSET(Assumptions!$B$8,0,$C$1),SUMPRODUCT(OFFSET(J$408,0,0,1,-OFFSET(Assumptions!$B$82,0,$C$1)),OFFSET(J$15,0,0,1,-OFFSET(Assumptions!$B$82,0,$C$1)))/OFFSET(Assumptions!$B$82,0,$C$1)-J$408/J$13,(J$408/J$13-I$408/I$13)/J$2),0))*K$13</f>
        <v>0.59258161104045015</v>
      </c>
      <c r="L408" s="7">
        <f ca="1">(K$408/K$13+ IF(L$2&gt;0,L$2*IF(L$6=OFFSET(Assumptions!$B$8,0,$C$1),SUMPRODUCT(OFFSET(K$408,0,0,1,-OFFSET(Assumptions!$B$82,0,$C$1)),OFFSET(K$15,0,0,1,-OFFSET(Assumptions!$B$82,0,$C$1)))/OFFSET(Assumptions!$B$82,0,$C$1)-K$408/K$13,(K$408/K$13-J$408/J$13)/K$2),0))*L$13</f>
        <v>0.62924263908166145</v>
      </c>
      <c r="M408" s="7">
        <f ca="1">(L$408/L$13+ IF(M$2&gt;0,M$2*IF(M$6=OFFSET(Assumptions!$B$8,0,$C$1),SUMPRODUCT(OFFSET(L$408,0,0,1,-OFFSET(Assumptions!$B$82,0,$C$1)),OFFSET(L$15,0,0,1,-OFFSET(Assumptions!$B$82,0,$C$1)))/OFFSET(Assumptions!$B$82,0,$C$1)-L$408/L$13,(L$408/L$13-K$408/K$13)/L$2),0))*M$13</f>
        <v>0.66508670435711292</v>
      </c>
      <c r="N408" s="7">
        <f ca="1">(M$408/M$13+ IF(N$2&gt;0,N$2*IF(N$6=OFFSET(Assumptions!$B$8,0,$C$1),SUMPRODUCT(OFFSET(M$408,0,0,1,-OFFSET(Assumptions!$B$82,0,$C$1)),OFFSET(M$15,0,0,1,-OFFSET(Assumptions!$B$82,0,$C$1)))/OFFSET(Assumptions!$B$82,0,$C$1)-M$408/M$13,(M$408/M$13-L$408/L$13)/M$2),0))*N$13</f>
        <v>0.6999264984304896</v>
      </c>
      <c r="O408" s="7">
        <f ca="1">(N$408/N$13+ IF(O$2&gt;0,O$2*IF(O$6=OFFSET(Assumptions!$B$8,0,$C$1),SUMPRODUCT(OFFSET(N$408,0,0,1,-OFFSET(Assumptions!$B$82,0,$C$1)),OFFSET(N$15,0,0,1,-OFFSET(Assumptions!$B$82,0,$C$1)))/OFFSET(Assumptions!$B$82,0,$C$1)-N$408/N$13,(N$408/N$13-M$408/M$13)/N$2),0))*O$13</f>
        <v>0.73320463893966903</v>
      </c>
      <c r="P408" s="7">
        <f ca="1">(O$408/O$13+ IF(P$2&gt;0,P$2*IF(P$6=OFFSET(Assumptions!$B$8,0,$C$1),SUMPRODUCT(OFFSET(O$408,0,0,1,-OFFSET(Assumptions!$B$82,0,$C$1)),OFFSET(O$15,0,0,1,-OFFSET(Assumptions!$B$82,0,$C$1)))/OFFSET(Assumptions!$B$82,0,$C$1)-O$408/O$13,(O$408/O$13-N$408/N$13)/O$2),0))*P$13</f>
        <v>0.7646767527665127</v>
      </c>
      <c r="Q408" s="7">
        <f ca="1">(P$408/P$13+ IF(Q$2&gt;0,Q$2*IF(Q$6=OFFSET(Assumptions!$B$8,0,$C$1),SUMPRODUCT(OFFSET(P$408,0,0,1,-OFFSET(Assumptions!$B$82,0,$C$1)),OFFSET(P$15,0,0,1,-OFFSET(Assumptions!$B$82,0,$C$1)))/OFFSET(Assumptions!$B$82,0,$C$1)-P$408/P$13,(P$408/P$13-O$408/O$13)/P$2),0))*Q$13</f>
        <v>0.79719770522485245</v>
      </c>
      <c r="R408" s="7">
        <f ca="1">(Q$408/Q$13+ IF(R$2&gt;0,R$2*IF(R$6=OFFSET(Assumptions!$B$8,0,$C$1),SUMPRODUCT(OFFSET(Q$408,0,0,1,-OFFSET(Assumptions!$B$82,0,$C$1)),OFFSET(Q$15,0,0,1,-OFFSET(Assumptions!$B$82,0,$C$1)))/OFFSET(Assumptions!$B$82,0,$C$1)-Q$408/Q$13,(Q$408/Q$13-P$408/P$13)/Q$2),0))*R$13</f>
        <v>0.83073123264614424</v>
      </c>
      <c r="S408" s="7">
        <f ca="1">(R$408/R$13+ IF(S$2&gt;0,S$2*IF(S$6=OFFSET(Assumptions!$B$8,0,$C$1),SUMPRODUCT(OFFSET(R$408,0,0,1,-OFFSET(Assumptions!$B$82,0,$C$1)),OFFSET(R$15,0,0,1,-OFFSET(Assumptions!$B$82,0,$C$1)))/OFFSET(Assumptions!$B$82,0,$C$1)-R$408/R$13,(R$408/R$13-Q$408/Q$13)/R$2),0))*S$13</f>
        <v>0.8654295519481463</v>
      </c>
      <c r="T408" s="7">
        <f ca="1">(S$408/S$13+ IF(T$2&gt;0,T$2*IF(T$6=OFFSET(Assumptions!$B$8,0,$C$1),SUMPRODUCT(OFFSET(S$408,0,0,1,-OFFSET(Assumptions!$B$82,0,$C$1)),OFFSET(S$15,0,0,1,-OFFSET(Assumptions!$B$82,0,$C$1)))/OFFSET(Assumptions!$B$82,0,$C$1)-S$408/S$13,(S$408/S$13-R$408/R$13)/S$2),0))*T$13</f>
        <v>0.901238777698255</v>
      </c>
    </row>
    <row r="409" spans="1:20" x14ac:dyDescent="0.2">
      <c r="A409" s="1" t="s">
        <v>506</v>
      </c>
      <c r="B409" s="4" t="str">
        <f>$B$38</f>
        <v>From Fiscal</v>
      </c>
      <c r="D409" s="15">
        <f>SUM('Fiscal Forecasts'!D$331:D$332)</f>
        <v>1.21</v>
      </c>
      <c r="E409" s="15">
        <f>SUM('Fiscal Forecasts'!E$331:E$332)</f>
        <v>1.3009999999999999</v>
      </c>
      <c r="F409" s="16">
        <f>SUM('Fiscal Forecasts'!F$331:F$332)</f>
        <v>1.494</v>
      </c>
      <c r="G409" s="16">
        <f>SUM('Fiscal Forecasts'!G$331:G$332)</f>
        <v>1.5330000000000001</v>
      </c>
      <c r="H409" s="16">
        <f>SUM('Fiscal Forecasts'!H$331:H$332)</f>
        <v>1.5210000000000001</v>
      </c>
      <c r="I409" s="16">
        <f>SUM('Fiscal Forecasts'!I$331:I$332)</f>
        <v>1.4950000000000001</v>
      </c>
      <c r="J409" s="16">
        <f>SUM('Fiscal Forecasts'!J$331:J$332)</f>
        <v>1.486</v>
      </c>
      <c r="K409" s="7">
        <f ca="1">(J$409/J$13+ IF(K$2&gt;0,K$2*IF(K$6=OFFSET(Assumptions!$B$8,0,$C$1),SUMPRODUCT(OFFSET(J$409,0,0,1,-OFFSET(Assumptions!$B$82,0,$C$1)),OFFSET(J$15,0,0,1,-OFFSET(Assumptions!$B$82,0,$C$1)))/OFFSET(Assumptions!$B$82,0,$C$1)-J$409/J$13,(J$409/J$13-I$409/I$13)/J$2),0))*K$13</f>
        <v>1.5776899636195449</v>
      </c>
      <c r="L409" s="7">
        <f ca="1">(K$409/K$13+ IF(L$2&gt;0,L$2*IF(L$6=OFFSET(Assumptions!$B$8,0,$C$1),SUMPRODUCT(OFFSET(K$409,0,0,1,-OFFSET(Assumptions!$B$82,0,$C$1)),OFFSET(K$15,0,0,1,-OFFSET(Assumptions!$B$82,0,$C$1)))/OFFSET(Assumptions!$B$82,0,$C$1)-K$409/K$13,(K$409/K$13-J$409/J$13)/K$2),0))*L$13</f>
        <v>1.6703280691319387</v>
      </c>
      <c r="M409" s="7">
        <f ca="1">(L$409/L$13+ IF(M$2&gt;0,M$2*IF(M$6=OFFSET(Assumptions!$B$8,0,$C$1),SUMPRODUCT(OFFSET(L$409,0,0,1,-OFFSET(Assumptions!$B$82,0,$C$1)),OFFSET(L$15,0,0,1,-OFFSET(Assumptions!$B$82,0,$C$1)))/OFFSET(Assumptions!$B$82,0,$C$1)-L$409/L$13,(L$409/L$13-K$409/K$13)/L$2),0))*M$13</f>
        <v>1.7616532107303182</v>
      </c>
      <c r="N409" s="7">
        <f ca="1">(M$409/M$13+ IF(N$2&gt;0,N$2*IF(N$6=OFFSET(Assumptions!$B$8,0,$C$1),SUMPRODUCT(OFFSET(M$409,0,0,1,-OFFSET(Assumptions!$B$82,0,$C$1)),OFFSET(M$15,0,0,1,-OFFSET(Assumptions!$B$82,0,$C$1)))/OFFSET(Assumptions!$B$82,0,$C$1)-M$409/M$13,(M$409/M$13-L$409/L$13)/M$2),0))*N$13</f>
        <v>1.8513087362827261</v>
      </c>
      <c r="O409" s="7">
        <f ca="1">(N$409/N$13+ IF(O$2&gt;0,O$2*IF(O$6=OFFSET(Assumptions!$B$8,0,$C$1),SUMPRODUCT(OFFSET(N$409,0,0,1,-OFFSET(Assumptions!$B$82,0,$C$1)),OFFSET(N$15,0,0,1,-OFFSET(Assumptions!$B$82,0,$C$1)))/OFFSET(Assumptions!$B$82,0,$C$1)-N$409/N$13,(N$409/N$13-M$409/M$13)/N$2),0))*O$13</f>
        <v>1.9379708611275526</v>
      </c>
      <c r="P409" s="7">
        <f ca="1">(O$409/O$13+ IF(P$2&gt;0,P$2*IF(P$6=OFFSET(Assumptions!$B$8,0,$C$1),SUMPRODUCT(OFFSET(O$409,0,0,1,-OFFSET(Assumptions!$B$82,0,$C$1)),OFFSET(O$15,0,0,1,-OFFSET(Assumptions!$B$82,0,$C$1)))/OFFSET(Assumptions!$B$82,0,$C$1)-O$409/O$13,(O$409/O$13-N$409/N$13)/O$2),0))*P$13</f>
        <v>2.0211564225592378</v>
      </c>
      <c r="Q409" s="7">
        <f ca="1">(P$409/P$13+ IF(Q$2&gt;0,Q$2*IF(Q$6=OFFSET(Assumptions!$B$8,0,$C$1),SUMPRODUCT(OFFSET(P$409,0,0,1,-OFFSET(Assumptions!$B$82,0,$C$1)),OFFSET(P$15,0,0,1,-OFFSET(Assumptions!$B$82,0,$C$1)))/OFFSET(Assumptions!$B$82,0,$C$1)-P$409/P$13,(P$409/P$13-O$409/O$13)/P$2),0))*Q$13</f>
        <v>2.1071142232784488</v>
      </c>
      <c r="R409" s="7">
        <f ca="1">(Q$409/Q$13+ IF(R$2&gt;0,R$2*IF(R$6=OFFSET(Assumptions!$B$8,0,$C$1),SUMPRODUCT(OFFSET(Q$409,0,0,1,-OFFSET(Assumptions!$B$82,0,$C$1)),OFFSET(Q$15,0,0,1,-OFFSET(Assumptions!$B$82,0,$C$1)))/OFFSET(Assumptions!$B$82,0,$C$1)-Q$409/Q$13,(Q$409/Q$13-P$409/P$13)/Q$2),0))*R$13</f>
        <v>2.1957484129192384</v>
      </c>
      <c r="S409" s="7">
        <f ca="1">(R$409/R$13+ IF(S$2&gt;0,S$2*IF(S$6=OFFSET(Assumptions!$B$8,0,$C$1),SUMPRODUCT(OFFSET(R$409,0,0,1,-OFFSET(Assumptions!$B$82,0,$C$1)),OFFSET(R$15,0,0,1,-OFFSET(Assumptions!$B$82,0,$C$1)))/OFFSET(Assumptions!$B$82,0,$C$1)-R$409/R$13,(R$409/R$13-Q$409/Q$13)/R$2),0))*S$13</f>
        <v>2.287461323839477</v>
      </c>
      <c r="T409" s="7">
        <f ca="1">(S$409/S$13+ IF(T$2&gt;0,T$2*IF(T$6=OFFSET(Assumptions!$B$8,0,$C$1),SUMPRODUCT(OFFSET(S$409,0,0,1,-OFFSET(Assumptions!$B$82,0,$C$1)),OFFSET(S$15,0,0,1,-OFFSET(Assumptions!$B$82,0,$C$1)))/OFFSET(Assumptions!$B$82,0,$C$1)-S$409/S$13,(S$409/S$13-R$409/R$13)/S$2),0))*T$13</f>
        <v>2.3821105286830369</v>
      </c>
    </row>
    <row r="410" spans="1:20" ht="15" x14ac:dyDescent="0.25">
      <c r="A410" s="2" t="s">
        <v>632</v>
      </c>
      <c r="B410" s="4"/>
      <c r="D410" s="35">
        <f t="shared" ref="D410:T410" si="170">SUM(D$407:D$409)</f>
        <v>3.056</v>
      </c>
      <c r="E410" s="35">
        <f t="shared" si="170"/>
        <v>3.1959999999999997</v>
      </c>
      <c r="F410" s="34">
        <f t="shared" si="170"/>
        <v>3.5309999999999997</v>
      </c>
      <c r="G410" s="34">
        <f t="shared" si="170"/>
        <v>3.8070000000000004</v>
      </c>
      <c r="H410" s="34">
        <f t="shared" si="170"/>
        <v>3.8520000000000003</v>
      </c>
      <c r="I410" s="34">
        <f t="shared" si="170"/>
        <v>3.8180000000000001</v>
      </c>
      <c r="J410" s="34">
        <f t="shared" si="170"/>
        <v>3.7089999999999996</v>
      </c>
      <c r="K410" s="38">
        <f t="shared" ca="1" si="170"/>
        <v>3.9553190963193132</v>
      </c>
      <c r="L410" s="38">
        <f t="shared" ca="1" si="170"/>
        <v>4.2018910404252718</v>
      </c>
      <c r="M410" s="38">
        <f t="shared" ca="1" si="170"/>
        <v>4.4426855468266275</v>
      </c>
      <c r="N410" s="38">
        <f t="shared" ca="1" si="170"/>
        <v>4.6763989309135834</v>
      </c>
      <c r="O410" s="38">
        <f t="shared" ca="1" si="170"/>
        <v>4.8992505352075701</v>
      </c>
      <c r="P410" s="38">
        <f t="shared" ca="1" si="170"/>
        <v>5.1095462184608298</v>
      </c>
      <c r="Q410" s="38">
        <f t="shared" ca="1" si="170"/>
        <v>5.3268502087457197</v>
      </c>
      <c r="R410" s="38">
        <f t="shared" ca="1" si="170"/>
        <v>5.5509201933597687</v>
      </c>
      <c r="S410" s="38">
        <f t="shared" ca="1" si="170"/>
        <v>5.7827732810011376</v>
      </c>
      <c r="T410" s="38">
        <f t="shared" ca="1" si="170"/>
        <v>6.0220494108893767</v>
      </c>
    </row>
    <row r="411" spans="1:20" ht="15" x14ac:dyDescent="0.25">
      <c r="A411" s="2"/>
      <c r="B411" s="4"/>
      <c r="D411" s="47"/>
      <c r="E411" s="47"/>
      <c r="F411" s="48"/>
      <c r="G411" s="48"/>
      <c r="H411" s="48"/>
      <c r="I411" s="48"/>
      <c r="J411" s="48"/>
      <c r="K411" s="49"/>
      <c r="L411" s="49"/>
      <c r="M411" s="49"/>
      <c r="N411" s="49"/>
      <c r="O411" s="49"/>
      <c r="P411" s="49"/>
      <c r="Q411" s="49"/>
      <c r="R411" s="49"/>
      <c r="S411" s="49"/>
      <c r="T411" s="49"/>
    </row>
    <row r="412" spans="1:20" ht="15" x14ac:dyDescent="0.25">
      <c r="A412" s="19" t="s">
        <v>338</v>
      </c>
      <c r="B412" s="4"/>
      <c r="D412" s="47"/>
      <c r="E412" s="47"/>
      <c r="F412" s="48"/>
      <c r="G412" s="48"/>
      <c r="H412" s="48"/>
      <c r="I412" s="48"/>
      <c r="J412" s="48"/>
    </row>
    <row r="413" spans="1:20" x14ac:dyDescent="0.2">
      <c r="A413" s="1" t="s">
        <v>333</v>
      </c>
      <c r="B413" s="4" t="str">
        <f t="shared" ref="B413:B418" si="171">$B$38</f>
        <v>From Fiscal</v>
      </c>
      <c r="D413" s="15">
        <f>'Fiscal Forecasts'!D$270</f>
        <v>0</v>
      </c>
      <c r="E413" s="15">
        <f>'Fiscal Forecasts'!E$270</f>
        <v>0</v>
      </c>
      <c r="F413" s="16">
        <f>'Fiscal Forecasts'!F$270</f>
        <v>0</v>
      </c>
      <c r="G413" s="16">
        <f>'Fiscal Forecasts'!G$270</f>
        <v>0.27600000000000002</v>
      </c>
      <c r="H413" s="16">
        <f>'Fiscal Forecasts'!H$270</f>
        <v>0.76500000000000001</v>
      </c>
      <c r="I413" s="16">
        <f>'Fiscal Forecasts'!I$270</f>
        <v>0.46500000000000002</v>
      </c>
      <c r="J413" s="16">
        <f>'Fiscal Forecasts'!J$270</f>
        <v>0.245</v>
      </c>
      <c r="K413" s="7">
        <f ca="1">IF(K$6=OFFSET(Assumptions!$B$8,0,$C$1),0,J$413)</f>
        <v>0</v>
      </c>
      <c r="L413" s="7">
        <f ca="1">IF(L$6=OFFSET(Assumptions!$B$8,0,$C$1),0,K$413)</f>
        <v>0</v>
      </c>
      <c r="M413" s="7">
        <f ca="1">IF(M$6=OFFSET(Assumptions!$B$8,0,$C$1),0,L$413)</f>
        <v>0</v>
      </c>
      <c r="N413" s="7">
        <f ca="1">IF(N$6=OFFSET(Assumptions!$B$8,0,$C$1),0,M$413)</f>
        <v>0</v>
      </c>
      <c r="O413" s="7">
        <f ca="1">IF(O$6=OFFSET(Assumptions!$B$8,0,$C$1),0,N$413)</f>
        <v>0</v>
      </c>
      <c r="P413" s="7">
        <f ca="1">IF(P$6=OFFSET(Assumptions!$B$8,0,$C$1),0,O$413)</f>
        <v>0</v>
      </c>
      <c r="Q413" s="7">
        <f ca="1">IF(Q$6=OFFSET(Assumptions!$B$8,0,$C$1),0,P$413)</f>
        <v>0</v>
      </c>
      <c r="R413" s="7">
        <f ca="1">IF(R$6=OFFSET(Assumptions!$B$8,0,$C$1),0,Q$413)</f>
        <v>0</v>
      </c>
      <c r="S413" s="7">
        <f ca="1">IF(S$6=OFFSET(Assumptions!$B$8,0,$C$1),0,R$413)</f>
        <v>0</v>
      </c>
      <c r="T413" s="7">
        <f ca="1">IF(T$6=OFFSET(Assumptions!$B$8,0,$C$1),0,S$413)</f>
        <v>0</v>
      </c>
    </row>
    <row r="414" spans="1:20" x14ac:dyDescent="0.2">
      <c r="A414" s="1" t="s">
        <v>633</v>
      </c>
      <c r="B414" s="4" t="str">
        <f t="shared" si="171"/>
        <v>From Fiscal</v>
      </c>
      <c r="D414" s="15">
        <f>'Fiscal Forecasts'!D$271</f>
        <v>0</v>
      </c>
      <c r="E414" s="15">
        <f>'Fiscal Forecasts'!E$271</f>
        <v>0</v>
      </c>
      <c r="F414" s="16">
        <f>'Fiscal Forecasts'!F$271 +IF(AND($C$2="Yes",F$6='Fiscal Forecast Adjuster'!$C$5),'Fiscal Forecast Adjuster'!$C$27/1000,0)</f>
        <v>0</v>
      </c>
      <c r="G414" s="16">
        <f>'Fiscal Forecasts'!G$271 +IF(AND($C$2="Yes",G$6='Fiscal Forecast Adjuster'!$C$5),'Fiscal Forecast Adjuster'!$C$27/1000,0)</f>
        <v>0</v>
      </c>
      <c r="H414" s="16">
        <f>'Fiscal Forecasts'!H$271 +IF(AND($C$2="Yes",H$6='Fiscal Forecast Adjuster'!$C$5),'Fiscal Forecast Adjuster'!$C$27/1000,0)</f>
        <v>0</v>
      </c>
      <c r="I414" s="16">
        <f>'Fiscal Forecasts'!I$271 +IF(AND($C$2="Yes",I$6='Fiscal Forecast Adjuster'!$C$5),'Fiscal Forecast Adjuster'!$C$27/1000,0)</f>
        <v>0</v>
      </c>
      <c r="J414" s="16">
        <f>'Fiscal Forecasts'!J$271 +IF(AND($C$2="Yes",J$6='Fiscal Forecast Adjuster'!$C$5),'Fiscal Forecast Adjuster'!$C$27/1000,0)</f>
        <v>0</v>
      </c>
      <c r="K414" s="7">
        <f ca="1">IF(K$6=OFFSET(Assumptions!$B$8,0,$C$1),0,J$414)</f>
        <v>0</v>
      </c>
      <c r="L414" s="7">
        <f ca="1">IF(L$6=OFFSET(Assumptions!$B$8,0,$C$1),0,K$414)</f>
        <v>0</v>
      </c>
      <c r="M414" s="7">
        <f ca="1">IF(M$6=OFFSET(Assumptions!$B$8,0,$C$1),0,L$414)</f>
        <v>0</v>
      </c>
      <c r="N414" s="7">
        <f ca="1">IF(N$6=OFFSET(Assumptions!$B$8,0,$C$1),0,M$414)</f>
        <v>0</v>
      </c>
      <c r="O414" s="7">
        <f ca="1">IF(O$6=OFFSET(Assumptions!$B$8,0,$C$1),0,N$414)</f>
        <v>0</v>
      </c>
      <c r="P414" s="7">
        <f ca="1">IF(P$6=OFFSET(Assumptions!$B$8,0,$C$1),0,O$414)</f>
        <v>0</v>
      </c>
      <c r="Q414" s="7">
        <f ca="1">IF(Q$6=OFFSET(Assumptions!$B$8,0,$C$1),0,P$414)</f>
        <v>0</v>
      </c>
      <c r="R414" s="7">
        <f ca="1">IF(R$6=OFFSET(Assumptions!$B$8,0,$C$1),0,Q$414)</f>
        <v>0</v>
      </c>
      <c r="S414" s="7">
        <f ca="1">IF(S$6=OFFSET(Assumptions!$B$8,0,$C$1),0,R$414)</f>
        <v>0</v>
      </c>
      <c r="T414" s="7">
        <f ca="1">IF(T$6=OFFSET(Assumptions!$B$8,0,$C$1),0,S$414)</f>
        <v>0</v>
      </c>
    </row>
    <row r="415" spans="1:20" x14ac:dyDescent="0.2">
      <c r="A415" s="1" t="s">
        <v>634</v>
      </c>
      <c r="B415" s="4" t="str">
        <f t="shared" si="171"/>
        <v>From Fiscal</v>
      </c>
      <c r="D415" s="15">
        <f>'Fiscal Forecasts'!D$272</f>
        <v>0</v>
      </c>
      <c r="E415" s="15">
        <f>'Fiscal Forecasts'!E$272</f>
        <v>0</v>
      </c>
      <c r="F415" s="16">
        <f>'Fiscal Forecasts'!F$272 +IF(AND($C$2="Yes",F$6='Fiscal Forecast Adjuster'!$D$5),'Fiscal Forecast Adjuster'!$D$27/1000,0)</f>
        <v>0</v>
      </c>
      <c r="G415" s="16">
        <f>'Fiscal Forecasts'!G$272 +IF(AND($C$2="Yes",G$6='Fiscal Forecast Adjuster'!$D$5),'Fiscal Forecast Adjuster'!$D$27/1000,0)</f>
        <v>7.0000000000000007E-2</v>
      </c>
      <c r="H415" s="16">
        <f>'Fiscal Forecasts'!H$272 +IF(AND($C$2="Yes",H$6='Fiscal Forecast Adjuster'!$D$5),'Fiscal Forecast Adjuster'!$D$27/1000,0)</f>
        <v>0.48799999999999999</v>
      </c>
      <c r="I415" s="16">
        <f>'Fiscal Forecasts'!I$272 +IF(AND($C$2="Yes",I$6='Fiscal Forecast Adjuster'!$D$5),'Fiscal Forecast Adjuster'!$D$27/1000,0)</f>
        <v>0.19500000000000001</v>
      </c>
      <c r="J415" s="16">
        <f>'Fiscal Forecasts'!J$272 +IF(AND($C$2="Yes",J$6='Fiscal Forecast Adjuster'!$D$5),'Fiscal Forecast Adjuster'!$D$27/1000,0)</f>
        <v>0.32</v>
      </c>
      <c r="K415" s="7">
        <f ca="1">IF(K$6=OFFSET(Assumptions!$B$8,0,$C$1),OFFSET(K$421,0,-4)-SUM(OFFSET(K$415,0,-5,1,5)),0)</f>
        <v>-1.0730000000000002</v>
      </c>
      <c r="L415" s="7">
        <f ca="1">IF(L$6=OFFSET(Assumptions!$B$8,0,$C$1),OFFSET(L$421,0,-4)-SUM(OFFSET(L$415,0,-5,1,5)),0)</f>
        <v>0</v>
      </c>
      <c r="M415" s="7">
        <f ca="1">IF(M$6=OFFSET(Assumptions!$B$8,0,$C$1),OFFSET(M$421,0,-4)-SUM(OFFSET(M$415,0,-5,1,5)),0)</f>
        <v>0</v>
      </c>
      <c r="N415" s="7">
        <f ca="1">IF(N$6=OFFSET(Assumptions!$B$8,0,$C$1),OFFSET(N$421,0,-4)-SUM(OFFSET(N$415,0,-5,1,5)),0)</f>
        <v>0</v>
      </c>
      <c r="O415" s="7">
        <f ca="1">IF(O$6=OFFSET(Assumptions!$B$8,0,$C$1),OFFSET(O$421,0,-4)-SUM(OFFSET(O$415,0,-5,1,5)),0)</f>
        <v>0</v>
      </c>
      <c r="P415" s="7">
        <f ca="1">IF(P$6=OFFSET(Assumptions!$B$8,0,$C$1),OFFSET(P$421,0,-4)-SUM(OFFSET(P$415,0,-5,1,5)),0)</f>
        <v>0</v>
      </c>
      <c r="Q415" s="7">
        <f ca="1">IF(Q$6=OFFSET(Assumptions!$B$8,0,$C$1),OFFSET(Q$421,0,-4)-SUM(OFFSET(Q$415,0,-5,1,5)),0)</f>
        <v>0</v>
      </c>
      <c r="R415" s="7">
        <f ca="1">IF(R$6=OFFSET(Assumptions!$B$8,0,$C$1),OFFSET(R$421,0,-4)-SUM(OFFSET(R$415,0,-5,1,5)),0)</f>
        <v>0</v>
      </c>
      <c r="S415" s="7">
        <f ca="1">IF(S$6=OFFSET(Assumptions!$B$8,0,$C$1),OFFSET(S$421,0,-4)-SUM(OFFSET(S$415,0,-5,1,5)),0)</f>
        <v>0</v>
      </c>
      <c r="T415" s="7">
        <f ca="1">IF(T$6=OFFSET(Assumptions!$B$8,0,$C$1),OFFSET(T$421,0,-4)-SUM(OFFSET(T$415,0,-5,1,5)),0)</f>
        <v>0</v>
      </c>
    </row>
    <row r="416" spans="1:20" x14ac:dyDescent="0.2">
      <c r="A416" s="1" t="s">
        <v>635</v>
      </c>
      <c r="B416" s="4" t="str">
        <f t="shared" si="171"/>
        <v>From Fiscal</v>
      </c>
      <c r="D416" s="15">
        <f>'Fiscal Forecasts'!D$273</f>
        <v>0</v>
      </c>
      <c r="E416" s="15">
        <f>'Fiscal Forecasts'!E$273</f>
        <v>0</v>
      </c>
      <c r="F416" s="16">
        <f>'Fiscal Forecasts'!F$273 +IF(AND($C$2="Yes",F$6='Fiscal Forecast Adjuster'!$E$5),'Fiscal Forecast Adjuster'!$E$27/1000,0)</f>
        <v>0</v>
      </c>
      <c r="G416" s="16">
        <f>'Fiscal Forecasts'!G$273 +IF(AND($C$2="Yes",G$6='Fiscal Forecast Adjuster'!$E$5),'Fiscal Forecast Adjuster'!$E$27/1000,0)</f>
        <v>0</v>
      </c>
      <c r="H416" s="16">
        <f>'Fiscal Forecasts'!H$273 +IF(AND($C$2="Yes",H$6='Fiscal Forecast Adjuster'!$E$5),'Fiscal Forecast Adjuster'!$E$27/1000,0)</f>
        <v>0.1</v>
      </c>
      <c r="I416" s="16">
        <f>'Fiscal Forecasts'!I$273 +IF(AND($C$2="Yes",I$6='Fiscal Forecast Adjuster'!$E$5),'Fiscal Forecast Adjuster'!$E$27/1000,0)</f>
        <v>0.82499999999999996</v>
      </c>
      <c r="J416" s="16">
        <f>'Fiscal Forecasts'!J$273 +IF(AND($C$2="Yes",J$6='Fiscal Forecast Adjuster'!$E$5),'Fiscal Forecast Adjuster'!$E$27/1000,0)</f>
        <v>0.245</v>
      </c>
      <c r="K416" s="7">
        <f ca="1">IF(K$6=OFFSET(Assumptions!$B$8,0,$C$1),OFFSET(K$421,0,-3)-SUM(OFFSET(K$416,0,-5,1,5)),0)</f>
        <v>0.10299999999999998</v>
      </c>
      <c r="L416" s="7">
        <f ca="1">IF(L$6=OFFSET(Assumptions!$B$8,0,$C$1),OFFSET(L$421,0,-3)-SUM(OFFSET(L$416,0,-5,1,5)),0)</f>
        <v>0</v>
      </c>
      <c r="M416" s="7">
        <f ca="1">IF(M$6=OFFSET(Assumptions!$B$8,0,$C$1),OFFSET(M$421,0,-3)-SUM(OFFSET(M$416,0,-5,1,5)),0)</f>
        <v>0</v>
      </c>
      <c r="N416" s="7">
        <f ca="1">IF(N$6=OFFSET(Assumptions!$B$8,0,$C$1),OFFSET(N$421,0,-3)-SUM(OFFSET(N$416,0,-5,1,5)),0)</f>
        <v>0</v>
      </c>
      <c r="O416" s="7">
        <f ca="1">IF(O$6=OFFSET(Assumptions!$B$8,0,$C$1),OFFSET(O$421,0,-3)-SUM(OFFSET(O$416,0,-5,1,5)),0)</f>
        <v>0</v>
      </c>
      <c r="P416" s="7">
        <f ca="1">IF(P$6=OFFSET(Assumptions!$B$8,0,$C$1),OFFSET(P$421,0,-3)-SUM(OFFSET(P$416,0,-5,1,5)),0)</f>
        <v>0</v>
      </c>
      <c r="Q416" s="7">
        <f ca="1">IF(Q$6=OFFSET(Assumptions!$B$8,0,$C$1),OFFSET(Q$421,0,-3)-SUM(OFFSET(Q$416,0,-5,1,5)),0)</f>
        <v>0</v>
      </c>
      <c r="R416" s="7">
        <f ca="1">IF(R$6=OFFSET(Assumptions!$B$8,0,$C$1),OFFSET(R$421,0,-3)-SUM(OFFSET(R$416,0,-5,1,5)),0)</f>
        <v>0</v>
      </c>
      <c r="S416" s="7">
        <f ca="1">IF(S$6=OFFSET(Assumptions!$B$8,0,$C$1),OFFSET(S$421,0,-3)-SUM(OFFSET(S$416,0,-5,1,5)),0)</f>
        <v>0</v>
      </c>
      <c r="T416" s="7">
        <f ca="1">IF(T$6=OFFSET(Assumptions!$B$8,0,$C$1),OFFSET(T$421,0,-3)-SUM(OFFSET(T$416,0,-5,1,5)),0)</f>
        <v>0</v>
      </c>
    </row>
    <row r="417" spans="1:20" x14ac:dyDescent="0.2">
      <c r="A417" s="1" t="s">
        <v>636</v>
      </c>
      <c r="B417" s="4" t="str">
        <f t="shared" si="171"/>
        <v>From Fiscal</v>
      </c>
      <c r="D417" s="15">
        <f>'Fiscal Forecasts'!D$274</f>
        <v>0</v>
      </c>
      <c r="E417" s="15">
        <f>'Fiscal Forecasts'!E$274</f>
        <v>0</v>
      </c>
      <c r="F417" s="16">
        <f>'Fiscal Forecasts'!F$274 +IF(AND($C$2="Yes",F$6='Fiscal Forecast Adjuster'!$F$5),'Fiscal Forecast Adjuster'!$F$27/1000,0)</f>
        <v>0</v>
      </c>
      <c r="G417" s="16">
        <f>'Fiscal Forecasts'!G$274 +IF(AND($C$2="Yes",G$6='Fiscal Forecast Adjuster'!$F$5),'Fiscal Forecast Adjuster'!$F$27/1000,0)</f>
        <v>0</v>
      </c>
      <c r="H417" s="16">
        <f>'Fiscal Forecasts'!H$274 +IF(AND($C$2="Yes",H$6='Fiscal Forecast Adjuster'!$F$5),'Fiscal Forecast Adjuster'!$F$27/1000,0)</f>
        <v>0</v>
      </c>
      <c r="I417" s="16">
        <f>'Fiscal Forecasts'!I$274 +IF(AND($C$2="Yes",I$6='Fiscal Forecast Adjuster'!$F$5),'Fiscal Forecast Adjuster'!$F$27/1000,0)</f>
        <v>0.1</v>
      </c>
      <c r="J417" s="16">
        <f>'Fiscal Forecasts'!J$274 +IF(AND($C$2="Yes",J$6='Fiscal Forecast Adjuster'!$F$5),'Fiscal Forecast Adjuster'!$F$27/1000,0)</f>
        <v>0.82499999999999996</v>
      </c>
      <c r="K417" s="7">
        <f ca="1">IF(K$6=OFFSET(Assumptions!$B$8,0,$C$1),(OFFSET(K$421,0,-2)-SUM(OFFSET(K$417,0,-5,1,5)))/2,IF(J$6=OFFSET(Assumptions!$B$8,0,$C$1),J$417,0))</f>
        <v>0.42399999999999999</v>
      </c>
      <c r="L417" s="7">
        <f ca="1">IF(L$6=OFFSET(Assumptions!$B$8,0,$C$1),(OFFSET(L$421,0,-2)-SUM(OFFSET(L$417,0,-5,1,5)))/2,IF(K$6=OFFSET(Assumptions!$B$8,0,$C$1),K$417,0))</f>
        <v>0.42399999999999999</v>
      </c>
      <c r="M417" s="7">
        <f ca="1">IF(M$6=OFFSET(Assumptions!$B$8,0,$C$1),(OFFSET(M$421,0,-2)-SUM(OFFSET(M$417,0,-5,1,5)))/2,IF(L$6=OFFSET(Assumptions!$B$8,0,$C$1),L$417,0))</f>
        <v>0</v>
      </c>
      <c r="N417" s="7">
        <f ca="1">IF(N$6=OFFSET(Assumptions!$B$8,0,$C$1),(OFFSET(N$421,0,-2)-SUM(OFFSET(N$417,0,-5,1,5)))/2,IF(M$6=OFFSET(Assumptions!$B$8,0,$C$1),M$417,0))</f>
        <v>0</v>
      </c>
      <c r="O417" s="7">
        <f ca="1">IF(O$6=OFFSET(Assumptions!$B$8,0,$C$1),(OFFSET(O$421,0,-2)-SUM(OFFSET(O$417,0,-5,1,5)))/2,IF(N$6=OFFSET(Assumptions!$B$8,0,$C$1),N$417,0))</f>
        <v>0</v>
      </c>
      <c r="P417" s="7">
        <f ca="1">IF(P$6=OFFSET(Assumptions!$B$8,0,$C$1),(OFFSET(P$421,0,-2)-SUM(OFFSET(P$417,0,-5,1,5)))/2,IF(O$6=OFFSET(Assumptions!$B$8,0,$C$1),O$417,0))</f>
        <v>0</v>
      </c>
      <c r="Q417" s="7">
        <f ca="1">IF(Q$6=OFFSET(Assumptions!$B$8,0,$C$1),(OFFSET(Q$421,0,-2)-SUM(OFFSET(Q$417,0,-5,1,5)))/2,IF(P$6=OFFSET(Assumptions!$B$8,0,$C$1),P$417,0))</f>
        <v>0</v>
      </c>
      <c r="R417" s="7">
        <f ca="1">IF(R$6=OFFSET(Assumptions!$B$8,0,$C$1),(OFFSET(R$421,0,-2)-SUM(OFFSET(R$417,0,-5,1,5)))/2,IF(Q$6=OFFSET(Assumptions!$B$8,0,$C$1),Q$417,0))</f>
        <v>0</v>
      </c>
      <c r="S417" s="7">
        <f ca="1">IF(S$6=OFFSET(Assumptions!$B$8,0,$C$1),(OFFSET(S$421,0,-2)-SUM(OFFSET(S$417,0,-5,1,5)))/2,IF(R$6=OFFSET(Assumptions!$B$8,0,$C$1),R$417,0))</f>
        <v>0</v>
      </c>
      <c r="T417" s="7">
        <f ca="1">IF(T$6=OFFSET(Assumptions!$B$8,0,$C$1),(OFFSET(T$421,0,-2)-SUM(OFFSET(T$417,0,-5,1,5)))/2,IF(S$6=OFFSET(Assumptions!$B$8,0,$C$1),S$417,0))</f>
        <v>0</v>
      </c>
    </row>
    <row r="418" spans="1:20" x14ac:dyDescent="0.2">
      <c r="A418" s="1" t="s">
        <v>637</v>
      </c>
      <c r="B418" s="4" t="str">
        <f t="shared" si="171"/>
        <v>From Fiscal</v>
      </c>
      <c r="D418" s="15">
        <f>'Fiscal Forecasts'!D$275</f>
        <v>0</v>
      </c>
      <c r="E418" s="15">
        <f>'Fiscal Forecasts'!E$275</f>
        <v>0</v>
      </c>
      <c r="F418" s="16">
        <f>'Fiscal Forecasts'!F$275 +IF(AND($C$2="Yes",F$6='Fiscal Forecast Adjuster'!$G$5),'Fiscal Forecast Adjuster'!$G$27/1000,0)</f>
        <v>0</v>
      </c>
      <c r="G418" s="16">
        <f>'Fiscal Forecasts'!G$275 +IF(AND($C$2="Yes",G$6='Fiscal Forecast Adjuster'!$G$5),'Fiscal Forecast Adjuster'!$G$27/1000,0)</f>
        <v>0</v>
      </c>
      <c r="H418" s="16">
        <f>'Fiscal Forecasts'!H$275 +IF(AND($C$2="Yes",H$6='Fiscal Forecast Adjuster'!$G$5),'Fiscal Forecast Adjuster'!$G$27/1000,0)</f>
        <v>0</v>
      </c>
      <c r="I418" s="16">
        <f>'Fiscal Forecasts'!I$275 +IF(AND($C$2="Yes",I$6='Fiscal Forecast Adjuster'!$G$5),'Fiscal Forecast Adjuster'!$G$27/1000,0)</f>
        <v>0</v>
      </c>
      <c r="J418" s="16">
        <f>'Fiscal Forecasts'!J$275 +IF(AND($C$2="Yes",J$6='Fiscal Forecast Adjuster'!$G$5),'Fiscal Forecast Adjuster'!$G$27/1000,0)</f>
        <v>0.1</v>
      </c>
      <c r="K418" s="7">
        <f ca="1">IF(K$6=OFFSET(Assumptions!$B$8,0,$C$1),(OFFSET(K$421,0,-1)-SUM(OFFSET(K$418,0,-5,1,5)))/3,IF(OR(J$6=OFFSET(Assumptions!$B$8,0,$C$1),I$6=OFFSET(Assumptions!$B$8,0,$C$1)),J$418,0))</f>
        <v>0.65766666666666662</v>
      </c>
      <c r="L418" s="7">
        <f ca="1">IF(L$6=OFFSET(Assumptions!$B$8,0,$C$1),(OFFSET(L$421,0,-1)-SUM(OFFSET(L$418,0,-5,1,5)))/3,IF(OR(K$6=OFFSET(Assumptions!$B$8,0,$C$1),J$6=OFFSET(Assumptions!$B$8,0,$C$1)),K$418,0))</f>
        <v>0.65766666666666662</v>
      </c>
      <c r="M418" s="7">
        <f ca="1">IF(M$6=OFFSET(Assumptions!$B$8,0,$C$1),(OFFSET(M$421,0,-1)-SUM(OFFSET(M$418,0,-5,1,5)))/3,IF(OR(L$6=OFFSET(Assumptions!$B$8,0,$C$1),K$6=OFFSET(Assumptions!$B$8,0,$C$1)),L$418,0))</f>
        <v>0.65766666666666662</v>
      </c>
      <c r="N418" s="7">
        <f ca="1">IF(N$6=OFFSET(Assumptions!$B$8,0,$C$1),(OFFSET(N$421,0,-1)-SUM(OFFSET(N$418,0,-5,1,5)))/3,IF(OR(M$6=OFFSET(Assumptions!$B$8,0,$C$1),L$6=OFFSET(Assumptions!$B$8,0,$C$1)),M$418,0))</f>
        <v>0</v>
      </c>
      <c r="O418" s="7">
        <f ca="1">IF(O$6=OFFSET(Assumptions!$B$8,0,$C$1),(OFFSET(O$421,0,-1)-SUM(OFFSET(O$418,0,-5,1,5)))/3,IF(OR(N$6=OFFSET(Assumptions!$B$8,0,$C$1),M$6=OFFSET(Assumptions!$B$8,0,$C$1)),N$418,0))</f>
        <v>0</v>
      </c>
      <c r="P418" s="7">
        <f ca="1">IF(P$6=OFFSET(Assumptions!$B$8,0,$C$1),(OFFSET(P$421,0,-1)-SUM(OFFSET(P$418,0,-5,1,5)))/3,IF(OR(O$6=OFFSET(Assumptions!$B$8,0,$C$1),N$6=OFFSET(Assumptions!$B$8,0,$C$1)),O$418,0))</f>
        <v>0</v>
      </c>
      <c r="Q418" s="7">
        <f ca="1">IF(Q$6=OFFSET(Assumptions!$B$8,0,$C$1),(OFFSET(Q$421,0,-1)-SUM(OFFSET(Q$418,0,-5,1,5)))/3,IF(OR(P$6=OFFSET(Assumptions!$B$8,0,$C$1),O$6=OFFSET(Assumptions!$B$8,0,$C$1)),P$418,0))</f>
        <v>0</v>
      </c>
      <c r="R418" s="7">
        <f ca="1">IF(R$6=OFFSET(Assumptions!$B$8,0,$C$1),(OFFSET(R$421,0,-1)-SUM(OFFSET(R$418,0,-5,1,5)))/3,IF(OR(Q$6=OFFSET(Assumptions!$B$8,0,$C$1),P$6=OFFSET(Assumptions!$B$8,0,$C$1)),Q$418,0))</f>
        <v>0</v>
      </c>
      <c r="S418" s="7">
        <f ca="1">IF(S$6=OFFSET(Assumptions!$B$8,0,$C$1),(OFFSET(S$421,0,-1)-SUM(OFFSET(S$418,0,-5,1,5)))/3,IF(OR(R$6=OFFSET(Assumptions!$B$8,0,$C$1),Q$6=OFFSET(Assumptions!$B$8,0,$C$1)),R$418,0))</f>
        <v>0</v>
      </c>
      <c r="T418" s="7">
        <f ca="1">IF(T$6=OFFSET(Assumptions!$B$8,0,$C$1),(OFFSET(T$421,0,-1)-SUM(OFFSET(T$418,0,-5,1,5)))/3,IF(OR(S$6=OFFSET(Assumptions!$B$8,0,$C$1),R$6=OFFSET(Assumptions!$B$8,0,$C$1)),S$418,0))</f>
        <v>0</v>
      </c>
    </row>
    <row r="419" spans="1:20" ht="15" x14ac:dyDescent="0.25">
      <c r="A419" s="1" t="s">
        <v>638</v>
      </c>
      <c r="B419" s="4"/>
      <c r="C419" s="61">
        <f ca="1">OFFSET(Assumptions!$B$9,0,$C$1)</f>
        <v>0</v>
      </c>
      <c r="D419" s="15">
        <f t="shared" ref="D419:J419" ca="1" si="172">C$419</f>
        <v>0</v>
      </c>
      <c r="E419" s="15">
        <f t="shared" ca="1" si="172"/>
        <v>0</v>
      </c>
      <c r="F419" s="16">
        <f t="shared" ca="1" si="172"/>
        <v>0</v>
      </c>
      <c r="G419" s="16">
        <f t="shared" ca="1" si="172"/>
        <v>0</v>
      </c>
      <c r="H419" s="16">
        <f t="shared" ca="1" si="172"/>
        <v>0</v>
      </c>
      <c r="I419" s="16">
        <f t="shared" ca="1" si="172"/>
        <v>0</v>
      </c>
      <c r="J419" s="16">
        <f t="shared" ca="1" si="172"/>
        <v>0</v>
      </c>
      <c r="K419" s="7">
        <f ca="1">IF(K$6=OFFSET(Assumptions!$B$8,0,$C$1),K$421,IF(J$6=OFFSET(Assumptions!$B$8,0,$C$1),SUM(J$421:K$421),IF(I$6=OFFSET(Assumptions!$B$8,0,$C$1),SUM(I$421:K$421),SUM(H$421:K$421))))/4</f>
        <v>1</v>
      </c>
      <c r="L419" s="7">
        <f ca="1">IF(L$6=OFFSET(Assumptions!$B$8,0,$C$1),L$421,IF(K$6=OFFSET(Assumptions!$B$8,0,$C$1),SUM(K$421:L$421),IF(J$6=OFFSET(Assumptions!$B$8,0,$C$1),SUM(J$421:L$421),SUM(I$421:L$421))))/4</f>
        <v>2.2000000000000002</v>
      </c>
      <c r="M419" s="7">
        <f ca="1">IF(M$6=OFFSET(Assumptions!$B$8,0,$C$1),M$421,IF(L$6=OFFSET(Assumptions!$B$8,0,$C$1),SUM(L$421:M$421),IF(K$6=OFFSET(Assumptions!$B$8,0,$C$1),SUM(K$421:M$421),SUM(J$421:M$421))))/4</f>
        <v>3.64</v>
      </c>
      <c r="N419" s="7">
        <f ca="1">IF(N$6=OFFSET(Assumptions!$B$8,0,$C$1),N$421,IF(M$6=OFFSET(Assumptions!$B$8,0,$C$1),SUM(M$421:N$421),IF(L$6=OFFSET(Assumptions!$B$8,0,$C$1),SUM(L$421:N$421),SUM(K$421:N$421))))/4</f>
        <v>5.3680000000000003</v>
      </c>
      <c r="O419" s="7">
        <f ca="1">IF(O$6=OFFSET(Assumptions!$B$8,0,$C$1),O$421,IF(N$6=OFFSET(Assumptions!$B$8,0,$C$1),SUM(N$421:O$421),IF(M$6=OFFSET(Assumptions!$B$8,0,$C$1),SUM(M$421:O$421),SUM(L$421:O$421))))/4</f>
        <v>6.4415999999999993</v>
      </c>
      <c r="P419" s="7">
        <f ca="1">IF(P$6=OFFSET(Assumptions!$B$8,0,$C$1),P$421,IF(O$6=OFFSET(Assumptions!$B$8,0,$C$1),SUM(O$421:P$421),IF(N$6=OFFSET(Assumptions!$B$8,0,$C$1),SUM(N$421:P$421),SUM(M$421:P$421))))/4</f>
        <v>7.7299199999999999</v>
      </c>
      <c r="Q419" s="7">
        <f ca="1">IF(Q$6=OFFSET(Assumptions!$B$8,0,$C$1),Q$421,IF(P$6=OFFSET(Assumptions!$B$8,0,$C$1),SUM(P$421:Q$421),IF(O$6=OFFSET(Assumptions!$B$8,0,$C$1),SUM(O$421:Q$421),SUM(N$421:Q$421))))/4</f>
        <v>9.2759039999999988</v>
      </c>
      <c r="R419" s="7">
        <f ca="1">IF(R$6=OFFSET(Assumptions!$B$8,0,$C$1),R$421,IF(Q$6=OFFSET(Assumptions!$B$8,0,$C$1),SUM(Q$421:R$421),IF(P$6=OFFSET(Assumptions!$B$8,0,$C$1),SUM(P$421:R$421),SUM(O$421:R$421))))/4</f>
        <v>11.131084799999998</v>
      </c>
      <c r="S419" s="7">
        <f ca="1">IF(S$6=OFFSET(Assumptions!$B$8,0,$C$1),S$421,IF(R$6=OFFSET(Assumptions!$B$8,0,$C$1),SUM(R$421:S$421),IF(Q$6=OFFSET(Assumptions!$B$8,0,$C$1),SUM(Q$421:S$421),SUM(P$421:S$421))))/4</f>
        <v>13.357301759999999</v>
      </c>
      <c r="T419" s="7">
        <f ca="1">IF(T$6=OFFSET(Assumptions!$B$8,0,$C$1),T$421,IF(S$6=OFFSET(Assumptions!$B$8,0,$C$1),SUM(S$421:T$421),IF(R$6=OFFSET(Assumptions!$B$8,0,$C$1),SUM(R$421:T$421),SUM(Q$421:T$421))))/4</f>
        <v>16.028762111999999</v>
      </c>
    </row>
    <row r="420" spans="1:20" ht="15" x14ac:dyDescent="0.25">
      <c r="A420" s="2" t="s">
        <v>639</v>
      </c>
      <c r="B420" s="4"/>
      <c r="D420" s="35">
        <f t="shared" ref="D420:T420" ca="1" si="173">SUM(D$413:D$419)</f>
        <v>0</v>
      </c>
      <c r="E420" s="35">
        <f t="shared" ca="1" si="173"/>
        <v>0</v>
      </c>
      <c r="F420" s="34">
        <f t="shared" ca="1" si="173"/>
        <v>0</v>
      </c>
      <c r="G420" s="34">
        <f t="shared" ca="1" si="173"/>
        <v>0.34600000000000003</v>
      </c>
      <c r="H420" s="34">
        <f t="shared" ca="1" si="173"/>
        <v>1.3530000000000002</v>
      </c>
      <c r="I420" s="34">
        <f t="shared" ca="1" si="173"/>
        <v>1.585</v>
      </c>
      <c r="J420" s="34">
        <f t="shared" ca="1" si="173"/>
        <v>1.7349999999999999</v>
      </c>
      <c r="K420" s="38">
        <f t="shared" ca="1" si="173"/>
        <v>1.1116666666666664</v>
      </c>
      <c r="L420" s="38">
        <f t="shared" ca="1" si="173"/>
        <v>3.2816666666666667</v>
      </c>
      <c r="M420" s="38">
        <f t="shared" ca="1" si="173"/>
        <v>4.2976666666666663</v>
      </c>
      <c r="N420" s="38">
        <f t="shared" ca="1" si="173"/>
        <v>5.3680000000000003</v>
      </c>
      <c r="O420" s="38">
        <f t="shared" ca="1" si="173"/>
        <v>6.4415999999999993</v>
      </c>
      <c r="P420" s="38">
        <f t="shared" ca="1" si="173"/>
        <v>7.7299199999999999</v>
      </c>
      <c r="Q420" s="38">
        <f t="shared" ca="1" si="173"/>
        <v>9.2759039999999988</v>
      </c>
      <c r="R420" s="38">
        <f t="shared" ca="1" si="173"/>
        <v>11.131084799999998</v>
      </c>
      <c r="S420" s="38">
        <f t="shared" ca="1" si="173"/>
        <v>13.357301759999999</v>
      </c>
      <c r="T420" s="38">
        <f t="shared" ca="1" si="173"/>
        <v>16.028762111999999</v>
      </c>
    </row>
    <row r="421" spans="1:20" ht="15" x14ac:dyDescent="0.25">
      <c r="A421" s="2" t="s">
        <v>640</v>
      </c>
      <c r="B421" s="4" t="str">
        <f t="shared" ref="B421:B426" si="174">$B$38</f>
        <v>From Fiscal</v>
      </c>
      <c r="D421" s="15">
        <f>'Fiscal Forecasts'!D$277</f>
        <v>0</v>
      </c>
      <c r="E421" s="15">
        <f>'Fiscal Forecasts'!E$277</f>
        <v>0</v>
      </c>
      <c r="F421" s="16">
        <f>'Fiscal Forecasts'!F$277 +IF($C$2="Yes",'Fiscal Forecast Adjuster'!C$27/1000,0)</f>
        <v>1.7509999999999999</v>
      </c>
      <c r="G421" s="16">
        <f>'Fiscal Forecasts'!G$277 +IF($C$2="Yes",'Fiscal Forecast Adjuster'!D$27/1000,0)</f>
        <v>0</v>
      </c>
      <c r="H421" s="16">
        <f>'Fiscal Forecasts'!H$277 +IF($C$2="Yes",'Fiscal Forecast Adjuster'!E$27/1000,0)</f>
        <v>1.2729999999999999</v>
      </c>
      <c r="I421" s="16">
        <f>'Fiscal Forecasts'!I$277 +IF($C$2="Yes",'Fiscal Forecast Adjuster'!F$27/1000,0)</f>
        <v>1.7729999999999999</v>
      </c>
      <c r="J421" s="16">
        <f>'Fiscal Forecasts'!J$277 +IF($C$2="Yes",'Fiscal Forecast Adjuster'!G$27/1000,0)</f>
        <v>2.073</v>
      </c>
      <c r="K421" s="7">
        <f ca="1">IF(K$6=OFFSET(Assumptions!$B$8,0,$C$1),OFFSET(Assumptions!$B$62,0,$C$1),J$421*(1+OFFSET(Assumptions!$B$63,0,$C$1)))</f>
        <v>4</v>
      </c>
      <c r="L421" s="7">
        <f ca="1">IF(L$6=OFFSET(Assumptions!$B$8,0,$C$1),OFFSET(Assumptions!$B$62,0,$C$1),K$421*(1+OFFSET(Assumptions!$B$63,0,$C$1)))</f>
        <v>4.8</v>
      </c>
      <c r="M421" s="7">
        <f ca="1">IF(M$6=OFFSET(Assumptions!$B$8,0,$C$1),OFFSET(Assumptions!$B$62,0,$C$1),L$421*(1+OFFSET(Assumptions!$B$63,0,$C$1)))</f>
        <v>5.76</v>
      </c>
      <c r="N421" s="7">
        <f ca="1">IF(N$6=OFFSET(Assumptions!$B$8,0,$C$1),OFFSET(Assumptions!$B$62,0,$C$1),M$421*(1+OFFSET(Assumptions!$B$63,0,$C$1)))</f>
        <v>6.9119999999999999</v>
      </c>
      <c r="O421" s="7">
        <f ca="1">IF(O$6=OFFSET(Assumptions!$B$8,0,$C$1),OFFSET(Assumptions!$B$62,0,$C$1),N$421*(1+OFFSET(Assumptions!$B$63,0,$C$1)))</f>
        <v>8.2943999999999996</v>
      </c>
      <c r="P421" s="7">
        <f ca="1">IF(P$6=OFFSET(Assumptions!$B$8,0,$C$1),OFFSET(Assumptions!$B$62,0,$C$1),O$421*(1+OFFSET(Assumptions!$B$63,0,$C$1)))</f>
        <v>9.9532799999999995</v>
      </c>
      <c r="Q421" s="7">
        <f ca="1">IF(Q$6=OFFSET(Assumptions!$B$8,0,$C$1),OFFSET(Assumptions!$B$62,0,$C$1),P$421*(1+OFFSET(Assumptions!$B$63,0,$C$1)))</f>
        <v>11.943935999999999</v>
      </c>
      <c r="R421" s="7">
        <f ca="1">IF(R$6=OFFSET(Assumptions!$B$8,0,$C$1),OFFSET(Assumptions!$B$62,0,$C$1),Q$421*(1+OFFSET(Assumptions!$B$63,0,$C$1)))</f>
        <v>14.332723199999998</v>
      </c>
      <c r="S421" s="7">
        <f ca="1">IF(S$6=OFFSET(Assumptions!$B$8,0,$C$1),OFFSET(Assumptions!$B$62,0,$C$1),R$421*(1+OFFSET(Assumptions!$B$63,0,$C$1)))</f>
        <v>17.199267839999997</v>
      </c>
      <c r="T421" s="7">
        <f ca="1">IF(T$6=OFFSET(Assumptions!$B$8,0,$C$1),OFFSET(Assumptions!$B$62,0,$C$1),S$421*(1+OFFSET(Assumptions!$B$63,0,$C$1)))</f>
        <v>20.639121407999998</v>
      </c>
    </row>
    <row r="422" spans="1:20" ht="15" x14ac:dyDescent="0.25">
      <c r="A422" s="2" t="s">
        <v>897</v>
      </c>
      <c r="B422" s="4" t="str">
        <f t="shared" si="174"/>
        <v>From Fiscal</v>
      </c>
      <c r="D422" s="40">
        <f>'Fiscal Forecasts'!D$125</f>
        <v>0</v>
      </c>
      <c r="E422" s="40">
        <f>'Fiscal Forecasts'!E$125</f>
        <v>0</v>
      </c>
      <c r="F422" s="39">
        <f>'Fiscal Forecasts'!F$125 +IF($C$2="Yes",'Fiscal Forecast Adjuster'!C$28/1000,0)</f>
        <v>0</v>
      </c>
      <c r="G422" s="39">
        <f>'Fiscal Forecasts'!G$125 +IF($C$2="Yes",'Fiscal Forecast Adjuster'!D$28/1000,0)</f>
        <v>0.34599999999999997</v>
      </c>
      <c r="H422" s="39">
        <f>'Fiscal Forecasts'!H$125 +IF($C$2="Yes",'Fiscal Forecast Adjuster'!E$28/1000,0)</f>
        <v>1.6990000000000001</v>
      </c>
      <c r="I422" s="39">
        <f>'Fiscal Forecasts'!I$125 +IF($C$2="Yes",'Fiscal Forecast Adjuster'!F$28/1000,0)</f>
        <v>3.2839999999999998</v>
      </c>
      <c r="J422" s="39">
        <f>'Fiscal Forecasts'!J$125 +IF($C$2="Yes",'Fiscal Forecast Adjuster'!G$28/1000,0)</f>
        <v>5.0190000000000001</v>
      </c>
      <c r="K422" s="8">
        <f ca="1">SUM($D$420:K$420)</f>
        <v>6.1306666666666665</v>
      </c>
      <c r="L422" s="8">
        <f ca="1">SUM($D$420:L$420)</f>
        <v>9.4123333333333328</v>
      </c>
      <c r="M422" s="8">
        <f ca="1">SUM($D$420:M$420)</f>
        <v>13.709999999999999</v>
      </c>
      <c r="N422" s="8">
        <f ca="1">SUM($D$420:N$420)</f>
        <v>19.077999999999999</v>
      </c>
      <c r="O422" s="8">
        <f ca="1">SUM($D$420:O$420)</f>
        <v>25.519599999999997</v>
      </c>
      <c r="P422" s="8">
        <f ca="1">SUM($D$420:P$420)</f>
        <v>33.249519999999997</v>
      </c>
      <c r="Q422" s="8">
        <f ca="1">SUM($D$420:Q$420)</f>
        <v>42.525423999999994</v>
      </c>
      <c r="R422" s="8">
        <f ca="1">SUM($D$420:R$420)</f>
        <v>53.65650879999999</v>
      </c>
      <c r="S422" s="8">
        <f ca="1">SUM($D$420:S$420)</f>
        <v>67.013810559999996</v>
      </c>
      <c r="T422" s="8">
        <f ca="1">SUM($D$420:T$420)</f>
        <v>83.042572671999991</v>
      </c>
    </row>
    <row r="423" spans="1:20" ht="15" x14ac:dyDescent="0.25">
      <c r="A423" s="2" t="s">
        <v>898</v>
      </c>
      <c r="B423" s="4" t="str">
        <f t="shared" si="174"/>
        <v>From Fiscal</v>
      </c>
      <c r="D423" s="40">
        <f>'Fiscal Forecasts'!D$126</f>
        <v>0</v>
      </c>
      <c r="E423" s="40">
        <f>'Fiscal Forecasts'!E$126</f>
        <v>0</v>
      </c>
      <c r="F423" s="39">
        <f>'Fiscal Forecasts'!F$126</f>
        <v>0</v>
      </c>
      <c r="G423" s="39">
        <f>'Fiscal Forecasts'!G$126</f>
        <v>-0.99</v>
      </c>
      <c r="H423" s="39">
        <f>'Fiscal Forecasts'!H$126</f>
        <v>-1.1399999999999999</v>
      </c>
      <c r="I423" s="39">
        <f>'Fiscal Forecasts'!I$126</f>
        <v>-1.38</v>
      </c>
      <c r="J423" s="39">
        <f>'Fiscal Forecasts'!J$126</f>
        <v>-1.38</v>
      </c>
      <c r="K423" s="8">
        <f ca="1">J$423*(1+OFFSET(Assumptions!$B$63,0,$C$1))</f>
        <v>-1.6559999999999999</v>
      </c>
      <c r="L423" s="8">
        <f ca="1">K$423*(1+OFFSET(Assumptions!$B$63,0,$C$1))</f>
        <v>-1.9871999999999999</v>
      </c>
      <c r="M423" s="8">
        <f ca="1">L$423*(1+OFFSET(Assumptions!$B$63,0,$C$1))</f>
        <v>-2.3846399999999996</v>
      </c>
      <c r="N423" s="8">
        <f ca="1">M$423*(1+OFFSET(Assumptions!$B$63,0,$C$1))</f>
        <v>-2.8615679999999997</v>
      </c>
      <c r="O423" s="8">
        <f ca="1">N$423*(1+OFFSET(Assumptions!$B$63,0,$C$1))</f>
        <v>-3.4338815999999994</v>
      </c>
      <c r="P423" s="8">
        <f ca="1">O$423*(1+OFFSET(Assumptions!$B$63,0,$C$1))</f>
        <v>-4.1206579199999993</v>
      </c>
      <c r="Q423" s="8">
        <f ca="1">P$423*(1+OFFSET(Assumptions!$B$63,0,$C$1))</f>
        <v>-4.9447895039999992</v>
      </c>
      <c r="R423" s="8">
        <f ca="1">Q$423*(1+OFFSET(Assumptions!$B$63,0,$C$1))</f>
        <v>-5.9337474047999992</v>
      </c>
      <c r="S423" s="8">
        <f ca="1">R$423*(1+OFFSET(Assumptions!$B$63,0,$C$1))</f>
        <v>-7.1204968857599988</v>
      </c>
      <c r="T423" s="8">
        <f ca="1">S$423*(1+OFFSET(Assumptions!$B$63,0,$C$1))</f>
        <v>-8.5445962629119983</v>
      </c>
    </row>
    <row r="424" spans="1:20" ht="15" x14ac:dyDescent="0.25">
      <c r="B424" s="4"/>
      <c r="D424" s="40"/>
      <c r="E424" s="40"/>
      <c r="F424" s="40"/>
      <c r="G424" s="40"/>
      <c r="H424" s="40"/>
      <c r="I424" s="40"/>
      <c r="J424" s="40"/>
      <c r="K424" s="8"/>
      <c r="L424" s="8"/>
      <c r="M424" s="8"/>
      <c r="N424" s="8"/>
      <c r="O424" s="8"/>
      <c r="P424" s="8"/>
      <c r="Q424" s="8"/>
      <c r="R424" s="8"/>
      <c r="S424" s="8"/>
      <c r="T424" s="8"/>
    </row>
    <row r="425" spans="1:20" ht="15" x14ac:dyDescent="0.25">
      <c r="A425" s="19" t="s">
        <v>232</v>
      </c>
      <c r="B425" s="4"/>
      <c r="D425" s="40"/>
      <c r="E425" s="40"/>
      <c r="F425" s="39"/>
      <c r="G425" s="39"/>
      <c r="H425" s="39"/>
      <c r="I425" s="39"/>
      <c r="J425" s="39"/>
      <c r="K425" s="8"/>
      <c r="L425" s="8"/>
      <c r="M425" s="8"/>
      <c r="N425" s="8"/>
      <c r="O425" s="8"/>
      <c r="P425" s="8"/>
      <c r="Q425" s="8"/>
      <c r="R425" s="8"/>
      <c r="S425" s="8"/>
      <c r="T425" s="8"/>
    </row>
    <row r="426" spans="1:20" ht="15" x14ac:dyDescent="0.25">
      <c r="A426" s="2" t="s">
        <v>643</v>
      </c>
      <c r="B426" s="4" t="str">
        <f t="shared" si="174"/>
        <v>From Fiscal</v>
      </c>
      <c r="D426" s="40">
        <f>'Fiscal Forecasts'!D$128</f>
        <v>5.3360000000000003</v>
      </c>
      <c r="E426" s="40">
        <f>'Fiscal Forecasts'!E$128</f>
        <v>5.7149999999999999</v>
      </c>
      <c r="F426" s="39">
        <f>'Fiscal Forecasts'!F$128</f>
        <v>6.0170000000000003</v>
      </c>
      <c r="G426" s="39">
        <f>'Fiscal Forecasts'!G$128</f>
        <v>6.1950000000000003</v>
      </c>
      <c r="H426" s="39">
        <f>'Fiscal Forecasts'!H$128</f>
        <v>6.3789999999999996</v>
      </c>
      <c r="I426" s="39">
        <f>'Fiscal Forecasts'!I$128</f>
        <v>6.5679999999999996</v>
      </c>
      <c r="J426" s="39">
        <f>'Fiscal Forecasts'!J$128</f>
        <v>6.7619999999999996</v>
      </c>
      <c r="K426" s="8">
        <f ca="1">(J$426/J$13+ IF(K$2&gt;0,K$2*IF(K$6=OFFSET(Assumptions!$B$8,0,$C$1),SUMPRODUCT(OFFSET(J$426,0,0,1,-OFFSET(Assumptions!$B$82,0,$C$1)),OFFSET(J$15,0,0,1,-OFFSET(Assumptions!$B$82,0,$C$1)))/OFFSET(Assumptions!$B$82,0,$C$1)-J$426/J$13,(J$426/J$13-I$426/I$13)/J$2),0))*K$13</f>
        <v>7.0824073344513945</v>
      </c>
      <c r="L426" s="8">
        <f ca="1">(K$426/K$13+ IF(L$2&gt;0,L$2*IF(L$6=OFFSET(Assumptions!$B$8,0,$C$1),SUMPRODUCT(OFFSET(K$426,0,0,1,-OFFSET(Assumptions!$B$82,0,$C$1)),OFFSET(K$15,0,0,1,-OFFSET(Assumptions!$B$82,0,$C$1)))/OFFSET(Assumptions!$B$82,0,$C$1)-K$426/K$13,(K$426/K$13-J$426/J$13)/K$2),0))*L$13</f>
        <v>7.4188477035267795</v>
      </c>
      <c r="M426" s="8">
        <f ca="1">(L$426/L$13+ IF(M$2&gt;0,M$2*IF(M$6=OFFSET(Assumptions!$B$8,0,$C$1),SUMPRODUCT(OFFSET(L$426,0,0,1,-OFFSET(Assumptions!$B$82,0,$C$1)),OFFSET(L$15,0,0,1,-OFFSET(Assumptions!$B$82,0,$C$1)))/OFFSET(Assumptions!$B$82,0,$C$1)-L$426/L$13,(L$426/L$13-K$426/K$13)/L$2),0))*M$13</f>
        <v>7.7631756579814475</v>
      </c>
      <c r="N426" s="8">
        <f ca="1">(M$426/M$13+ IF(N$2&gt;0,N$2*IF(N$6=OFFSET(Assumptions!$B$8,0,$C$1),SUMPRODUCT(OFFSET(M$426,0,0,1,-OFFSET(Assumptions!$B$82,0,$C$1)),OFFSET(M$15,0,0,1,-OFFSET(Assumptions!$B$82,0,$C$1)))/OFFSET(Assumptions!$B$82,0,$C$1)-M$426/M$13,(M$426/M$13-L$426/L$13)/M$2),0))*N$13</f>
        <v>8.116060735413587</v>
      </c>
      <c r="O426" s="8">
        <f ca="1">(N$426/N$13+ IF(O$2&gt;0,O$2*IF(O$6=OFFSET(Assumptions!$B$8,0,$C$1),SUMPRODUCT(OFFSET(N$426,0,0,1,-OFFSET(Assumptions!$B$82,0,$C$1)),OFFSET(N$15,0,0,1,-OFFSET(Assumptions!$B$82,0,$C$1)))/OFFSET(Assumptions!$B$82,0,$C$1)-N$426/N$13,(N$426/N$13-M$426/M$13)/N$2),0))*O$13</f>
        <v>8.4741211039301838</v>
      </c>
      <c r="P426" s="8">
        <f ca="1">(O$426/O$13+ IF(P$2&gt;0,P$2*IF(P$6=OFFSET(Assumptions!$B$8,0,$C$1),SUMPRODUCT(OFFSET(O$426,0,0,1,-OFFSET(Assumptions!$B$82,0,$C$1)),OFFSET(O$15,0,0,1,-OFFSET(Assumptions!$B$82,0,$C$1)))/OFFSET(Assumptions!$B$82,0,$C$1)-O$426/O$13,(O$426/O$13-N$426/N$13)/O$2),0))*P$13</f>
        <v>8.837864716287898</v>
      </c>
      <c r="Q426" s="8">
        <f ca="1">(P$426/P$13+ IF(Q$2&gt;0,Q$2*IF(Q$6=OFFSET(Assumptions!$B$8,0,$C$1),SUMPRODUCT(OFFSET(P$426,0,0,1,-OFFSET(Assumptions!$B$82,0,$C$1)),OFFSET(P$15,0,0,1,-OFFSET(Assumptions!$B$82,0,$C$1)))/OFFSET(Assumptions!$B$82,0,$C$1)-P$426/P$13,(P$426/P$13-O$426/O$13)/P$2),0))*Q$13</f>
        <v>9.2137304363216259</v>
      </c>
      <c r="R426" s="8">
        <f ca="1">(Q$426/Q$13+ IF(R$2&gt;0,R$2*IF(R$6=OFFSET(Assumptions!$B$8,0,$C$1),SUMPRODUCT(OFFSET(Q$426,0,0,1,-OFFSET(Assumptions!$B$82,0,$C$1)),OFFSET(Q$15,0,0,1,-OFFSET(Assumptions!$B$82,0,$C$1)))/OFFSET(Assumptions!$B$82,0,$C$1)-Q$426/Q$13,(Q$426/Q$13-P$426/P$13)/Q$2),0))*R$13</f>
        <v>9.6012991413163746</v>
      </c>
      <c r="S426" s="8">
        <f ca="1">(R$426/R$13+ IF(S$2&gt;0,S$2*IF(S$6=OFFSET(Assumptions!$B$8,0,$C$1),SUMPRODUCT(OFFSET(R$426,0,0,1,-OFFSET(Assumptions!$B$82,0,$C$1)),OFFSET(R$15,0,0,1,-OFFSET(Assumptions!$B$82,0,$C$1)))/OFFSET(Assumptions!$B$82,0,$C$1)-R$426/R$13,(R$426/R$13-Q$426/Q$13)/R$2),0))*S$13</f>
        <v>10.002330100822071</v>
      </c>
      <c r="T426" s="8">
        <f ca="1">(S$426/S$13+ IF(T$2&gt;0,T$2*IF(T$6=OFFSET(Assumptions!$B$8,0,$C$1),SUMPRODUCT(OFFSET(S$426,0,0,1,-OFFSET(Assumptions!$B$82,0,$C$1)),OFFSET(S$15,0,0,1,-OFFSET(Assumptions!$B$82,0,$C$1)))/OFFSET(Assumptions!$B$82,0,$C$1)-S$426/S$13,(S$426/S$13-R$426/R$13)/S$2),0))*T$13</f>
        <v>10.416200525978184</v>
      </c>
    </row>
    <row r="427" spans="1:20" ht="15" x14ac:dyDescent="0.25">
      <c r="A427" s="2"/>
      <c r="B427" s="4"/>
    </row>
    <row r="428" spans="1:20" x14ac:dyDescent="0.2">
      <c r="A428" s="19" t="s">
        <v>233</v>
      </c>
      <c r="B428" s="4"/>
    </row>
    <row r="429" spans="1:20" x14ac:dyDescent="0.2">
      <c r="A429" s="1" t="s">
        <v>644</v>
      </c>
      <c r="B429" s="4"/>
      <c r="D429" s="15">
        <f t="shared" ref="D429:J429" si="175">D$357-D$70</f>
        <v>0.65200000000000014</v>
      </c>
      <c r="E429" s="15">
        <f t="shared" si="175"/>
        <v>0.82600000000000007</v>
      </c>
      <c r="F429" s="16">
        <f t="shared" si="175"/>
        <v>3.2139999999999995</v>
      </c>
      <c r="G429" s="16">
        <f t="shared" si="175"/>
        <v>1.0349999999999999</v>
      </c>
      <c r="H429" s="16">
        <f t="shared" si="175"/>
        <v>1.0769999999999997</v>
      </c>
      <c r="I429" s="16">
        <f t="shared" si="175"/>
        <v>1.1250000000000002</v>
      </c>
      <c r="J429" s="16">
        <f t="shared" si="175"/>
        <v>1.1819999999999997</v>
      </c>
      <c r="K429" s="7">
        <f ca="1">SUM(J$429,OFFSET(Assumptions!$B$77,0,$C$1)*K$349)</f>
        <v>1.2741771056740576</v>
      </c>
      <c r="L429" s="7">
        <f ca="1">SUM(K$429,OFFSET(Assumptions!$B$77,0,$C$1)*L$349)</f>
        <v>1.378149104198958</v>
      </c>
      <c r="M429" s="7">
        <f ca="1">SUM(L$429,OFFSET(Assumptions!$B$77,0,$C$1)*M$349)</f>
        <v>1.4946811995437925</v>
      </c>
      <c r="N429" s="7">
        <f ca="1">SUM(M$429,OFFSET(Assumptions!$B$77,0,$C$1)*N$349)</f>
        <v>1.6245165496760516</v>
      </c>
      <c r="O429" s="7">
        <f ca="1">SUM(N$429,OFFSET(Assumptions!$B$77,0,$C$1)*O$349)</f>
        <v>1.7683809655505609</v>
      </c>
      <c r="P429" s="7">
        <f ca="1">SUM(O$429,OFFSET(Assumptions!$B$77,0,$C$1)*P$349)</f>
        <v>1.9259354897155538</v>
      </c>
      <c r="Q429" s="7">
        <f ca="1">SUM(P$429,OFFSET(Assumptions!$B$77,0,$C$1)*Q$349)</f>
        <v>2.0943775784703149</v>
      </c>
      <c r="R429" s="7">
        <f ca="1">SUM(Q$429,OFFSET(Assumptions!$B$77,0,$C$1)*R$349)</f>
        <v>2.2735857583845718</v>
      </c>
      <c r="S429" s="7">
        <f ca="1">SUM(R$429,OFFSET(Assumptions!$B$77,0,$C$1)*S$349)</f>
        <v>2.4634776639986411</v>
      </c>
      <c r="T429" s="7">
        <f ca="1">SUM(S$429,OFFSET(Assumptions!$B$77,0,$C$1)*T$349)</f>
        <v>2.6640130078526827</v>
      </c>
    </row>
    <row r="430" spans="1:20" x14ac:dyDescent="0.2">
      <c r="A430" s="1" t="s">
        <v>394</v>
      </c>
      <c r="B430" s="4" t="str">
        <f t="shared" ref="B430:B442" si="176">$B$38</f>
        <v>From Fiscal</v>
      </c>
      <c r="D430" s="15">
        <f>'Fiscal Forecasts'!D$348</f>
        <v>4.3540000000000001</v>
      </c>
      <c r="E430" s="15">
        <f>'Fiscal Forecasts'!E$348</f>
        <v>4.5209999999999999</v>
      </c>
      <c r="F430" s="16">
        <f>'Fiscal Forecasts'!F$348</f>
        <v>4.4420000000000002</v>
      </c>
      <c r="G430" s="16">
        <f>'Fiscal Forecasts'!G$348</f>
        <v>4.444</v>
      </c>
      <c r="H430" s="16">
        <f>'Fiscal Forecasts'!H$348</f>
        <v>4.4649999999999999</v>
      </c>
      <c r="I430" s="16">
        <f>'Fiscal Forecasts'!I$348</f>
        <v>4.4850000000000003</v>
      </c>
      <c r="J430" s="16">
        <f>'Fiscal Forecasts'!J$348</f>
        <v>4.5069999999999997</v>
      </c>
      <c r="K430" s="7">
        <f ca="1">J$430*K$323/J$323</f>
        <v>4.721751429510654</v>
      </c>
      <c r="L430" s="7">
        <f t="shared" ref="L430:T430" ca="1" si="177">K$430*L$323/K$323</f>
        <v>4.9472603124642793</v>
      </c>
      <c r="M430" s="7">
        <f t="shared" ca="1" si="177"/>
        <v>5.1835759725852517</v>
      </c>
      <c r="N430" s="7">
        <f t="shared" ca="1" si="177"/>
        <v>5.4307945460439191</v>
      </c>
      <c r="O430" s="7">
        <f t="shared" ca="1" si="177"/>
        <v>5.6891524082134168</v>
      </c>
      <c r="P430" s="7">
        <f t="shared" ca="1" si="177"/>
        <v>5.9590746771393794</v>
      </c>
      <c r="Q430" s="7">
        <f t="shared" ca="1" si="177"/>
        <v>6.240971301999072</v>
      </c>
      <c r="R430" s="7">
        <f t="shared" ca="1" si="177"/>
        <v>6.5347710665651739</v>
      </c>
      <c r="S430" s="7">
        <f t="shared" ca="1" si="177"/>
        <v>6.8408423789449948</v>
      </c>
      <c r="T430" s="7">
        <f t="shared" ca="1" si="177"/>
        <v>7.1595781268019332</v>
      </c>
    </row>
    <row r="431" spans="1:20" x14ac:dyDescent="0.2">
      <c r="A431" s="1" t="s">
        <v>645</v>
      </c>
      <c r="B431" s="4" t="str">
        <f t="shared" si="176"/>
        <v>From Fiscal</v>
      </c>
      <c r="D431" s="15">
        <f>'Fiscal Forecasts'!D$180-SUM(D$429:D$430)</f>
        <v>3.125</v>
      </c>
      <c r="E431" s="15">
        <f>'Fiscal Forecasts'!E$180-SUM(E$429:E$430)</f>
        <v>2.8109999999999999</v>
      </c>
      <c r="F431" s="16">
        <f>'Fiscal Forecasts'!F$180-SUM(F$429:F$430)</f>
        <v>2.87</v>
      </c>
      <c r="G431" s="16">
        <f>'Fiscal Forecasts'!G$180-SUM(G$429:G$430)</f>
        <v>2.4610000000000003</v>
      </c>
      <c r="H431" s="16">
        <f>'Fiscal Forecasts'!H$180-SUM(H$429:H$430)</f>
        <v>2.6419999999999995</v>
      </c>
      <c r="I431" s="16">
        <f>'Fiscal Forecasts'!I$180-SUM(I$429:I$430)</f>
        <v>2.6889999999999992</v>
      </c>
      <c r="J431" s="16">
        <f>'Fiscal Forecasts'!J$180-SUM(J$429:J$430)</f>
        <v>2.758</v>
      </c>
      <c r="K431" s="7">
        <f ca="1">J$431*(K$196+K$196/SUM(K$183,K$196)*SUM(K$219,K$222))/(J$196+J$196/SUM(J$183,J$196)*SUM(J$219,J$222))</f>
        <v>2.8163777718772738</v>
      </c>
      <c r="L431" s="7">
        <f t="shared" ref="L431:T431" ca="1" si="178">K$431*(L$196+L$196/SUM(L$183,L$196)*SUM(L$219,L$222))/(K$196+K$196/SUM(K$183,K$196)*SUM(K$219,K$222))</f>
        <v>2.9369794494506212</v>
      </c>
      <c r="M431" s="7">
        <f t="shared" ca="1" si="178"/>
        <v>3.0525714840727751</v>
      </c>
      <c r="N431" s="7">
        <f t="shared" ca="1" si="178"/>
        <v>3.1688697689204002</v>
      </c>
      <c r="O431" s="7">
        <f t="shared" ca="1" si="178"/>
        <v>3.2875828926627517</v>
      </c>
      <c r="P431" s="7">
        <f t="shared" ca="1" si="178"/>
        <v>3.4092086574239615</v>
      </c>
      <c r="Q431" s="7">
        <f t="shared" ca="1" si="178"/>
        <v>3.5329805315923353</v>
      </c>
      <c r="R431" s="7">
        <f t="shared" ca="1" si="178"/>
        <v>3.658517244465243</v>
      </c>
      <c r="S431" s="7">
        <f t="shared" ca="1" si="178"/>
        <v>3.7855371731748253</v>
      </c>
      <c r="T431" s="7">
        <f t="shared" ca="1" si="178"/>
        <v>3.9134340250272244</v>
      </c>
    </row>
    <row r="432" spans="1:20" ht="15" x14ac:dyDescent="0.25">
      <c r="A432" s="2" t="s">
        <v>646</v>
      </c>
      <c r="B432" s="4"/>
      <c r="D432" s="35">
        <f t="shared" ref="D432:T432" si="179">SUM(D$429:D$431)</f>
        <v>8.1310000000000002</v>
      </c>
      <c r="E432" s="35">
        <f t="shared" si="179"/>
        <v>8.1579999999999995</v>
      </c>
      <c r="F432" s="34">
        <f t="shared" si="179"/>
        <v>10.526</v>
      </c>
      <c r="G432" s="34">
        <f t="shared" si="179"/>
        <v>7.94</v>
      </c>
      <c r="H432" s="34">
        <f t="shared" si="179"/>
        <v>8.1839999999999993</v>
      </c>
      <c r="I432" s="34">
        <f t="shared" si="179"/>
        <v>8.2989999999999995</v>
      </c>
      <c r="J432" s="34">
        <f t="shared" si="179"/>
        <v>8.4469999999999992</v>
      </c>
      <c r="K432" s="38">
        <f t="shared" ca="1" si="179"/>
        <v>8.812306307061986</v>
      </c>
      <c r="L432" s="38">
        <f t="shared" ca="1" si="179"/>
        <v>9.2623888661138594</v>
      </c>
      <c r="M432" s="38">
        <f t="shared" ca="1" si="179"/>
        <v>9.7308286562018189</v>
      </c>
      <c r="N432" s="38">
        <f t="shared" ca="1" si="179"/>
        <v>10.22418086464037</v>
      </c>
      <c r="O432" s="38">
        <f t="shared" ca="1" si="179"/>
        <v>10.745116266426729</v>
      </c>
      <c r="P432" s="38">
        <f t="shared" ca="1" si="179"/>
        <v>11.294218824278895</v>
      </c>
      <c r="Q432" s="38">
        <f t="shared" ca="1" si="179"/>
        <v>11.868329412061721</v>
      </c>
      <c r="R432" s="38">
        <f t="shared" ca="1" si="179"/>
        <v>12.466874069414988</v>
      </c>
      <c r="S432" s="38">
        <f t="shared" ca="1" si="179"/>
        <v>13.089857216118462</v>
      </c>
      <c r="T432" s="38">
        <f t="shared" ca="1" si="179"/>
        <v>13.737025159681842</v>
      </c>
    </row>
    <row r="433" spans="1:20" ht="15" x14ac:dyDescent="0.25">
      <c r="A433" s="2" t="s">
        <v>647</v>
      </c>
      <c r="B433" s="4" t="str">
        <f t="shared" si="176"/>
        <v>From Fiscal</v>
      </c>
      <c r="D433" s="40">
        <f>'Fiscal Forecasts'!D$129</f>
        <v>11.952999999999999</v>
      </c>
      <c r="E433" s="40">
        <f>'Fiscal Forecasts'!E$129</f>
        <v>12.029</v>
      </c>
      <c r="F433" s="39">
        <f>'Fiscal Forecasts'!F$129</f>
        <v>14.313000000000001</v>
      </c>
      <c r="G433" s="39">
        <f>'Fiscal Forecasts'!G$129</f>
        <v>11.704000000000001</v>
      </c>
      <c r="H433" s="39">
        <f>'Fiscal Forecasts'!H$129</f>
        <v>11.968999999999999</v>
      </c>
      <c r="I433" s="39">
        <f>'Fiscal Forecasts'!I$129</f>
        <v>11.877000000000001</v>
      </c>
      <c r="J433" s="39">
        <f>'Fiscal Forecasts'!J$129</f>
        <v>11.951000000000001</v>
      </c>
      <c r="K433" s="8">
        <f ca="1">SUM(K$432,(J$433-J$432)*SUM(K$197:K$198)/SUM(J$197:J$198))</f>
        <v>12.418829853710156</v>
      </c>
      <c r="L433" s="8">
        <f t="shared" ref="L433:T433" ca="1" si="180">SUM(L$432,(K$433-K$432)*SUM(L$197:L$198)/SUM(K$197:K$198))</f>
        <v>12.968732182310596</v>
      </c>
      <c r="M433" s="8">
        <f t="shared" ca="1" si="180"/>
        <v>13.534651371498885</v>
      </c>
      <c r="N433" s="8">
        <f t="shared" ca="1" si="180"/>
        <v>14.126366298914055</v>
      </c>
      <c r="O433" s="8">
        <f t="shared" ca="1" si="180"/>
        <v>14.748937522832161</v>
      </c>
      <c r="P433" s="8">
        <f t="shared" ca="1" si="180"/>
        <v>15.403040436099413</v>
      </c>
      <c r="Q433" s="8">
        <f t="shared" ca="1" si="180"/>
        <v>16.085581437856785</v>
      </c>
      <c r="R433" s="8">
        <f t="shared" ca="1" si="180"/>
        <v>16.795855250277555</v>
      </c>
      <c r="S433" s="8">
        <f t="shared" ca="1" si="180"/>
        <v>17.534387285871382</v>
      </c>
      <c r="T433" s="8">
        <f t="shared" ca="1" si="180"/>
        <v>18.300736442731129</v>
      </c>
    </row>
    <row r="434" spans="1:20" ht="15" x14ac:dyDescent="0.25">
      <c r="A434" s="2"/>
      <c r="B434" s="4"/>
      <c r="D434" s="66"/>
      <c r="E434" s="66"/>
      <c r="F434" s="66"/>
      <c r="G434" s="66"/>
      <c r="H434" s="66"/>
      <c r="I434" s="66"/>
      <c r="J434" s="66"/>
      <c r="K434" s="66"/>
      <c r="L434" s="66"/>
      <c r="M434" s="66"/>
      <c r="N434" s="66"/>
      <c r="O434" s="66"/>
      <c r="P434" s="66"/>
      <c r="Q434" s="66"/>
      <c r="R434" s="66"/>
      <c r="S434" s="66"/>
      <c r="T434" s="66"/>
    </row>
    <row r="435" spans="1:20" ht="15" x14ac:dyDescent="0.25">
      <c r="A435" s="19" t="s">
        <v>234</v>
      </c>
      <c r="B435" s="4"/>
      <c r="D435" s="40"/>
      <c r="E435" s="40"/>
      <c r="F435" s="39"/>
      <c r="G435" s="39"/>
      <c r="H435" s="8"/>
      <c r="I435" s="8"/>
      <c r="J435" s="8"/>
      <c r="K435" s="8"/>
      <c r="L435" s="8"/>
      <c r="M435" s="8"/>
      <c r="N435" s="8"/>
      <c r="O435" s="8"/>
      <c r="P435" s="8"/>
      <c r="Q435" s="8"/>
      <c r="R435" s="8"/>
      <c r="S435" s="8"/>
      <c r="T435" s="8"/>
    </row>
    <row r="436" spans="1:20" ht="15" x14ac:dyDescent="0.25">
      <c r="A436" s="2" t="s">
        <v>648</v>
      </c>
      <c r="B436" s="4" t="str">
        <f t="shared" si="176"/>
        <v>From Fiscal</v>
      </c>
      <c r="D436" s="40">
        <f>'Fiscal Forecasts'!D$181</f>
        <v>0.57299999999999995</v>
      </c>
      <c r="E436" s="40">
        <f>'Fiscal Forecasts'!E$181</f>
        <v>0.54600000000000004</v>
      </c>
      <c r="F436" s="39">
        <f>'Fiscal Forecasts'!F$181</f>
        <v>0.499</v>
      </c>
      <c r="G436" s="39">
        <f>'Fiscal Forecasts'!G$181</f>
        <v>0.47199999999999998</v>
      </c>
      <c r="H436" s="39">
        <f>'Fiscal Forecasts'!H$181</f>
        <v>0.44500000000000001</v>
      </c>
      <c r="I436" s="39">
        <f>'Fiscal Forecasts'!I$181</f>
        <v>0.41799999999999998</v>
      </c>
      <c r="J436" s="39">
        <f>'Fiscal Forecasts'!J$181</f>
        <v>0.39200000000000002</v>
      </c>
      <c r="K436" s="8">
        <f ca="1">(J$436/J$13+ IF(K$2&gt;0,K$2*IF(K$6=OFFSET(Assumptions!$B$8,0,$C$1),SUMPRODUCT(OFFSET(J$436,0,0,1,-OFFSET(Assumptions!$B$82,0,$C$1)),OFFSET(J$15,0,0,1,-OFFSET(Assumptions!$B$82,0,$C$1)))/OFFSET(Assumptions!$B$82,0,$C$1)-J$436/J$13,(J$436/J$13-I$436/I$13)/J$2),0))*K$13</f>
        <v>0.4245646141584915</v>
      </c>
      <c r="L436" s="8">
        <f ca="1">(K$436/K$13+ IF(L$2&gt;0,L$2*IF(L$6=OFFSET(Assumptions!$B$8,0,$C$1),SUMPRODUCT(OFFSET(K$436,0,0,1,-OFFSET(Assumptions!$B$82,0,$C$1)),OFFSET(K$15,0,0,1,-OFFSET(Assumptions!$B$82,0,$C$1)))/OFFSET(Assumptions!$B$82,0,$C$1)-K$436/K$13,(K$436/K$13-J$436/J$13)/K$2),0))*L$13</f>
        <v>0.45636546693132801</v>
      </c>
      <c r="M436" s="8">
        <f ca="1">(L$436/L$13+ IF(M$2&gt;0,M$2*IF(M$6=OFFSET(Assumptions!$B$8,0,$C$1),SUMPRODUCT(OFFSET(L$436,0,0,1,-OFFSET(Assumptions!$B$82,0,$C$1)),OFFSET(L$15,0,0,1,-OFFSET(Assumptions!$B$82,0,$C$1)))/OFFSET(Assumptions!$B$82,0,$C$1)-L$436/L$13,(L$436/L$13-K$436/K$13)/L$2),0))*M$13</f>
        <v>0.48662062267602113</v>
      </c>
      <c r="N436" s="8">
        <f ca="1">(M$436/M$13+ IF(N$2&gt;0,N$2*IF(N$6=OFFSET(Assumptions!$B$8,0,$C$1),SUMPRODUCT(OFFSET(M$436,0,0,1,-OFFSET(Assumptions!$B$82,0,$C$1)),OFFSET(M$15,0,0,1,-OFFSET(Assumptions!$B$82,0,$C$1)))/OFFSET(Assumptions!$B$82,0,$C$1)-M$436/M$13,(M$436/M$13-L$436/L$13)/M$2),0))*N$13</f>
        <v>0.51503765567694493</v>
      </c>
      <c r="O436" s="8">
        <f ca="1">(N$436/N$13+ IF(O$2&gt;0,O$2*IF(O$6=OFFSET(Assumptions!$B$8,0,$C$1),SUMPRODUCT(OFFSET(N$436,0,0,1,-OFFSET(Assumptions!$B$82,0,$C$1)),OFFSET(N$15,0,0,1,-OFFSET(Assumptions!$B$82,0,$C$1)))/OFFSET(Assumptions!$B$82,0,$C$1)-N$436/N$13,(N$436/N$13-M$436/M$13)/N$2),0))*O$13</f>
        <v>0.54103877330020056</v>
      </c>
      <c r="P436" s="8">
        <f ca="1">(O$436/O$13+ IF(P$2&gt;0,P$2*IF(P$6=OFFSET(Assumptions!$B$8,0,$C$1),SUMPRODUCT(OFFSET(O$436,0,0,1,-OFFSET(Assumptions!$B$82,0,$C$1)),OFFSET(O$15,0,0,1,-OFFSET(Assumptions!$B$82,0,$C$1)))/OFFSET(Assumptions!$B$82,0,$C$1)-O$436/O$13,(O$436/O$13-N$436/N$13)/O$2),0))*P$13</f>
        <v>0.56426234957580146</v>
      </c>
      <c r="Q436" s="8">
        <f ca="1">(P$436/P$13+ IF(Q$2&gt;0,Q$2*IF(Q$6=OFFSET(Assumptions!$B$8,0,$C$1),SUMPRODUCT(OFFSET(P$436,0,0,1,-OFFSET(Assumptions!$B$82,0,$C$1)),OFFSET(P$15,0,0,1,-OFFSET(Assumptions!$B$82,0,$C$1)))/OFFSET(Assumptions!$B$82,0,$C$1)-P$436/P$13,(P$436/P$13-O$436/O$13)/P$2),0))*Q$13</f>
        <v>0.5882598739914402</v>
      </c>
      <c r="R436" s="8">
        <f ca="1">(Q$436/Q$13+ IF(R$2&gt;0,R$2*IF(R$6=OFFSET(Assumptions!$B$8,0,$C$1),SUMPRODUCT(OFFSET(Q$436,0,0,1,-OFFSET(Assumptions!$B$82,0,$C$1)),OFFSET(Q$15,0,0,1,-OFFSET(Assumptions!$B$82,0,$C$1)))/OFFSET(Assumptions!$B$82,0,$C$1)-Q$436/Q$13,(Q$436/Q$13-P$436/P$13)/Q$2),0))*R$13</f>
        <v>0.61300458723641083</v>
      </c>
      <c r="S436" s="8">
        <f ca="1">(R$436/R$13+ IF(S$2&gt;0,S$2*IF(S$6=OFFSET(Assumptions!$B$8,0,$C$1),SUMPRODUCT(OFFSET(R$436,0,0,1,-OFFSET(Assumptions!$B$82,0,$C$1)),OFFSET(R$15,0,0,1,-OFFSET(Assumptions!$B$82,0,$C$1)))/OFFSET(Assumptions!$B$82,0,$C$1)-R$436/R$13,(R$436/R$13-Q$436/Q$13)/R$2),0))*S$13</f>
        <v>0.63860881164214134</v>
      </c>
      <c r="T436" s="8">
        <f ca="1">(S$436/S$13+ IF(T$2&gt;0,T$2*IF(T$6=OFFSET(Assumptions!$B$8,0,$C$1),SUMPRODUCT(OFFSET(S$436,0,0,1,-OFFSET(Assumptions!$B$82,0,$C$1)),OFFSET(S$15,0,0,1,-OFFSET(Assumptions!$B$82,0,$C$1)))/OFFSET(Assumptions!$B$82,0,$C$1)-S$436/S$13,(S$436/S$13-R$436/R$13)/S$2),0))*T$13</f>
        <v>0.66503278462830095</v>
      </c>
    </row>
    <row r="437" spans="1:20" ht="15" x14ac:dyDescent="0.25">
      <c r="A437" s="2" t="s">
        <v>649</v>
      </c>
      <c r="B437" s="4" t="str">
        <f t="shared" si="176"/>
        <v>From Fiscal</v>
      </c>
      <c r="D437" s="40">
        <f>'Fiscal Forecasts'!D$130</f>
        <v>2.1120000000000001</v>
      </c>
      <c r="E437" s="40">
        <f>'Fiscal Forecasts'!E$130</f>
        <v>2.1779999999999999</v>
      </c>
      <c r="F437" s="39">
        <f>'Fiscal Forecasts'!F$130</f>
        <v>2.0579999999999998</v>
      </c>
      <c r="G437" s="39">
        <f>'Fiscal Forecasts'!G$130</f>
        <v>2.1070000000000002</v>
      </c>
      <c r="H437" s="39">
        <f>'Fiscal Forecasts'!H$130</f>
        <v>2.1800000000000002</v>
      </c>
      <c r="I437" s="39">
        <f>'Fiscal Forecasts'!I$130</f>
        <v>2.1850000000000001</v>
      </c>
      <c r="J437" s="39">
        <f>'Fiscal Forecasts'!J$130</f>
        <v>2.2290000000000001</v>
      </c>
      <c r="K437" s="8">
        <f ca="1">SUM(K$436,((J$437-J$436)/J$13+ IF(K$2&gt;0,K$2*IF(K$6=OFFSET(Assumptions!$B$8,0,$C$1),(SUMPRODUCT(OFFSET(J$437,0,0,1,-OFFSET(Assumptions!$B$82,0,$C$1)),OFFSET(J$15,0,0,1,-OFFSET(Assumptions!$B$82,0,$C$1)))-SUMPRODUCT(OFFSET(J$436,0,0,1,-OFFSET(Assumptions!$B$82,0,$C$1)),OFFSET(J$15,0,0,1,-OFFSET(Assumptions!$B$82,0,$C$1))))/OFFSET(Assumptions!$B$82,0,$C$1)-(J$437-J$436)/J$13,((J$437-J$436)/J$13-(I$437-I$436)/I$13)/J$2),0))*K$13 )</f>
        <v>2.3467806211366202</v>
      </c>
      <c r="L437" s="8">
        <f ca="1">SUM(L$436,((K$437-K$436)/K$13+ IF(L$2&gt;0,L$2*IF(L$6=OFFSET(Assumptions!$B$8,0,$C$1),(SUMPRODUCT(OFFSET(K$437,0,0,1,-OFFSET(Assumptions!$B$82,0,$C$1)),OFFSET(K$15,0,0,1,-OFFSET(Assumptions!$B$82,0,$C$1)))-SUMPRODUCT(OFFSET(K$436,0,0,1,-OFFSET(Assumptions!$B$82,0,$C$1)),OFFSET(K$15,0,0,1,-OFFSET(Assumptions!$B$82,0,$C$1))))/OFFSET(Assumptions!$B$82,0,$C$1)-(K$437-K$436)/K$13,((K$437-K$436)/K$13-(J$437-J$436)/J$13)/K$2),0))*L$13 )</f>
        <v>2.4683742780178632</v>
      </c>
      <c r="M437" s="8">
        <f ca="1">SUM(M$436,((L$437-L$436)/L$13+ IF(M$2&gt;0,M$2*IF(M$6=OFFSET(Assumptions!$B$8,0,$C$1),(SUMPRODUCT(OFFSET(L$437,0,0,1,-OFFSET(Assumptions!$B$82,0,$C$1)),OFFSET(L$15,0,0,1,-OFFSET(Assumptions!$B$82,0,$C$1)))-SUMPRODUCT(OFFSET(L$436,0,0,1,-OFFSET(Assumptions!$B$82,0,$C$1)),OFFSET(L$15,0,0,1,-OFFSET(Assumptions!$B$82,0,$C$1))))/OFFSET(Assumptions!$B$82,0,$C$1)-(L$437-L$436)/L$13,((L$437-L$436)/L$13-(K$437-K$436)/K$13)/L$2),0))*M$13 )</f>
        <v>2.5908266599330396</v>
      </c>
      <c r="N437" s="8">
        <f ca="1">SUM(N$436,((M$437-M$436)/M$13+ IF(N$2&gt;0,N$2*IF(N$6=OFFSET(Assumptions!$B$8,0,$C$1),(SUMPRODUCT(OFFSET(M$437,0,0,1,-OFFSET(Assumptions!$B$82,0,$C$1)),OFFSET(M$15,0,0,1,-OFFSET(Assumptions!$B$82,0,$C$1)))-SUMPRODUCT(OFFSET(M$436,0,0,1,-OFFSET(Assumptions!$B$82,0,$C$1)),OFFSET(M$15,0,0,1,-OFFSET(Assumptions!$B$82,0,$C$1))))/OFFSET(Assumptions!$B$82,0,$C$1)-(M$437-M$436)/M$13,((M$437-M$436)/M$13-(L$437-L$436)/L$13)/M$2),0))*N$13 )</f>
        <v>2.7140705001379279</v>
      </c>
      <c r="O437" s="8">
        <f ca="1">SUM(O$436,((N$437-N$436)/N$13+ IF(O$2&gt;0,O$2*IF(O$6=OFFSET(Assumptions!$B$8,0,$C$1),(SUMPRODUCT(OFFSET(N$437,0,0,1,-OFFSET(Assumptions!$B$82,0,$C$1)),OFFSET(N$15,0,0,1,-OFFSET(Assumptions!$B$82,0,$C$1)))-SUMPRODUCT(OFFSET(N$436,0,0,1,-OFFSET(Assumptions!$B$82,0,$C$1)),OFFSET(N$15,0,0,1,-OFFSET(Assumptions!$B$82,0,$C$1))))/OFFSET(Assumptions!$B$82,0,$C$1)-(N$437-N$436)/N$13,((N$437-N$436)/N$13-(M$437-M$436)/M$13)/N$2),0))*O$13 )</f>
        <v>2.8366591462365474</v>
      </c>
      <c r="P437" s="8">
        <f ca="1">SUM(P$436,((O$437-O$436)/O$13+ IF(P$2&gt;0,P$2*IF(P$6=OFFSET(Assumptions!$B$8,0,$C$1),(SUMPRODUCT(OFFSET(O$437,0,0,1,-OFFSET(Assumptions!$B$82,0,$C$1)),OFFSET(O$15,0,0,1,-OFFSET(Assumptions!$B$82,0,$C$1)))-SUMPRODUCT(OFFSET(O$436,0,0,1,-OFFSET(Assumptions!$B$82,0,$C$1)),OFFSET(O$15,0,0,1,-OFFSET(Assumptions!$B$82,0,$C$1))))/OFFSET(Assumptions!$B$82,0,$C$1)-(O$437-O$436)/O$13,((O$437-O$436)/O$13-(N$437-N$436)/N$13)/O$2),0))*P$13 )</f>
        <v>2.9584200500783733</v>
      </c>
      <c r="Q437" s="8">
        <f ca="1">SUM(Q$436,((P$437-P$436)/P$13+ IF(Q$2&gt;0,Q$2*IF(Q$6=OFFSET(Assumptions!$B$8,0,$C$1),(SUMPRODUCT(OFFSET(P$437,0,0,1,-OFFSET(Assumptions!$B$82,0,$C$1)),OFFSET(P$15,0,0,1,-OFFSET(Assumptions!$B$82,0,$C$1)))-SUMPRODUCT(OFFSET(P$436,0,0,1,-OFFSET(Assumptions!$B$82,0,$C$1)),OFFSET(P$15,0,0,1,-OFFSET(Assumptions!$B$82,0,$C$1))))/OFFSET(Assumptions!$B$82,0,$C$1)-(P$437-P$436)/P$13,((P$437-P$436)/P$13-(O$437-O$436)/O$13)/P$2),0))*Q$13 )</f>
        <v>3.084238753801638</v>
      </c>
      <c r="R437" s="8">
        <f ca="1">SUM(R$436,((Q$437-Q$436)/Q$13+ IF(R$2&gt;0,R$2*IF(R$6=OFFSET(Assumptions!$B$8,0,$C$1),(SUMPRODUCT(OFFSET(Q$437,0,0,1,-OFFSET(Assumptions!$B$82,0,$C$1)),OFFSET(Q$15,0,0,1,-OFFSET(Assumptions!$B$82,0,$C$1)))-SUMPRODUCT(OFFSET(Q$436,0,0,1,-OFFSET(Assumptions!$B$82,0,$C$1)),OFFSET(Q$15,0,0,1,-OFFSET(Assumptions!$B$82,0,$C$1))))/OFFSET(Assumptions!$B$82,0,$C$1)-(Q$437-Q$436)/Q$13,((Q$437-Q$436)/Q$13-(P$437-P$436)/P$13)/Q$2),0))*R$13 )</f>
        <v>3.2139749586935555</v>
      </c>
      <c r="S437" s="8">
        <f ca="1">SUM(S$436,((R$437-R$436)/R$13+ IF(S$2&gt;0,S$2*IF(S$6=OFFSET(Assumptions!$B$8,0,$C$1),(SUMPRODUCT(OFFSET(R$437,0,0,1,-OFFSET(Assumptions!$B$82,0,$C$1)),OFFSET(R$15,0,0,1,-OFFSET(Assumptions!$B$82,0,$C$1)))-SUMPRODUCT(OFFSET(R$436,0,0,1,-OFFSET(Assumptions!$B$82,0,$C$1)),OFFSET(R$15,0,0,1,-OFFSET(Assumptions!$B$82,0,$C$1))))/OFFSET(Assumptions!$B$82,0,$C$1)-(R$437-R$436)/R$13,((R$437-R$436)/R$13-(Q$437-Q$436)/Q$13)/R$2),0))*S$13 )</f>
        <v>3.348217569255052</v>
      </c>
      <c r="T437" s="8">
        <f ca="1">SUM(T$436,((S$437-S$436)/S$13+ IF(T$2&gt;0,T$2*IF(T$6=OFFSET(Assumptions!$B$8,0,$C$1),(SUMPRODUCT(OFFSET(S$437,0,0,1,-OFFSET(Assumptions!$B$82,0,$C$1)),OFFSET(S$15,0,0,1,-OFFSET(Assumptions!$B$82,0,$C$1)))-SUMPRODUCT(OFFSET(S$436,0,0,1,-OFFSET(Assumptions!$B$82,0,$C$1)),OFFSET(S$15,0,0,1,-OFFSET(Assumptions!$B$82,0,$C$1))))/OFFSET(Assumptions!$B$82,0,$C$1)-(S$437-S$436)/S$13,((S$437-S$436)/S$13-(R$437-R$436)/R$13)/S$2),0))*T$13 )</f>
        <v>3.4867581108023531</v>
      </c>
    </row>
    <row r="438" spans="1:20" ht="15" x14ac:dyDescent="0.25">
      <c r="A438" s="2"/>
      <c r="B438" s="4"/>
      <c r="D438" s="15"/>
      <c r="E438" s="15"/>
      <c r="F438" s="56"/>
      <c r="G438" s="56"/>
      <c r="H438" s="56"/>
      <c r="I438" s="56"/>
      <c r="J438" s="56"/>
      <c r="K438" s="56"/>
      <c r="L438" s="56"/>
      <c r="M438" s="56"/>
      <c r="N438" s="56"/>
      <c r="O438" s="56"/>
      <c r="P438" s="56"/>
      <c r="Q438" s="56"/>
      <c r="R438" s="56"/>
      <c r="S438" s="56"/>
      <c r="T438" s="56"/>
    </row>
    <row r="439" spans="1:20" ht="15" x14ac:dyDescent="0.25">
      <c r="A439" s="19" t="s">
        <v>236</v>
      </c>
      <c r="B439" s="4"/>
      <c r="D439" s="40"/>
      <c r="E439" s="40"/>
      <c r="F439" s="39"/>
      <c r="G439" s="39"/>
      <c r="H439" s="39"/>
      <c r="I439" s="39"/>
      <c r="J439" s="39"/>
      <c r="K439" s="8"/>
      <c r="L439" s="8"/>
      <c r="M439" s="8"/>
      <c r="N439" s="8"/>
      <c r="O439" s="8"/>
      <c r="P439" s="8"/>
      <c r="Q439" s="8"/>
      <c r="R439" s="8"/>
      <c r="S439" s="8"/>
      <c r="T439" s="8"/>
    </row>
    <row r="440" spans="1:20" ht="15" x14ac:dyDescent="0.25">
      <c r="A440" s="2" t="s">
        <v>653</v>
      </c>
      <c r="B440" s="4" t="str">
        <f t="shared" si="176"/>
        <v>From Fiscal</v>
      </c>
      <c r="D440" s="15">
        <f>'Fiscal Forecasts'!D$182</f>
        <v>2.3E-2</v>
      </c>
      <c r="E440" s="15">
        <f>'Fiscal Forecasts'!E$182</f>
        <v>0.02</v>
      </c>
      <c r="F440" s="16">
        <f>'Fiscal Forecasts'!F$182</f>
        <v>2.1000000000000001E-2</v>
      </c>
      <c r="G440" s="16">
        <f>'Fiscal Forecasts'!G$182</f>
        <v>2.3E-2</v>
      </c>
      <c r="H440" s="16">
        <f>'Fiscal Forecasts'!H$182</f>
        <v>2.1999999999999999E-2</v>
      </c>
      <c r="I440" s="16">
        <f>'Fiscal Forecasts'!I$182</f>
        <v>2.1999999999999999E-2</v>
      </c>
      <c r="J440" s="16">
        <f>'Fiscal Forecasts'!J$182</f>
        <v>2.3E-2</v>
      </c>
      <c r="K440" s="7">
        <f ca="1">IF(K$6=OFFSET(Assumptions!$B$8,0,$C$1),AVERAGE(H$440/H$13,I$440/I$13,J$440/J$13),J$440/J$13) *K$13</f>
        <v>2.4290893296439384E-2</v>
      </c>
      <c r="L440" s="7">
        <f ca="1">IF(L$6=OFFSET(Assumptions!$B$8,0,$C$1),AVERAGE(I$440/I$13,J$440/J$13,K$440/K$13),K$440/K$13) *L$13</f>
        <v>2.5356618115342761E-2</v>
      </c>
      <c r="M440" s="7">
        <f ca="1">IF(M$6=OFFSET(Assumptions!$B$8,0,$C$1),AVERAGE(J$440/J$13,K$440/K$13,L$440/L$13),L$440/L$13) *M$13</f>
        <v>2.6464697175821467E-2</v>
      </c>
      <c r="N440" s="7">
        <f ca="1">IF(N$6=OFFSET(Assumptions!$B$8,0,$C$1),AVERAGE(K$440/K$13,L$440/L$13,M$440/M$13),M$440/M$13) *N$13</f>
        <v>2.7619947865850081E-2</v>
      </c>
      <c r="O440" s="7">
        <f ca="1">IF(O$6=OFFSET(Assumptions!$B$8,0,$C$1),AVERAGE(L$440/L$13,M$440/M$13,N$440/N$13),N$440/N$13) *O$13</f>
        <v>2.8813614578515074E-2</v>
      </c>
      <c r="P440" s="7">
        <f ca="1">IF(P$6=OFFSET(Assumptions!$B$8,0,$C$1),AVERAGE(M$440/M$13,N$440/N$13,O$440/O$13),O$440/O$13) *P$13</f>
        <v>3.005041166028101E-2</v>
      </c>
      <c r="Q440" s="7">
        <f ca="1">IF(Q$6=OFFSET(Assumptions!$B$8,0,$C$1),AVERAGE(N$440/N$13,O$440/O$13,P$440/P$13),P$440/P$13) *Q$13</f>
        <v>3.1328426200963586E-2</v>
      </c>
      <c r="R440" s="7">
        <f ca="1">IF(R$6=OFFSET(Assumptions!$B$8,0,$C$1),AVERAGE(O$440/O$13,P$440/P$13,Q$440/Q$13),Q$440/Q$13) *R$13</f>
        <v>3.2646233104057489E-2</v>
      </c>
      <c r="S440" s="7">
        <f ca="1">IF(S$6=OFFSET(Assumptions!$B$8,0,$C$1),AVERAGE(P$440/P$13,Q$440/Q$13,R$440/R$13),R$440/R$13) *S$13</f>
        <v>3.4009814218786912E-2</v>
      </c>
      <c r="T440" s="7">
        <f ca="1">IF(T$6=OFFSET(Assumptions!$B$8,0,$C$1),AVERAGE(Q$440/Q$13,R$440/R$13,S$440/S$13),S$440/S$13) *T$13</f>
        <v>3.5417051945229566E-2</v>
      </c>
    </row>
    <row r="441" spans="1:20" x14ac:dyDescent="0.2">
      <c r="A441" s="1" t="s">
        <v>650</v>
      </c>
      <c r="B441" s="4" t="str">
        <f t="shared" si="176"/>
        <v>From Fiscal</v>
      </c>
      <c r="D441" s="15">
        <f>'Fiscal Forecasts'!D$351</f>
        <v>32.518000000000001</v>
      </c>
      <c r="E441" s="15">
        <f>'Fiscal Forecasts'!E$351</f>
        <v>39.106000000000002</v>
      </c>
      <c r="F441" s="16">
        <f>'Fiscal Forecasts'!F$351</f>
        <v>40.298000000000002</v>
      </c>
      <c r="G441" s="16">
        <f>'Fiscal Forecasts'!G$351</f>
        <v>41.822000000000003</v>
      </c>
      <c r="H441" s="16">
        <f>'Fiscal Forecasts'!H$351</f>
        <v>43.491</v>
      </c>
      <c r="I441" s="16">
        <f>'Fiscal Forecasts'!I$351</f>
        <v>45.292000000000002</v>
      </c>
      <c r="J441" s="16">
        <f>'Fiscal Forecasts'!J$351</f>
        <v>47.276000000000003</v>
      </c>
      <c r="K441" s="7">
        <f>J$441*Exogenous!R$29/Exogenous!Q$29</f>
        <v>49.282886785197931</v>
      </c>
      <c r="L441" s="7">
        <f>K$441*Exogenous!S$29/Exogenous!R$29</f>
        <v>51.382250738251507</v>
      </c>
      <c r="M441" s="7">
        <f>L$441*Exogenous!T$29/Exogenous!S$29</f>
        <v>53.559103999270413</v>
      </c>
      <c r="N441" s="7">
        <f>M$441*Exogenous!U$29/Exogenous!T$29</f>
        <v>55.851311848090212</v>
      </c>
      <c r="O441" s="7">
        <f>N$441*Exogenous!V$29/Exogenous!U$29</f>
        <v>58.154438996469075</v>
      </c>
      <c r="P441" s="7">
        <f>O$441*Exogenous!W$29/Exogenous!V$29</f>
        <v>60.536415632193915</v>
      </c>
      <c r="Q441" s="7">
        <f>P$441*Exogenous!X$29/Exogenous!W$29</f>
        <v>62.976709680351235</v>
      </c>
      <c r="R441" s="7">
        <f>Q$441*Exogenous!Y$29/Exogenous!X$29</f>
        <v>65.480946036562756</v>
      </c>
      <c r="S441" s="7">
        <f>R$441*Exogenous!Z$29/Exogenous!Y$29</f>
        <v>68.076702402473401</v>
      </c>
      <c r="T441" s="7">
        <f>S$441*Exogenous!AA$29/Exogenous!Z$29</f>
        <v>70.768334379007328</v>
      </c>
    </row>
    <row r="442" spans="1:20" x14ac:dyDescent="0.2">
      <c r="A442" s="1" t="s">
        <v>651</v>
      </c>
      <c r="B442" s="4" t="str">
        <f t="shared" si="176"/>
        <v>From Fiscal</v>
      </c>
      <c r="D442" s="15">
        <f>SUM('Fiscal Forecasts'!D$352:D$353)-D$440</f>
        <v>3.8899999999999997</v>
      </c>
      <c r="E442" s="15">
        <f>SUM('Fiscal Forecasts'!E$352:E$353)-E$440</f>
        <v>3</v>
      </c>
      <c r="F442" s="16">
        <f>SUM('Fiscal Forecasts'!F$352:F$353)-F$440</f>
        <v>2.5620000000000003</v>
      </c>
      <c r="G442" s="16">
        <f>SUM('Fiscal Forecasts'!G$352:G$353)-G$440</f>
        <v>0.91099999999999992</v>
      </c>
      <c r="H442" s="16">
        <f>SUM('Fiscal Forecasts'!H$352:H$353)-H$440</f>
        <v>0.29799999999999999</v>
      </c>
      <c r="I442" s="16">
        <f>SUM('Fiscal Forecasts'!I$352:I$353)-I$440</f>
        <v>0.27699999999999997</v>
      </c>
      <c r="J442" s="16">
        <f>SUM('Fiscal Forecasts'!J$352:J$353)-J$440</f>
        <v>0.27499999999999997</v>
      </c>
      <c r="K442" s="7">
        <f ca="1">(J$442/J$13+ IF(K$2&gt;0,K$2*IF(K$6=OFFSET(Assumptions!$B$8,0,$C$1),SUMPRODUCT(OFFSET(J$442,0,0,1,-OFFSET(Assumptions!$B$82,0,$C$1)),OFFSET(J$15,0,0,1,-OFFSET(Assumptions!$B$82,0,$C$1)))/OFFSET(Assumptions!$B$82,0,$C$1)-J$442/J$13,(J$442/J$13-I$442/I$13)/J$2),0))*K$13</f>
        <v>0.29409536418079074</v>
      </c>
      <c r="L442" s="7">
        <f ca="1">(K$442/K$13+ IF(L$2&gt;0,L$2*IF(L$6=OFFSET(Assumptions!$B$8,0,$C$1),SUMPRODUCT(OFFSET(K$442,0,0,1,-OFFSET(Assumptions!$B$82,0,$C$1)),OFFSET(K$15,0,0,1,-OFFSET(Assumptions!$B$82,0,$C$1)))/OFFSET(Assumptions!$B$82,0,$C$1)-K$442/K$13,(K$442/K$13-J$442/J$13)/K$2),0))*L$13</f>
        <v>0.31310874555792206</v>
      </c>
      <c r="M442" s="7">
        <f ca="1">(L$442/L$13+ IF(M$2&gt;0,M$2*IF(M$6=OFFSET(Assumptions!$B$8,0,$C$1),SUMPRODUCT(OFFSET(L$442,0,0,1,-OFFSET(Assumptions!$B$82,0,$C$1)),OFFSET(L$15,0,0,1,-OFFSET(Assumptions!$B$82,0,$C$1)))/OFFSET(Assumptions!$B$82,0,$C$1)-L$442/L$13,(L$442/L$13-K$442/K$13)/L$2),0))*M$13</f>
        <v>0.3315746084920031</v>
      </c>
      <c r="N442" s="7">
        <f ca="1">(M$442/M$13+ IF(N$2&gt;0,N$2*IF(N$6=OFFSET(Assumptions!$B$8,0,$C$1),SUMPRODUCT(OFFSET(M$442,0,0,1,-OFFSET(Assumptions!$B$82,0,$C$1)),OFFSET(M$15,0,0,1,-OFFSET(Assumptions!$B$82,0,$C$1)))/OFFSET(Assumptions!$B$82,0,$C$1)-M$442/M$13,(M$442/M$13-L$442/L$13)/M$2),0))*N$13</f>
        <v>0.34937658704664254</v>
      </c>
      <c r="O442" s="7">
        <f ca="1">(N$442/N$13+ IF(O$2&gt;0,O$2*IF(O$6=OFFSET(Assumptions!$B$8,0,$C$1),SUMPRODUCT(OFFSET(N$442,0,0,1,-OFFSET(Assumptions!$B$82,0,$C$1)),OFFSET(N$15,0,0,1,-OFFSET(Assumptions!$B$82,0,$C$1)))/OFFSET(Assumptions!$B$82,0,$C$1)-N$442/N$13,(N$442/N$13-M$442/M$13)/N$2),0))*O$13</f>
        <v>0.36621165811403034</v>
      </c>
      <c r="P442" s="7">
        <f ca="1">(O$442/O$13+ IF(P$2&gt;0,P$2*IF(P$6=OFFSET(Assumptions!$B$8,0,$C$1),SUMPRODUCT(OFFSET(O$442,0,0,1,-OFFSET(Assumptions!$B$82,0,$C$1)),OFFSET(O$15,0,0,1,-OFFSET(Assumptions!$B$82,0,$C$1)))/OFFSET(Assumptions!$B$82,0,$C$1)-O$442/O$13,(O$442/O$13-N$442/N$13)/O$2),0))*P$13</f>
        <v>0.38193094625921936</v>
      </c>
      <c r="Q442" s="7">
        <f ca="1">(P$442/P$13+ IF(Q$2&gt;0,Q$2*IF(Q$6=OFFSET(Assumptions!$B$8,0,$C$1),SUMPRODUCT(OFFSET(P$442,0,0,1,-OFFSET(Assumptions!$B$82,0,$C$1)),OFFSET(P$15,0,0,1,-OFFSET(Assumptions!$B$82,0,$C$1)))/OFFSET(Assumptions!$B$82,0,$C$1)-P$442/P$13,(P$442/P$13-O$442/O$13)/P$2),0))*Q$13</f>
        <v>0.39817409488473721</v>
      </c>
      <c r="R442" s="7">
        <f ca="1">(Q$442/Q$13+ IF(R$2&gt;0,R$2*IF(R$6=OFFSET(Assumptions!$B$8,0,$C$1),SUMPRODUCT(OFFSET(Q$442,0,0,1,-OFFSET(Assumptions!$B$82,0,$C$1)),OFFSET(Q$15,0,0,1,-OFFSET(Assumptions!$B$82,0,$C$1)))/OFFSET(Assumptions!$B$82,0,$C$1)-Q$442/Q$13,(Q$442/Q$13-P$442/P$13)/Q$2),0))*R$13</f>
        <v>0.4149229914780852</v>
      </c>
      <c r="S442" s="7">
        <f ca="1">(R$442/R$13+ IF(S$2&gt;0,S$2*IF(S$6=OFFSET(Assumptions!$B$8,0,$C$1),SUMPRODUCT(OFFSET(R$442,0,0,1,-OFFSET(Assumptions!$B$82,0,$C$1)),OFFSET(R$15,0,0,1,-OFFSET(Assumptions!$B$82,0,$C$1)))/OFFSET(Assumptions!$B$82,0,$C$1)-R$442/R$13,(R$442/R$13-Q$442/Q$13)/R$2),0))*S$13</f>
        <v>0.43225366339490845</v>
      </c>
      <c r="T442" s="7">
        <f ca="1">(S$442/S$13+ IF(T$2&gt;0,T$2*IF(T$6=OFFSET(Assumptions!$B$8,0,$C$1),SUMPRODUCT(OFFSET(S$442,0,0,1,-OFFSET(Assumptions!$B$82,0,$C$1)),OFFSET(S$15,0,0,1,-OFFSET(Assumptions!$B$82,0,$C$1)))/OFFSET(Assumptions!$B$82,0,$C$1)-S$442/S$13,(S$442/S$13-R$442/R$13)/S$2),0))*T$13</f>
        <v>0.45013919662979296</v>
      </c>
    </row>
    <row r="443" spans="1:20" ht="15" x14ac:dyDescent="0.25">
      <c r="A443" s="2" t="s">
        <v>652</v>
      </c>
      <c r="B443" s="4"/>
      <c r="D443" s="35">
        <f t="shared" ref="D443:T443" si="181">SUM(D$440:D$442)</f>
        <v>36.431000000000004</v>
      </c>
      <c r="E443" s="35">
        <f t="shared" si="181"/>
        <v>42.126000000000005</v>
      </c>
      <c r="F443" s="34">
        <f t="shared" si="181"/>
        <v>42.881</v>
      </c>
      <c r="G443" s="34">
        <f t="shared" si="181"/>
        <v>42.756000000000007</v>
      </c>
      <c r="H443" s="34">
        <f t="shared" si="181"/>
        <v>43.811</v>
      </c>
      <c r="I443" s="34">
        <f t="shared" si="181"/>
        <v>45.591000000000001</v>
      </c>
      <c r="J443" s="34">
        <f t="shared" si="181"/>
        <v>47.574000000000005</v>
      </c>
      <c r="K443" s="38">
        <f t="shared" ca="1" si="181"/>
        <v>49.60127304267516</v>
      </c>
      <c r="L443" s="38">
        <f t="shared" ca="1" si="181"/>
        <v>51.720716101924772</v>
      </c>
      <c r="M443" s="38">
        <f t="shared" ca="1" si="181"/>
        <v>53.917143304938236</v>
      </c>
      <c r="N443" s="38">
        <f t="shared" ca="1" si="181"/>
        <v>56.228308383002705</v>
      </c>
      <c r="O443" s="38">
        <f t="shared" ca="1" si="181"/>
        <v>58.549464269161625</v>
      </c>
      <c r="P443" s="38">
        <f t="shared" ca="1" si="181"/>
        <v>60.948396990113416</v>
      </c>
      <c r="Q443" s="38">
        <f t="shared" ca="1" si="181"/>
        <v>63.406212201436936</v>
      </c>
      <c r="R443" s="38">
        <f t="shared" ca="1" si="181"/>
        <v>65.928515261144895</v>
      </c>
      <c r="S443" s="38">
        <f t="shared" ca="1" si="181"/>
        <v>68.542965880087095</v>
      </c>
      <c r="T443" s="38">
        <f t="shared" ca="1" si="181"/>
        <v>71.253890627582351</v>
      </c>
    </row>
    <row r="444" spans="1:20" ht="15" x14ac:dyDescent="0.25">
      <c r="A444" s="2"/>
      <c r="B444" s="4"/>
      <c r="D444" s="47"/>
      <c r="E444" s="47"/>
      <c r="F444" s="48"/>
      <c r="G444" s="48"/>
      <c r="H444" s="48"/>
      <c r="I444" s="48"/>
      <c r="J444" s="48"/>
      <c r="K444" s="49"/>
      <c r="L444" s="49"/>
      <c r="M444" s="49"/>
      <c r="N444" s="49"/>
      <c r="O444" s="49"/>
      <c r="P444" s="49"/>
      <c r="Q444" s="49"/>
      <c r="R444" s="49"/>
      <c r="S444" s="49"/>
      <c r="T444" s="49"/>
    </row>
    <row r="445" spans="1:20" ht="15" x14ac:dyDescent="0.25">
      <c r="A445" s="19" t="s">
        <v>654</v>
      </c>
      <c r="B445" s="4"/>
      <c r="D445" s="47"/>
      <c r="E445" s="47"/>
      <c r="F445" s="48"/>
      <c r="G445" s="48"/>
      <c r="H445" s="48"/>
      <c r="I445" s="48"/>
      <c r="J445" s="48"/>
      <c r="K445" s="49"/>
      <c r="L445" s="49"/>
      <c r="M445" s="49"/>
      <c r="N445" s="49"/>
      <c r="O445" s="49"/>
      <c r="P445" s="49"/>
      <c r="Q445" s="49"/>
      <c r="R445" s="49"/>
      <c r="S445" s="49"/>
      <c r="T445" s="49"/>
    </row>
    <row r="446" spans="1:20" ht="15" x14ac:dyDescent="0.25">
      <c r="A446" s="2" t="s">
        <v>655</v>
      </c>
      <c r="B446" s="4" t="str">
        <f>$B$38</f>
        <v>From Fiscal</v>
      </c>
      <c r="D446" s="15">
        <f>'Fiscal Forecasts'!D$183</f>
        <v>10.843999999999999</v>
      </c>
      <c r="E446" s="15">
        <f>'Fiscal Forecasts'!E$183</f>
        <v>12.443</v>
      </c>
      <c r="F446" s="16">
        <f>'Fiscal Forecasts'!F$183</f>
        <v>11.006</v>
      </c>
      <c r="G446" s="16">
        <f>'Fiscal Forecasts'!G$183</f>
        <v>10.416</v>
      </c>
      <c r="H446" s="16">
        <f>'Fiscal Forecasts'!H$183</f>
        <v>9.8689999999999998</v>
      </c>
      <c r="I446" s="16">
        <f>'Fiscal Forecasts'!I$183</f>
        <v>9.3390000000000004</v>
      </c>
      <c r="J446" s="16">
        <f>'Fiscal Forecasts'!J$183</f>
        <v>8.8179999999999996</v>
      </c>
      <c r="K446" s="7">
        <f>J$446*(Exogenous!R$34-Exogenous!R$33)/(Exogenous!Q$34-Exogenous!Q$33)</f>
        <v>8.5330842036553527</v>
      </c>
      <c r="L446" s="7">
        <f>K$446*(Exogenous!S$34-Exogenous!S$33)/(Exogenous!R$34-Exogenous!R$33)</f>
        <v>8.2414532201914721</v>
      </c>
      <c r="M446" s="7">
        <f>L$446*(Exogenous!T$34-Exogenous!T$33)/(Exogenous!S$34-Exogenous!S$33)</f>
        <v>7.9536594865100074</v>
      </c>
      <c r="N446" s="7">
        <f>M$446*(Exogenous!U$34-Exogenous!U$33)/(Exogenous!T$34-Exogenous!T$33)</f>
        <v>7.670662315056572</v>
      </c>
      <c r="O446" s="7">
        <f>N$446*(Exogenous!V$34-Exogenous!V$33)/(Exogenous!U$34-Exogenous!U$33)</f>
        <v>7.3962989556135783</v>
      </c>
      <c r="P446" s="7">
        <f>O$446*(Exogenous!W$34-Exogenous!W$33)/(Exogenous!V$34-Exogenous!V$33)</f>
        <v>7.1276914708442121</v>
      </c>
      <c r="Q446" s="7">
        <f>P$446*(Exogenous!X$34-Exogenous!X$33)/(Exogenous!W$34-Exogenous!W$33)</f>
        <v>6.8619619234116636</v>
      </c>
      <c r="R446" s="7">
        <f>Q$446*(Exogenous!Y$34-Exogenous!Y$33)/(Exogenous!X$34-Exogenous!X$33)</f>
        <v>6.5895171888598787</v>
      </c>
      <c r="S446" s="7">
        <f>R$446*(Exogenous!Z$34-Exogenous!Z$33)/(Exogenous!Y$34-Exogenous!Y$33)</f>
        <v>6.3122758920800717</v>
      </c>
      <c r="T446" s="7">
        <f>S$446*(Exogenous!AA$34-Exogenous!AA$33)/(Exogenous!Z$34-Exogenous!Z$33)</f>
        <v>6.0292787206266327</v>
      </c>
    </row>
    <row r="447" spans="1:20" x14ac:dyDescent="0.2">
      <c r="A447" s="1" t="s">
        <v>656</v>
      </c>
      <c r="B447" s="4" t="str">
        <f>$B$38</f>
        <v>From Fiscal</v>
      </c>
      <c r="D447" s="15">
        <f>'Fiscal Forecasts'!D$133-D$446</f>
        <v>-9.9999999999997868E-3</v>
      </c>
      <c r="E447" s="15">
        <f>'Fiscal Forecasts'!E$133-E$446</f>
        <v>-9.9999999999944578E-4</v>
      </c>
      <c r="F447" s="16">
        <f>'Fiscal Forecasts'!F$133-F$446</f>
        <v>-9.9999999999944578E-4</v>
      </c>
      <c r="G447" s="16">
        <f>'Fiscal Forecasts'!G$133-G$446</f>
        <v>-1.0000000000012221E-3</v>
      </c>
      <c r="H447" s="16">
        <f>'Fiscal Forecasts'!H$133-H$446</f>
        <v>-9.9999999999944578E-4</v>
      </c>
      <c r="I447" s="16">
        <f>'Fiscal Forecasts'!I$133-I$446</f>
        <v>-1.0000000000012221E-3</v>
      </c>
      <c r="J447" s="16">
        <f>'Fiscal Forecasts'!J$133-J$446</f>
        <v>-9.9999999999944578E-4</v>
      </c>
      <c r="K447" s="7">
        <f ca="1">IF(K$6=OFFSET(Assumptions!$B$8,0,$C$1),AVERAGE(H$447/H$446,I$447/I$446,J$447/J$446),J$447/J$446)*K$446</f>
        <v>-9.153429028485111E-4</v>
      </c>
      <c r="L447" s="7">
        <f ca="1">IF(L$6=OFFSET(Assumptions!$B$8,0,$C$1),AVERAGE(I$447/I$446,J$447/J$446,K$447/K$446),K$447/K$446)*L$446</f>
        <v>-8.840596827848859E-4</v>
      </c>
      <c r="M447" s="7">
        <f ca="1">IF(M$6=OFFSET(Assumptions!$B$8,0,$C$1),AVERAGE(J$447/J$446,K$447/K$446,L$447/L$446),L$447/L$446)*M$446</f>
        <v>-8.5318808403788684E-4</v>
      </c>
      <c r="N447" s="7">
        <f ca="1">IF(N$6=OFFSET(Assumptions!$B$8,0,$C$1),AVERAGE(K$447/K$446,L$447/L$446,M$447/M$446),M$447/M$446)*N$446</f>
        <v>-8.2283101193667181E-4</v>
      </c>
      <c r="O447" s="7">
        <f ca="1">IF(O$6=OFFSET(Assumptions!$B$8,0,$C$1),AVERAGE(L$447/L$446,M$447/M$446,N$447/N$446),N$447/N$446)*O$446</f>
        <v>-7.934000877978664E-4</v>
      </c>
      <c r="P447" s="7">
        <f ca="1">IF(P$6=OFFSET(Assumptions!$B$8,0,$C$1),AVERAGE(M$447/M$446,N$447/N$446,O$447/O$446),O$447/O$446)*P$446</f>
        <v>-7.6458659563400071E-4</v>
      </c>
      <c r="Q447" s="7">
        <f ca="1">IF(Q$6=OFFSET(Assumptions!$B$8,0,$C$1),AVERAGE(N$447/N$446,O$447/O$446,P$447/P$446),P$447/P$446)*Q$446</f>
        <v>-7.3608181945760537E-4</v>
      </c>
      <c r="R447" s="7">
        <f ca="1">IF(R$6=OFFSET(Assumptions!$B$8,0,$C$1),AVERAGE(O$447/O$446,P$447/P$446,Q$447/Q$446),Q$447/Q$446)*R$446</f>
        <v>-7.068567059771132E-4</v>
      </c>
      <c r="S447" s="7">
        <f ca="1">IF(S$6=OFFSET(Assumptions!$B$8,0,$C$1),AVERAGE(P$447/P$446,Q$447/Q$446,R$447/R$446),R$447/R$446)*S$446</f>
        <v>-6.77117065850838E-4</v>
      </c>
      <c r="T447" s="7">
        <f ca="1">IF(T$6=OFFSET(Assumptions!$B$8,0,$C$1),AVERAGE(Q$447/Q$446,R$447/R$446,S$447/S$446),S$447/S$446)*T$446</f>
        <v>-6.4675999374962253E-4</v>
      </c>
    </row>
    <row r="448" spans="1:20" ht="15" x14ac:dyDescent="0.25">
      <c r="A448" s="2" t="s">
        <v>657</v>
      </c>
      <c r="B448" s="4"/>
      <c r="D448" s="35">
        <f t="shared" ref="D448:T448" si="182">SUM(D$446:D$447)</f>
        <v>10.834</v>
      </c>
      <c r="E448" s="35">
        <f t="shared" si="182"/>
        <v>12.442</v>
      </c>
      <c r="F448" s="34">
        <f t="shared" si="182"/>
        <v>11.005000000000001</v>
      </c>
      <c r="G448" s="34">
        <f t="shared" si="182"/>
        <v>10.414999999999999</v>
      </c>
      <c r="H448" s="34">
        <f t="shared" si="182"/>
        <v>9.8680000000000003</v>
      </c>
      <c r="I448" s="34">
        <f t="shared" si="182"/>
        <v>9.3379999999999992</v>
      </c>
      <c r="J448" s="34">
        <f t="shared" si="182"/>
        <v>8.8170000000000002</v>
      </c>
      <c r="K448" s="38">
        <f t="shared" ca="1" si="182"/>
        <v>8.5321688607525044</v>
      </c>
      <c r="L448" s="38">
        <f t="shared" ca="1" si="182"/>
        <v>8.2405691605086879</v>
      </c>
      <c r="M448" s="38">
        <f t="shared" ca="1" si="182"/>
        <v>7.95280629842597</v>
      </c>
      <c r="N448" s="38">
        <f t="shared" ca="1" si="182"/>
        <v>7.6698394840446351</v>
      </c>
      <c r="O448" s="38">
        <f t="shared" ca="1" si="182"/>
        <v>7.39550555552578</v>
      </c>
      <c r="P448" s="38">
        <f t="shared" ca="1" si="182"/>
        <v>7.1269268842485785</v>
      </c>
      <c r="Q448" s="38">
        <f t="shared" ca="1" si="182"/>
        <v>6.8612258415922058</v>
      </c>
      <c r="R448" s="38">
        <f t="shared" ca="1" si="182"/>
        <v>6.5888103321539013</v>
      </c>
      <c r="S448" s="38">
        <f t="shared" ca="1" si="182"/>
        <v>6.3115987750142208</v>
      </c>
      <c r="T448" s="38">
        <f t="shared" ca="1" si="182"/>
        <v>6.0286319606328833</v>
      </c>
    </row>
    <row r="449" spans="1:21" ht="15" x14ac:dyDescent="0.25">
      <c r="A449" s="2"/>
      <c r="B449" s="4"/>
      <c r="D449" s="47"/>
      <c r="E449" s="47"/>
      <c r="F449" s="48"/>
      <c r="G449" s="48"/>
      <c r="H449" s="48"/>
      <c r="I449" s="48"/>
      <c r="J449" s="48"/>
      <c r="K449" s="49"/>
      <c r="L449" s="49"/>
      <c r="M449" s="49"/>
      <c r="N449" s="49"/>
      <c r="O449" s="49"/>
      <c r="P449" s="49"/>
      <c r="Q449" s="49"/>
      <c r="R449" s="49"/>
      <c r="S449" s="49"/>
      <c r="T449" s="49"/>
    </row>
    <row r="450" spans="1:21" x14ac:dyDescent="0.2">
      <c r="A450" s="19" t="s">
        <v>238</v>
      </c>
      <c r="B450" s="4"/>
      <c r="U450" s="7"/>
    </row>
    <row r="451" spans="1:21" ht="15" x14ac:dyDescent="0.25">
      <c r="A451" s="2" t="s">
        <v>658</v>
      </c>
      <c r="B451" s="4" t="str">
        <f>$B$38</f>
        <v>From Fiscal</v>
      </c>
      <c r="D451" s="47">
        <f>'Fiscal Forecasts'!D$184</f>
        <v>4.8550000000000004</v>
      </c>
      <c r="E451" s="47">
        <f>'Fiscal Forecasts'!E$184</f>
        <v>6.633</v>
      </c>
      <c r="F451" s="39">
        <f>'Fiscal Forecasts'!F$184</f>
        <v>6.0259999999999998</v>
      </c>
      <c r="G451" s="39">
        <f>'Fiscal Forecasts'!G$184</f>
        <v>5.7530000000000001</v>
      </c>
      <c r="H451" s="39">
        <f>'Fiscal Forecasts'!H$184</f>
        <v>5.1580000000000004</v>
      </c>
      <c r="I451" s="39">
        <f>'Fiscal Forecasts'!I$184</f>
        <v>4.657</v>
      </c>
      <c r="J451" s="39">
        <f>'Fiscal Forecasts'!J$184</f>
        <v>4.54</v>
      </c>
      <c r="K451" s="8">
        <f ca="1">(J$451/J$13+ IF(K$2&gt;0,K$2*IF(K$6=OFFSET(Assumptions!$B$8,0,$C$1),SUMPRODUCT(OFFSET(J$451,0,0,1,-OFFSET(Assumptions!$B$82,0,$C$1)),OFFSET(J$15,0,0,1,-OFFSET(Assumptions!$B$82,0,$C$1)))/OFFSET(Assumptions!$B$82,0,$C$1)-J$451/J$13,(J$451/J$13-I$451/I$13)/J$2),0))*K$13</f>
        <v>4.8954719451220541</v>
      </c>
      <c r="L451" s="8">
        <f ca="1">(K$451/K$13+ IF(L$2&gt;0,L$2*IF(L$6=OFFSET(Assumptions!$B$8,0,$C$1),SUMPRODUCT(OFFSET(K$451,0,0,1,-OFFSET(Assumptions!$B$82,0,$C$1)),OFFSET(K$15,0,0,1,-OFFSET(Assumptions!$B$82,0,$C$1)))/OFFSET(Assumptions!$B$82,0,$C$1)-K$451/K$13,(K$451/K$13-J$451/J$13)/K$2),0))*L$13</f>
        <v>5.2447221035532774</v>
      </c>
      <c r="M451" s="8">
        <f ca="1">(L$451/L$13+ IF(M$2&gt;0,M$2*IF(M$6=OFFSET(Assumptions!$B$8,0,$C$1),SUMPRODUCT(OFFSET(L$451,0,0,1,-OFFSET(Assumptions!$B$82,0,$C$1)),OFFSET(L$15,0,0,1,-OFFSET(Assumptions!$B$82,0,$C$1)))/OFFSET(Assumptions!$B$82,0,$C$1)-L$451/L$13,(L$451/L$13-K$451/K$13)/L$2),0))*M$13</f>
        <v>5.5791743530438209</v>
      </c>
      <c r="N451" s="8">
        <f ca="1">(M$451/M$13+ IF(N$2&gt;0,N$2*IF(N$6=OFFSET(Assumptions!$B$8,0,$C$1),SUMPRODUCT(OFFSET(M$451,0,0,1,-OFFSET(Assumptions!$B$82,0,$C$1)),OFFSET(M$15,0,0,1,-OFFSET(Assumptions!$B$82,0,$C$1)))/OFFSET(Assumptions!$B$82,0,$C$1)-M$451/M$13,(M$451/M$13-L$451/L$13)/M$2),0))*N$13</f>
        <v>5.8959552179776358</v>
      </c>
      <c r="O451" s="8">
        <f ca="1">(N$451/N$13+ IF(O$2&gt;0,O$2*IF(O$6=OFFSET(Assumptions!$B$8,0,$C$1),SUMPRODUCT(OFFSET(N$451,0,0,1,-OFFSET(Assumptions!$B$82,0,$C$1)),OFFSET(N$15,0,0,1,-OFFSET(Assumptions!$B$82,0,$C$1)))/OFFSET(Assumptions!$B$82,0,$C$1)-N$451/N$13,(N$451/N$13-M$451/M$13)/N$2),0))*O$13</f>
        <v>6.1889644707823583</v>
      </c>
      <c r="P451" s="8">
        <f ca="1">(O$451/O$13+ IF(P$2&gt;0,P$2*IF(P$6=OFFSET(Assumptions!$B$8,0,$C$1),SUMPRODUCT(OFFSET(O$451,0,0,1,-OFFSET(Assumptions!$B$82,0,$C$1)),OFFSET(O$15,0,0,1,-OFFSET(Assumptions!$B$82,0,$C$1)))/OFFSET(Assumptions!$B$82,0,$C$1)-O$451/O$13,(O$451/O$13-N$451/N$13)/O$2),0))*P$13</f>
        <v>6.4546199016814816</v>
      </c>
      <c r="Q451" s="8">
        <f ca="1">(P$451/P$13+ IF(Q$2&gt;0,Q$2*IF(Q$6=OFFSET(Assumptions!$B$8,0,$C$1),SUMPRODUCT(OFFSET(P$451,0,0,1,-OFFSET(Assumptions!$B$82,0,$C$1)),OFFSET(P$15,0,0,1,-OFFSET(Assumptions!$B$82,0,$C$1)))/OFFSET(Assumptions!$B$82,0,$C$1)-P$451/P$13,(P$451/P$13-O$451/O$13)/P$2),0))*Q$13</f>
        <v>6.7291285567436443</v>
      </c>
      <c r="R451" s="8">
        <f ca="1">(Q$451/Q$13+ IF(R$2&gt;0,R$2*IF(R$6=OFFSET(Assumptions!$B$8,0,$C$1),SUMPRODUCT(OFFSET(Q$451,0,0,1,-OFFSET(Assumptions!$B$82,0,$C$1)),OFFSET(Q$15,0,0,1,-OFFSET(Assumptions!$B$82,0,$C$1)))/OFFSET(Assumptions!$B$82,0,$C$1)-Q$451/Q$13,(Q$451/Q$13-P$451/P$13)/Q$2),0))*R$13</f>
        <v>7.0121843351283992</v>
      </c>
      <c r="S451" s="8">
        <f ca="1">(R$451/R$13+ IF(S$2&gt;0,S$2*IF(S$6=OFFSET(Assumptions!$B$8,0,$C$1),SUMPRODUCT(OFFSET(R$451,0,0,1,-OFFSET(Assumptions!$B$82,0,$C$1)),OFFSET(R$15,0,0,1,-OFFSET(Assumptions!$B$82,0,$C$1)))/OFFSET(Assumptions!$B$82,0,$C$1)-R$451/R$13,(R$451/R$13-Q$451/Q$13)/R$2),0))*S$13</f>
        <v>7.3050720965404254</v>
      </c>
      <c r="T451" s="8">
        <f ca="1">(S$451/S$13+ IF(T$2&gt;0,T$2*IF(T$6=OFFSET(Assumptions!$B$8,0,$C$1),SUMPRODUCT(OFFSET(S$451,0,0,1,-OFFSET(Assumptions!$B$82,0,$C$1)),OFFSET(S$15,0,0,1,-OFFSET(Assumptions!$B$82,0,$C$1)))/OFFSET(Assumptions!$B$82,0,$C$1)-S$451/S$13,(S$451/S$13-R$451/R$13)/S$2),0))*T$13</f>
        <v>7.6073369952106624</v>
      </c>
    </row>
    <row r="452" spans="1:21" ht="15" x14ac:dyDescent="0.25">
      <c r="A452" s="2" t="s">
        <v>659</v>
      </c>
      <c r="B452" s="4" t="str">
        <f>$B$38</f>
        <v>From Fiscal</v>
      </c>
      <c r="D452" s="47">
        <f>'Fiscal Forecasts'!D$134</f>
        <v>7.2210000000000001</v>
      </c>
      <c r="E452" s="47">
        <f>'Fiscal Forecasts'!E$134</f>
        <v>8.7119999999999997</v>
      </c>
      <c r="F452" s="39">
        <f>'Fiscal Forecasts'!F$134</f>
        <v>8.2629999999999999</v>
      </c>
      <c r="G452" s="39">
        <f>'Fiscal Forecasts'!G$134</f>
        <v>8.1289999999999996</v>
      </c>
      <c r="H452" s="39">
        <f>'Fiscal Forecasts'!H$134</f>
        <v>7.7460000000000004</v>
      </c>
      <c r="I452" s="39">
        <f>'Fiscal Forecasts'!I$134</f>
        <v>7.3049999999999997</v>
      </c>
      <c r="J452" s="39">
        <f>'Fiscal Forecasts'!J$134</f>
        <v>6.9859999999999998</v>
      </c>
      <c r="K452" s="8">
        <f ca="1">SUM(K$451,((J$452-J$451)/J$13+ IF(K$2&gt;0,K$2*IF(K$6=OFFSET(Assumptions!$B$8,0,$C$1),(SUMPRODUCT(OFFSET(J$452,0,0,1,-OFFSET(Assumptions!$B$82,0,$C$1)),OFFSET(J$15,0,0,1,-OFFSET(Assumptions!$B$82,0,$C$1)))-SUMPRODUCT(OFFSET(J$451,0,0,1,-OFFSET(Assumptions!$B$82,0,$C$1)),OFFSET(J$15,0,0,1,-OFFSET(Assumptions!$B$82,0,$C$1))))/OFFSET(Assumptions!$B$82,0,$C$1)-(J$452-J$451)/J$13,((J$452-J$451)/J$13-(I$452-I$451)/I$13)/J$2),0))*K$13)</f>
        <v>7.5256306313243329</v>
      </c>
      <c r="L452" s="8">
        <f ca="1">((K$452-K$451)/K$13+ IF(L$2&gt;0,L$2*IF(L$6=OFFSET(Assumptions!$B$8,0,$C$1),(SUMPRODUCT(OFFSET(K$452,0,0,1,-OFFSET(Assumptions!$B$82,0,$C$1)),OFFSET(K$15,0,0,1,-OFFSET(Assumptions!$B$82,0,$C$1)))-SUMPRODUCT(OFFSET(K$451,0,0,1,-OFFSET(Assumptions!$B$82,0,$C$1)),OFFSET(K$15,0,0,1,-OFFSET(Assumptions!$B$82,0,$C$1))))/OFFSET(Assumptions!$B$82,0,$C$1)-(K$452-K$451)/K$13,((K$452-K$451)/K$13-(J$452-J$451)/J$13)/K$2),0))*L$13 +L$451</f>
        <v>8.0565778716084306</v>
      </c>
      <c r="M452" s="8">
        <f ca="1">((L$452-L$451)/L$13+ IF(M$2&gt;0,M$2*IF(M$6=OFFSET(Assumptions!$B$8,0,$C$1),(SUMPRODUCT(OFFSET(L$452,0,0,1,-OFFSET(Assumptions!$B$82,0,$C$1)),OFFSET(L$15,0,0,1,-OFFSET(Assumptions!$B$82,0,$C$1)))-SUMPRODUCT(OFFSET(L$451,0,0,1,-OFFSET(Assumptions!$B$82,0,$C$1)),OFFSET(L$15,0,0,1,-OFFSET(Assumptions!$B$82,0,$C$1))))/OFFSET(Assumptions!$B$82,0,$C$1)-(L$452-L$451)/L$13,((L$452-L$451)/L$13-(K$452-K$451)/K$13)/L$2),0))*M$13 +M$451</f>
        <v>8.5658079657210564</v>
      </c>
      <c r="N452" s="8">
        <f ca="1">((M$452-M$451)/M$13+ IF(N$2&gt;0,N$2*IF(N$6=OFFSET(Assumptions!$B$8,0,$C$1),(SUMPRODUCT(OFFSET(M$452,0,0,1,-OFFSET(Assumptions!$B$82,0,$C$1)),OFFSET(M$15,0,0,1,-OFFSET(Assumptions!$B$82,0,$C$1)))-SUMPRODUCT(OFFSET(M$451,0,0,1,-OFFSET(Assumptions!$B$82,0,$C$1)),OFFSET(M$15,0,0,1,-OFFSET(Assumptions!$B$82,0,$C$1))))/OFFSET(Assumptions!$B$82,0,$C$1)-(M$452-M$451)/M$13,((M$452-M$451)/M$13-(L$452-L$451)/L$13)/M$2),0))*N$13 +N$451</f>
        <v>9.0490735094190118</v>
      </c>
      <c r="O452" s="8">
        <f ca="1">((N$452-N$451)/N$13+ IF(O$2&gt;0,O$2*IF(O$6=OFFSET(Assumptions!$B$8,0,$C$1),(SUMPRODUCT(OFFSET(N$452,0,0,1,-OFFSET(Assumptions!$B$82,0,$C$1)),OFFSET(N$15,0,0,1,-OFFSET(Assumptions!$B$82,0,$C$1)))-SUMPRODUCT(OFFSET(N$451,0,0,1,-OFFSET(Assumptions!$B$82,0,$C$1)),OFFSET(N$15,0,0,1,-OFFSET(Assumptions!$B$82,0,$C$1))))/OFFSET(Assumptions!$B$82,0,$C$1)-(N$452-N$451)/N$13,((N$452-N$451)/N$13-(M$452-M$451)/M$13)/N$2),0))*O$13 +O$451</f>
        <v>9.4971884418774746</v>
      </c>
      <c r="P452" s="8">
        <f ca="1">((O$452-O$451)/O$13+ IF(P$2&gt;0,P$2*IF(P$6=OFFSET(Assumptions!$B$8,0,$C$1),(SUMPRODUCT(OFFSET(O$452,0,0,1,-OFFSET(Assumptions!$B$82,0,$C$1)),OFFSET(O$15,0,0,1,-OFFSET(Assumptions!$B$82,0,$C$1)))-SUMPRODUCT(OFFSET(O$451,0,0,1,-OFFSET(Assumptions!$B$82,0,$C$1)),OFFSET(O$15,0,0,1,-OFFSET(Assumptions!$B$82,0,$C$1))))/OFFSET(Assumptions!$B$82,0,$C$1)-(O$452-O$451)/O$13,((O$452-O$451)/O$13-(N$452-N$451)/N$13)/O$2),0))*P$13 +P$451</f>
        <v>9.9048462495394727</v>
      </c>
      <c r="Q452" s="8">
        <f ca="1">((P$452-P$451)/P$13+ IF(Q$2&gt;0,Q$2*IF(Q$6=OFFSET(Assumptions!$B$8,0,$C$1),(SUMPRODUCT(OFFSET(P$452,0,0,1,-OFFSET(Assumptions!$B$82,0,$C$1)),OFFSET(P$15,0,0,1,-OFFSET(Assumptions!$B$82,0,$C$1)))-SUMPRODUCT(OFFSET(P$451,0,0,1,-OFFSET(Assumptions!$B$82,0,$C$1)),OFFSET(P$15,0,0,1,-OFFSET(Assumptions!$B$82,0,$C$1))))/OFFSET(Assumptions!$B$82,0,$C$1)-(P$452-P$451)/P$13,((P$452-P$451)/P$13-(O$452-O$451)/O$13)/P$2),0))*Q$13 +Q$451</f>
        <v>10.326089647907558</v>
      </c>
      <c r="R452" s="8">
        <f ca="1">((Q$452-Q$451)/Q$13+ IF(R$2&gt;0,R$2*IF(R$6=OFFSET(Assumptions!$B$8,0,$C$1),(SUMPRODUCT(OFFSET(Q$452,0,0,1,-OFFSET(Assumptions!$B$82,0,$C$1)),OFFSET(Q$15,0,0,1,-OFFSET(Assumptions!$B$82,0,$C$1)))-SUMPRODUCT(OFFSET(Q$451,0,0,1,-OFFSET(Assumptions!$B$82,0,$C$1)),OFFSET(Q$15,0,0,1,-OFFSET(Assumptions!$B$82,0,$C$1))))/OFFSET(Assumptions!$B$82,0,$C$1)-(Q$452-Q$451)/Q$13,((Q$452-Q$451)/Q$13-(P$452-P$451)/P$13)/Q$2),0))*R$13 +R$451</f>
        <v>10.760448914239314</v>
      </c>
      <c r="S452" s="8">
        <f ca="1">((R$452-R$451)/R$13+ IF(S$2&gt;0,S$2*IF(S$6=OFFSET(Assumptions!$B$8,0,$C$1),(SUMPRODUCT(OFFSET(R$452,0,0,1,-OFFSET(Assumptions!$B$82,0,$C$1)),OFFSET(R$15,0,0,1,-OFFSET(Assumptions!$B$82,0,$C$1)))-SUMPRODUCT(OFFSET(R$451,0,0,1,-OFFSET(Assumptions!$B$82,0,$C$1)),OFFSET(R$15,0,0,1,-OFFSET(Assumptions!$B$82,0,$C$1))))/OFFSET(Assumptions!$B$82,0,$C$1)-(R$452-R$451)/R$13,((R$452-R$451)/R$13-(Q$452-Q$451)/Q$13)/R$2),0))*S$13 +S$451</f>
        <v>11.209895711935671</v>
      </c>
      <c r="T452" s="8">
        <f ca="1">((S$452-S$451)/S$13+ IF(T$2&gt;0,T$2*IF(T$6=OFFSET(Assumptions!$B$8,0,$C$1),(SUMPRODUCT(OFFSET(S$452,0,0,1,-OFFSET(Assumptions!$B$82,0,$C$1)),OFFSET(S$15,0,0,1,-OFFSET(Assumptions!$B$82,0,$C$1)))-SUMPRODUCT(OFFSET(S$451,0,0,1,-OFFSET(Assumptions!$B$82,0,$C$1)),OFFSET(S$15,0,0,1,-OFFSET(Assumptions!$B$82,0,$C$1))))/OFFSET(Assumptions!$B$82,0,$C$1)-(S$452-S$451)/S$13,((S$452-S$451)/S$13-(R$452-R$451)/R$13)/S$2),0))*T$13 +T$451</f>
        <v>11.67373206381464</v>
      </c>
    </row>
    <row r="454" spans="1:21" x14ac:dyDescent="0.2">
      <c r="A454" s="19" t="s">
        <v>586</v>
      </c>
      <c r="K454" s="7"/>
    </row>
    <row r="455" spans="1:21" x14ac:dyDescent="0.2">
      <c r="A455" s="1" t="s">
        <v>397</v>
      </c>
      <c r="B455" s="4" t="str">
        <f t="shared" ref="B455:B460" si="183">$B$38</f>
        <v>From Fiscal</v>
      </c>
      <c r="D455" s="15">
        <f>'Fiscal Forecasts'!D$357</f>
        <v>66.347999999999999</v>
      </c>
      <c r="E455" s="15">
        <f>'Fiscal Forecasts'!E$357</f>
        <v>69.75</v>
      </c>
      <c r="F455" s="16">
        <f>'Fiscal Forecasts'!F$357 +IF($C$2="Yes",SUM('Fiscal Forecast Adjuster'!C$8:C$12)/1000,0)</f>
        <v>74.751000000000005</v>
      </c>
      <c r="G455" s="16">
        <f>'Fiscal Forecasts'!G$357 +IF($C$2="Yes",SUM('Fiscal Forecast Adjuster'!D$8:D$12)/1000,0)</f>
        <v>77.935000000000002</v>
      </c>
      <c r="H455" s="16">
        <f>'Fiscal Forecasts'!H$357 +IF($C$2="Yes",SUM('Fiscal Forecast Adjuster'!E$8:E$12)/1000,0)</f>
        <v>81.016999999999996</v>
      </c>
      <c r="I455" s="16">
        <f>'Fiscal Forecasts'!I$357 +IF($C$2="Yes",SUM('Fiscal Forecast Adjuster'!F$8:F$12)/1000,0)</f>
        <v>85.546999999999997</v>
      </c>
      <c r="J455" s="16">
        <f>'Fiscal Forecasts'!J$357 +IF($C$2="Yes",SUM('Fiscal Forecast Adjuster'!G$8:G$12)/1000,0)</f>
        <v>89.578999999999994</v>
      </c>
      <c r="K455" s="7">
        <f ca="1">SUM(K$348,IF(K$6=OFFSET(Assumptions!$B$8,0,$C$1),AVERAGE((H$455-H$348)/H$131,(I$455-I$348)/I$131,(J$455-J$348)/J$131),(J$455-J$348)/J$131)*K$131)</f>
        <v>93.92650662721168</v>
      </c>
      <c r="L455" s="7">
        <f ca="1">SUM(L$348,IF(L$6=OFFSET(Assumptions!$B$8,0,$C$1),AVERAGE((I$455-I$348)/I$131,(J$455-J$348)/J$131,(K$455-K$348)/K$131),(K$455-K$348)/K$131)*L$131)</f>
        <v>98.692068214141571</v>
      </c>
      <c r="M455" s="7">
        <f ca="1">SUM(M$348,IF(M$6=OFFSET(Assumptions!$B$8,0,$C$1),AVERAGE((J$455-J$348)/J$131,(K$455-K$348)/K$131,(L$455-L$348)/L$131),(L$455-L$348)/L$131)*M$131)</f>
        <v>103.48547840132071</v>
      </c>
      <c r="N455" s="7">
        <f ca="1">SUM(N$348,IF(N$6=OFFSET(Assumptions!$B$8,0,$C$1),AVERAGE((K$455-K$348)/K$131,(L$455-L$348)/L$131,(M$455-M$348)/M$131),(M$455-M$348)/M$131)*N$131)</f>
        <v>108.32685626200136</v>
      </c>
      <c r="O455" s="7">
        <f ca="1">SUM(O$348,IF(O$6=OFFSET(Assumptions!$B$8,0,$C$1),AVERAGE((L$455-L$348)/L$131,(M$455-M$348)/M$131,(N$455-N$348)/N$131),(N$455-N$348)/N$131)*O$131)</f>
        <v>113.27688461388844</v>
      </c>
      <c r="P455" s="7">
        <f ca="1">SUM(P$348,IF(P$6=OFFSET(Assumptions!$B$8,0,$C$1),AVERAGE((M$455-M$348)/M$131,(N$455-N$348)/N$131,(O$455-O$348)/O$131),(O$455-O$348)/O$131)*P$131)</f>
        <v>118.40845005360497</v>
      </c>
      <c r="Q455" s="7">
        <f ca="1">SUM(Q$348,IF(Q$6=OFFSET(Assumptions!$B$8,0,$C$1),AVERAGE((N$455-N$348)/N$131,(O$455-O$348)/O$131,(P$455-P$348)/P$131),(P$455-P$348)/P$131)*Q$131)</f>
        <v>123.69419332019987</v>
      </c>
      <c r="R455" s="7">
        <f ca="1">SUM(R$348,IF(R$6=OFFSET(Assumptions!$B$8,0,$C$1),AVERAGE((O$455-O$348)/O$131,(P$455-P$348)/P$131,(Q$455-Q$348)/Q$131),(Q$455-Q$348)/Q$131)*R$131)</f>
        <v>128.94802175716578</v>
      </c>
      <c r="S455" s="7">
        <f ca="1">SUM(S$348,IF(S$6=OFFSET(Assumptions!$B$8,0,$C$1),AVERAGE((P$455-P$348)/P$131,(Q$455-Q$348)/Q$131,(R$455-R$348)/R$131),(R$455-R$348)/R$131)*S$131)</f>
        <v>134.36095348024367</v>
      </c>
      <c r="T455" s="7">
        <f ca="1">SUM(T$348,IF(T$6=OFFSET(Assumptions!$B$8,0,$C$1),AVERAGE((Q$455-Q$348)/Q$131,(R$455-R$348)/R$131,(S$455-S$348)/S$131),(S$455-S$348)/S$131)*T$131)</f>
        <v>139.9439614806345</v>
      </c>
    </row>
    <row r="456" spans="1:21" x14ac:dyDescent="0.2">
      <c r="A456" s="1" t="s">
        <v>182</v>
      </c>
      <c r="B456" s="4" t="str">
        <f t="shared" si="183"/>
        <v>From Fiscal</v>
      </c>
      <c r="D456" s="15">
        <f>'Fiscal Forecasts'!D$358</f>
        <v>0.88900000000000001</v>
      </c>
      <c r="E456" s="15">
        <f>'Fiscal Forecasts'!E$358</f>
        <v>0.83499999999999996</v>
      </c>
      <c r="F456" s="16">
        <f>'Fiscal Forecasts'!F$358</f>
        <v>0.93700000000000006</v>
      </c>
      <c r="G456" s="16">
        <f>'Fiscal Forecasts'!G$358</f>
        <v>0.89300000000000002</v>
      </c>
      <c r="H456" s="16">
        <f>'Fiscal Forecasts'!H$358</f>
        <v>0.89900000000000002</v>
      </c>
      <c r="I456" s="16">
        <f>'Fiscal Forecasts'!I$358</f>
        <v>0.86599999999999999</v>
      </c>
      <c r="J456" s="16">
        <f>'Fiscal Forecasts'!J$358</f>
        <v>0.86499999999999999</v>
      </c>
      <c r="K456" s="7">
        <f ca="1">IF(K$6=OFFSET(Assumptions!$B$8,0,$C$1),AVERAGE(H$456/H$134,I$456/I$134,J$456/J$134),J$456/J$134)*K$134</f>
        <v>0.95401256125022527</v>
      </c>
      <c r="L456" s="7">
        <f ca="1">IF(L$6=OFFSET(Assumptions!$B$8,0,$C$1),AVERAGE(I$456/I$134,J$456/J$134,K$456/K$134),K$456/K$134)*L$134</f>
        <v>0.99586836505547172</v>
      </c>
      <c r="M456" s="7">
        <f ca="1">IF(M$6=OFFSET(Assumptions!$B$8,0,$C$1),AVERAGE(J$456/J$134,K$456/K$134,L$456/L$134),L$456/L$134)*M$134</f>
        <v>1.03938761029912</v>
      </c>
      <c r="N456" s="7">
        <f ca="1">IF(N$6=OFFSET(Assumptions!$B$8,0,$C$1),AVERAGE(K$456/K$134,L$456/L$134,M$456/M$134),M$456/M$134)*N$134</f>
        <v>1.0847594974598873</v>
      </c>
      <c r="O456" s="7">
        <f ca="1">IF(O$6=OFFSET(Assumptions!$B$8,0,$C$1),AVERAGE(L$456/L$134,M$456/M$134,N$456/N$134),N$456/N$134)*O$134</f>
        <v>1.131640154500013</v>
      </c>
      <c r="P456" s="7">
        <f ca="1">IF(P$6=OFFSET(Assumptions!$B$8,0,$C$1),AVERAGE(M$456/M$134,N$456/N$134,O$456/O$134),O$456/O$134)*P$134</f>
        <v>1.1802147349949708</v>
      </c>
      <c r="Q456" s="7">
        <f ca="1">IF(Q$6=OFFSET(Assumptions!$B$8,0,$C$1),AVERAGE(N$456/N$134,O$456/O$134,P$456/P$134),P$456/P$134)*Q$134</f>
        <v>1.2304081103637694</v>
      </c>
      <c r="R456" s="7">
        <f ca="1">IF(R$6=OFFSET(Assumptions!$B$8,0,$C$1),AVERAGE(O$456/O$134,P$456/P$134,Q$456/Q$134),Q$456/Q$134)*R$134</f>
        <v>1.2821643106611922</v>
      </c>
      <c r="S456" s="7">
        <f ca="1">IF(S$6=OFFSET(Assumptions!$B$8,0,$C$1),AVERAGE(P$456/P$134,Q$456/Q$134,R$456/R$134),R$456/R$134)*S$134</f>
        <v>1.3357182699931918</v>
      </c>
      <c r="T456" s="7">
        <f ca="1">IF(T$6=OFFSET(Assumptions!$B$8,0,$C$1),AVERAGE(Q$456/Q$134,R$456/R$134,S$456/S$134),S$456/S$134)*T$134</f>
        <v>1.3909868206927367</v>
      </c>
    </row>
    <row r="457" spans="1:21" x14ac:dyDescent="0.2">
      <c r="A457" s="1" t="s">
        <v>399</v>
      </c>
      <c r="B457" s="4" t="str">
        <f t="shared" si="183"/>
        <v>From Fiscal</v>
      </c>
      <c r="D457" s="15">
        <f>'Fiscal Forecasts'!D$360</f>
        <v>2.4329999999999998</v>
      </c>
      <c r="E457" s="15">
        <f>'Fiscal Forecasts'!E$360</f>
        <v>2.0259999999999998</v>
      </c>
      <c r="F457" s="16">
        <f>'Fiscal Forecasts'!F$360</f>
        <v>2.1520000000000001</v>
      </c>
      <c r="G457" s="16">
        <f>'Fiscal Forecasts'!G$360</f>
        <v>2.48</v>
      </c>
      <c r="H457" s="16">
        <f>'Fiscal Forecasts'!H$360</f>
        <v>2.165</v>
      </c>
      <c r="I457" s="16">
        <f>'Fiscal Forecasts'!I$360</f>
        <v>2.1720000000000002</v>
      </c>
      <c r="J457" s="16">
        <f>'Fiscal Forecasts'!J$360</f>
        <v>2.1240000000000001</v>
      </c>
      <c r="K457" s="7">
        <f ca="1">IF(K$6=OFFSET(Assumptions!$B$8,0,$C$1),AVERAGE(H$457/SUM(H$140,H$154),I$457/SUM(I$140,I$154),J$457/SUM(J$140,J$154)),J$457/SUM(J$140,J$154))*SUM(K$140,K$154)</f>
        <v>2.3438397199947749</v>
      </c>
      <c r="L457" s="7">
        <f ca="1">IF(L$6=OFFSET(Assumptions!$B$8,0,$C$1),AVERAGE(I$457/SUM(I$140,I$154),J$457/SUM(J$140,J$154),K$457/SUM(K$140,K$154)),K$457/SUM(K$140,K$154))*SUM(L$140,L$154)</f>
        <v>2.4466720090607397</v>
      </c>
      <c r="M457" s="7">
        <f ca="1">IF(M$6=OFFSET(Assumptions!$B$8,0,$C$1),AVERAGE(J$457/SUM(J$140,J$154),K$457/SUM(K$140,K$154),L$457/SUM(L$140,L$154)),L$457/SUM(L$140,L$154))*SUM(M$140,M$154)</f>
        <v>2.553591078818672</v>
      </c>
      <c r="N457" s="7">
        <f ca="1">IF(N$6=OFFSET(Assumptions!$B$8,0,$C$1),AVERAGE(K$457/SUM(K$140,K$154),L$457/SUM(L$140,L$154),M$457/SUM(M$140,M$154)),M$457/SUM(M$140,M$154))*SUM(N$140,N$154)</f>
        <v>2.665061761300215</v>
      </c>
      <c r="O457" s="7">
        <f ca="1">IF(O$6=OFFSET(Assumptions!$B$8,0,$C$1),AVERAGE(L$457/SUM(L$140,L$154),M$457/SUM(M$140,M$154),N$457/SUM(N$140,N$154)),N$457/SUM(N$140,N$154))*SUM(O$140,O$154)</f>
        <v>2.7802392238758671</v>
      </c>
      <c r="P457" s="7">
        <f ca="1">IF(P$6=OFFSET(Assumptions!$B$8,0,$C$1),AVERAGE(M$457/SUM(M$140,M$154),N$457/SUM(N$140,N$154),O$457/SUM(O$140,O$154)),O$457/SUM(O$140,O$154))*SUM(P$140,P$154)</f>
        <v>2.8995783560535027</v>
      </c>
      <c r="Q457" s="7">
        <f ca="1">IF(Q$6=OFFSET(Assumptions!$B$8,0,$C$1),AVERAGE(N$457/SUM(N$140,N$154),O$457/SUM(O$140,O$154),P$457/SUM(P$140,P$154)),P$457/SUM(P$140,P$154))*SUM(Q$140,Q$154)</f>
        <v>3.022894580229655</v>
      </c>
      <c r="R457" s="7">
        <f ca="1">IF(R$6=OFFSET(Assumptions!$B$8,0,$C$1),AVERAGE(O$457/SUM(O$140,O$154),P$457/SUM(P$140,P$154),Q$457/SUM(Q$140,Q$154)),Q$457/SUM(Q$140,Q$154))*SUM(R$140,R$154)</f>
        <v>3.1500503881721951</v>
      </c>
      <c r="S457" s="7">
        <f ca="1">IF(S$6=OFFSET(Assumptions!$B$8,0,$C$1),AVERAGE(P$457/SUM(P$140,P$154),Q$457/SUM(Q$140,Q$154),R$457/SUM(R$140,R$154)),R$457/SUM(R$140,R$154))*SUM(S$140,S$154)</f>
        <v>3.281622971326478</v>
      </c>
      <c r="T457" s="7">
        <f ca="1">IF(T$6=OFFSET(Assumptions!$B$8,0,$C$1),AVERAGE(Q$457/SUM(Q$140,Q$154),R$457/SUM(R$140,R$154),S$457/SUM(S$140,S$154)),S$457/SUM(S$140,S$154))*SUM(T$140,T$154)</f>
        <v>3.4174080014799348</v>
      </c>
    </row>
    <row r="458" spans="1:21" x14ac:dyDescent="0.2">
      <c r="A458" s="1" t="s">
        <v>587</v>
      </c>
      <c r="B458" s="4" t="str">
        <f t="shared" si="183"/>
        <v>From Fiscal</v>
      </c>
      <c r="D458" s="15">
        <f>'Fiscal Forecasts'!D$359</f>
        <v>1.806</v>
      </c>
      <c r="E458" s="15">
        <f>'Fiscal Forecasts'!E$359</f>
        <v>1.6990000000000001</v>
      </c>
      <c r="F458" s="16">
        <f>'Fiscal Forecasts'!F$359</f>
        <v>1.7270000000000001</v>
      </c>
      <c r="G458" s="16">
        <f>'Fiscal Forecasts'!G$359</f>
        <v>1.4350000000000001</v>
      </c>
      <c r="H458" s="16">
        <f>'Fiscal Forecasts'!H$359</f>
        <v>1.4219999999999999</v>
      </c>
      <c r="I458" s="16">
        <f>'Fiscal Forecasts'!I$359</f>
        <v>1.546</v>
      </c>
      <c r="J458" s="16">
        <f>'Fiscal Forecasts'!J$359</f>
        <v>1.6739999999999999</v>
      </c>
      <c r="K458" s="7">
        <f ca="1">IF(K$6=OFFSET(Assumptions!$B$8,0,$C$1),AVERAGE(H$458/H$146,I$458/I$146,J$458/J$146),J$458/J$146)*K$146</f>
        <v>1.4855874343467697</v>
      </c>
      <c r="L458" s="7">
        <f ca="1">IF(L$6=OFFSET(Assumptions!$B$8,0,$C$1),AVERAGE(I$458/I$146,J$458/J$146,K$458/K$146),K$458/K$146)*L$146</f>
        <v>1.6884287368881421</v>
      </c>
      <c r="M458" s="7">
        <f ca="1">IF(M$6=OFFSET(Assumptions!$B$8,0,$C$1),AVERAGE(J$458/J$146,K$458/K$146,L$458/L$146),L$458/L$146)*M$146</f>
        <v>1.8983083052010097</v>
      </c>
      <c r="N458" s="7">
        <f ca="1">IF(N$6=OFFSET(Assumptions!$B$8,0,$C$1),AVERAGE(K$458/K$146,L$458/L$146,M$458/M$146),M$458/M$146)*N$146</f>
        <v>2.1121267211591808</v>
      </c>
      <c r="O458" s="7">
        <f ca="1">IF(O$6=OFFSET(Assumptions!$B$8,0,$C$1),AVERAGE(L$458/L$146,M$458/M$146,N$458/N$146),N$458/N$146)*O$146</f>
        <v>2.3267989355492964</v>
      </c>
      <c r="P458" s="7">
        <f ca="1">IF(P$6=OFFSET(Assumptions!$B$8,0,$C$1),AVERAGE(M$458/M$146,N$458/N$146,O$458/O$146),O$458/O$146)*P$146</f>
        <v>2.538725290438038</v>
      </c>
      <c r="Q458" s="7">
        <f ca="1">IF(Q$6=OFFSET(Assumptions!$B$8,0,$C$1),AVERAGE(N$458/N$146,O$458/O$146,P$458/P$146),P$458/P$146)*Q$146</f>
        <v>2.7544732239354048</v>
      </c>
      <c r="R458" s="7">
        <f ca="1">IF(R$6=OFFSET(Assumptions!$B$8,0,$C$1),AVERAGE(O$458/O$146,P$458/P$146,Q$458/Q$146),Q$458/Q$146)*R$146</f>
        <v>2.8709648505309349</v>
      </c>
      <c r="S458" s="7">
        <f ca="1">IF(S$6=OFFSET(Assumptions!$B$8,0,$C$1),AVERAGE(P$458/P$146,Q$458/Q$146,R$458/R$146),R$458/R$146)*S$146</f>
        <v>2.9912964135815785</v>
      </c>
      <c r="T458" s="7">
        <f ca="1">IF(T$6=OFFSET(Assumptions!$B$8,0,$C$1),AVERAGE(Q$458/Q$146,R$458/R$146,S$458/S$146),S$458/S$146)*T$146</f>
        <v>3.1156413274367041</v>
      </c>
    </row>
    <row r="459" spans="1:21" x14ac:dyDescent="0.2">
      <c r="A459" s="1" t="s">
        <v>592</v>
      </c>
      <c r="B459" s="4" t="str">
        <f t="shared" si="183"/>
        <v>From Fiscal</v>
      </c>
      <c r="D459" s="15">
        <f>-'Fiscal Forecasts'!D$361</f>
        <v>23.895</v>
      </c>
      <c r="E459" s="15">
        <f>-'Fiscal Forecasts'!E$361</f>
        <v>24.338000000000001</v>
      </c>
      <c r="F459" s="16">
        <f>-'Fiscal Forecasts'!F$361 +IF($C$2="Yes",SUM('Fiscal Forecast Adjuster'!C$15:C$22)/1000,0)</f>
        <v>25.309000000000001</v>
      </c>
      <c r="G459" s="16">
        <f>-'Fiscal Forecasts'!G$361 +IF($C$2="Yes",SUM('Fiscal Forecast Adjuster'!D$15:D$22)/1000,0)</f>
        <v>26.442</v>
      </c>
      <c r="H459" s="16">
        <f>-'Fiscal Forecasts'!H$361 +IF($C$2="Yes",SUM('Fiscal Forecast Adjuster'!E$15:E$22)/1000,0)</f>
        <v>27.596</v>
      </c>
      <c r="I459" s="16">
        <f>-'Fiscal Forecasts'!I$361 +IF($C$2="Yes",SUM('Fiscal Forecast Adjuster'!F$15:F$22)/1000,0)</f>
        <v>28.518000000000001</v>
      </c>
      <c r="J459" s="16">
        <f>-'Fiscal Forecasts'!J$361 +IF($C$2="Yes",SUM('Fiscal Forecast Adjuster'!G$15:G$22)/1000,0)</f>
        <v>29.484000000000002</v>
      </c>
      <c r="K459" s="7">
        <f t="shared" ref="K459:T459" ca="1" si="184">K$170</f>
        <v>30.816114100763969</v>
      </c>
      <c r="L459" s="7">
        <f t="shared" ca="1" si="184"/>
        <v>32.406834186018116</v>
      </c>
      <c r="M459" s="7">
        <f t="shared" ca="1" si="184"/>
        <v>34.127520653997721</v>
      </c>
      <c r="N459" s="7">
        <f t="shared" ca="1" si="184"/>
        <v>35.939083599751754</v>
      </c>
      <c r="O459" s="7">
        <f t="shared" ca="1" si="184"/>
        <v>37.871092159947054</v>
      </c>
      <c r="P459" s="7">
        <f t="shared" ca="1" si="184"/>
        <v>39.901614631739051</v>
      </c>
      <c r="Q459" s="7">
        <f t="shared" ca="1" si="184"/>
        <v>42.014076392276316</v>
      </c>
      <c r="R459" s="7">
        <f t="shared" ca="1" si="184"/>
        <v>44.180343719805514</v>
      </c>
      <c r="S459" s="7">
        <f t="shared" ca="1" si="184"/>
        <v>46.368714833000674</v>
      </c>
      <c r="T459" s="7">
        <f t="shared" ca="1" si="184"/>
        <v>48.621555198314354</v>
      </c>
    </row>
    <row r="460" spans="1:21" x14ac:dyDescent="0.2">
      <c r="A460" s="1" t="s">
        <v>593</v>
      </c>
      <c r="B460" s="4" t="str">
        <f t="shared" si="183"/>
        <v>From Fiscal</v>
      </c>
      <c r="D460" s="15">
        <f>-'Fiscal Forecasts'!D$362</f>
        <v>42.064</v>
      </c>
      <c r="E460" s="15">
        <f>-'Fiscal Forecasts'!E$362</f>
        <v>43.103000000000002</v>
      </c>
      <c r="F460" s="16">
        <f ca="1">-'Fiscal Forecasts'!F$362 +IF(OFFSET(Assumptions!$B$57,0,$C$1)="Yes",SUM(Allocate!C$14:C$24) +IF($C$2="Yes",'Fiscal Forecast Adjuster'!C$26/1000,0),0)</f>
        <v>44.923999999999999</v>
      </c>
      <c r="G460" s="16">
        <f ca="1">-'Fiscal Forecasts'!G$362 +IF(OFFSET(Assumptions!$B$57,0,$C$1)="Yes",SUM(Allocate!D$14:D$24) +IF($C$2="Yes",'Fiscal Forecast Adjuster'!D$26/1000,0),0)</f>
        <v>48.698999999999998</v>
      </c>
      <c r="H460" s="16">
        <f ca="1">-'Fiscal Forecasts'!H$362 +IF(OFFSET(Assumptions!$B$57,0,$C$1)="Yes",SUM(Allocate!E$14:E$24) +IF($C$2="Yes",'Fiscal Forecast Adjuster'!E$26/1000,0),0)</f>
        <v>47.890999999999998</v>
      </c>
      <c r="I460" s="16">
        <f ca="1">-'Fiscal Forecasts'!I$362 +IF(OFFSET(Assumptions!$B$57,0,$C$1)="Yes",SUM(Allocate!F$14:F$24) +IF($C$2="Yes",'Fiscal Forecast Adjuster'!F$26/1000,0),0)</f>
        <v>47.585999999999999</v>
      </c>
      <c r="J460" s="16">
        <f ca="1">-'Fiscal Forecasts'!J$362 +IF(OFFSET(Assumptions!$B$57,0,$C$1)="Yes",SUM(Allocate!G$14:G$24) +IF($C$2="Yes",'Fiscal Forecast Adjuster'!G$26/1000,0),0)</f>
        <v>47.774000000000001</v>
      </c>
      <c r="K460" s="7">
        <f t="shared" ref="K460:T460" ca="1" si="185">SUM(K$183,K$196-(K$134-K$456),K$211)-SUM(K$237,K$245,K$247)+SUM(K$379-J$379,K$383-J$383)-SUM(K$431-J$431,K$440-J$440,K$446-J$446,K$451-J$451)</f>
        <v>46.326460964316915</v>
      </c>
      <c r="L460" s="7">
        <f t="shared" ca="1" si="185"/>
        <v>46.430721673485444</v>
      </c>
      <c r="M460" s="7">
        <f t="shared" ca="1" si="185"/>
        <v>46.448155492591766</v>
      </c>
      <c r="N460" s="7">
        <f t="shared" ca="1" si="185"/>
        <v>46.396120961344167</v>
      </c>
      <c r="O460" s="7">
        <f t="shared" ca="1" si="185"/>
        <v>46.30829941109323</v>
      </c>
      <c r="P460" s="7">
        <f t="shared" ca="1" si="185"/>
        <v>46.191338738151153</v>
      </c>
      <c r="Q460" s="7">
        <f t="shared" ca="1" si="185"/>
        <v>46.000760258502588</v>
      </c>
      <c r="R460" s="7">
        <f t="shared" ca="1" si="185"/>
        <v>45.763113656842563</v>
      </c>
      <c r="S460" s="7">
        <f t="shared" ca="1" si="185"/>
        <v>45.462128385219302</v>
      </c>
      <c r="T460" s="7">
        <f t="shared" ca="1" si="185"/>
        <v>45.08734670230956</v>
      </c>
    </row>
    <row r="461" spans="1:21" x14ac:dyDescent="0.2">
      <c r="A461" s="1" t="s">
        <v>594</v>
      </c>
      <c r="B461" s="4"/>
      <c r="D461" s="15">
        <f>D$507</f>
        <v>3.9220000000000002</v>
      </c>
      <c r="E461" s="15">
        <f t="shared" ref="E461:T461" si="186">E$507</f>
        <v>3.6040000000000001</v>
      </c>
      <c r="F461" s="16">
        <f t="shared" si="186"/>
        <v>3.5270000000000001</v>
      </c>
      <c r="G461" s="16">
        <f t="shared" si="186"/>
        <v>3.4609999999999999</v>
      </c>
      <c r="H461" s="16">
        <f t="shared" si="186"/>
        <v>3.3149999999999999</v>
      </c>
      <c r="I461" s="16">
        <f t="shared" si="186"/>
        <v>3.2589999999999999</v>
      </c>
      <c r="J461" s="16">
        <f t="shared" si="186"/>
        <v>3.306</v>
      </c>
      <c r="K461" s="7">
        <f t="shared" ca="1" si="186"/>
        <v>3.4531588711760777</v>
      </c>
      <c r="L461" s="7">
        <f t="shared" ca="1" si="186"/>
        <v>3.567947858792123</v>
      </c>
      <c r="M461" s="7">
        <f t="shared" ca="1" si="186"/>
        <v>3.6732939070400086</v>
      </c>
      <c r="N461" s="7">
        <f t="shared" ca="1" si="186"/>
        <v>3.7581684292462278</v>
      </c>
      <c r="O461" s="7">
        <f t="shared" ca="1" si="186"/>
        <v>3.8212596628725728</v>
      </c>
      <c r="P461" s="7">
        <f t="shared" ca="1" si="186"/>
        <v>3.8636015667847383</v>
      </c>
      <c r="Q461" s="7">
        <f t="shared" ca="1" si="186"/>
        <v>3.8998048919960762</v>
      </c>
      <c r="R461" s="7">
        <f t="shared" ca="1" si="186"/>
        <v>3.8063473280988616</v>
      </c>
      <c r="S461" s="7">
        <f t="shared" ca="1" si="186"/>
        <v>3.7611955511959105</v>
      </c>
      <c r="T461" s="7">
        <f t="shared" ca="1" si="186"/>
        <v>3.7872944973382001</v>
      </c>
    </row>
    <row r="462" spans="1:21" x14ac:dyDescent="0.2">
      <c r="A462" s="1" t="s">
        <v>704</v>
      </c>
      <c r="D462" s="15">
        <f t="shared" ref="D462:T462" si="187">SUM(D$219,D$222)</f>
        <v>0</v>
      </c>
      <c r="E462" s="15">
        <f t="shared" si="187"/>
        <v>0</v>
      </c>
      <c r="F462" s="16">
        <f t="shared" ca="1" si="187"/>
        <v>0</v>
      </c>
      <c r="G462" s="16">
        <f t="shared" ca="1" si="187"/>
        <v>-0.68300000000000005</v>
      </c>
      <c r="H462" s="16">
        <f t="shared" ca="1" si="187"/>
        <v>1.464</v>
      </c>
      <c r="I462" s="16">
        <f t="shared" ca="1" si="187"/>
        <v>3.2210000000000001</v>
      </c>
      <c r="J462" s="16">
        <f t="shared" ca="1" si="187"/>
        <v>4.9950000000000001</v>
      </c>
      <c r="K462" s="7">
        <f t="shared" ca="1" si="187"/>
        <v>6.9749999999999996</v>
      </c>
      <c r="L462" s="7">
        <f t="shared" ca="1" si="187"/>
        <v>9.0341999999999985</v>
      </c>
      <c r="M462" s="7">
        <f t="shared" ca="1" si="187"/>
        <v>11.175768</v>
      </c>
      <c r="N462" s="7">
        <f t="shared" ca="1" si="187"/>
        <v>13.402998719999999</v>
      </c>
      <c r="O462" s="7">
        <f t="shared" ca="1" si="187"/>
        <v>15.7193186688</v>
      </c>
      <c r="P462" s="7">
        <f t="shared" ca="1" si="187"/>
        <v>18.128291415551999</v>
      </c>
      <c r="Q462" s="7">
        <f t="shared" ca="1" si="187"/>
        <v>20.633623072174082</v>
      </c>
      <c r="R462" s="7">
        <f t="shared" ca="1" si="187"/>
        <v>23.239167995061049</v>
      </c>
      <c r="S462" s="7">
        <f t="shared" ca="1" si="187"/>
        <v>25.948934714863491</v>
      </c>
      <c r="T462" s="7">
        <f t="shared" ca="1" si="187"/>
        <v>28.76709210345803</v>
      </c>
    </row>
    <row r="463" spans="1:21" ht="15" x14ac:dyDescent="0.25">
      <c r="A463" s="2" t="s">
        <v>588</v>
      </c>
      <c r="D463" s="35">
        <f t="shared" ref="D463:T463" si="188">SUM(D$455:D$458)-SUM(D$459:D$462)</f>
        <v>1.5949999999999847</v>
      </c>
      <c r="E463" s="35">
        <f t="shared" si="188"/>
        <v>3.2649999999999864</v>
      </c>
      <c r="F463" s="34">
        <f t="shared" ca="1" si="188"/>
        <v>5.8070000000000022</v>
      </c>
      <c r="G463" s="34">
        <f t="shared" ca="1" si="188"/>
        <v>4.8240000000000265</v>
      </c>
      <c r="H463" s="34">
        <f t="shared" ca="1" si="188"/>
        <v>5.237000000000009</v>
      </c>
      <c r="I463" s="34">
        <f t="shared" ca="1" si="188"/>
        <v>7.546999999999997</v>
      </c>
      <c r="J463" s="34">
        <f t="shared" ca="1" si="188"/>
        <v>8.6829999999999785</v>
      </c>
      <c r="K463" s="38">
        <f t="shared" ca="1" si="188"/>
        <v>11.139212406546505</v>
      </c>
      <c r="L463" s="38">
        <f t="shared" ca="1" si="188"/>
        <v>12.383333606850229</v>
      </c>
      <c r="M463" s="38">
        <f t="shared" ca="1" si="188"/>
        <v>13.552027342010007</v>
      </c>
      <c r="N463" s="38">
        <f t="shared" ca="1" si="188"/>
        <v>14.69243253157849</v>
      </c>
      <c r="O463" s="38">
        <f t="shared" ca="1" si="188"/>
        <v>15.795593025100757</v>
      </c>
      <c r="P463" s="38">
        <f t="shared" ca="1" si="188"/>
        <v>16.942122082864529</v>
      </c>
      <c r="Q463" s="38">
        <f t="shared" ca="1" si="188"/>
        <v>18.153704619779631</v>
      </c>
      <c r="R463" s="38">
        <f t="shared" ca="1" si="188"/>
        <v>19.26222860672209</v>
      </c>
      <c r="S463" s="38">
        <f t="shared" ca="1" si="188"/>
        <v>20.428617650865533</v>
      </c>
      <c r="T463" s="38">
        <f t="shared" ca="1" si="188"/>
        <v>21.604709128823743</v>
      </c>
    </row>
    <row r="464" spans="1:21" x14ac:dyDescent="0.2">
      <c r="A464" s="1" t="s">
        <v>716</v>
      </c>
      <c r="B464" s="4" t="str">
        <f>$B$38</f>
        <v>From Fiscal</v>
      </c>
      <c r="D464" s="15">
        <f>-'Fiscal Forecasts'!D$365</f>
        <v>1.9550000000000001</v>
      </c>
      <c r="E464" s="15">
        <f>-'Fiscal Forecasts'!E$365</f>
        <v>1.9710000000000001</v>
      </c>
      <c r="F464" s="16">
        <f ca="1">-'Fiscal Forecasts'!F$365 +IF(OFFSET(Assumptions!$B$64,0,$C$1)="Yes",SUM(F$422-E$422,F$423-E$423),0)</f>
        <v>2.4289999999999998</v>
      </c>
      <c r="G464" s="16">
        <f ca="1">-'Fiscal Forecasts'!G$365 +IF(OFFSET(Assumptions!$B$64,0,$C$1)="Yes",SUM(G$422-F$422,G$423-F$423),0)</f>
        <v>3.6760000000000002</v>
      </c>
      <c r="H464" s="16">
        <f ca="1">-'Fiscal Forecasts'!H$365 +IF(OFFSET(Assumptions!$B$64,0,$C$1)="Yes",SUM(H$422-G$422,H$423-G$423),0)</f>
        <v>2.6480000000000001</v>
      </c>
      <c r="I464" s="16">
        <f ca="1">-'Fiscal Forecasts'!I$365 +IF(OFFSET(Assumptions!$B$64,0,$C$1)="Yes",SUM(I$422-H$422,I$423-H$423),0)</f>
        <v>2.3130000000000002</v>
      </c>
      <c r="J464" s="16">
        <f ca="1">-'Fiscal Forecasts'!J$365 +IF(OFFSET(Assumptions!$B$64,0,$C$1)="Yes",SUM(J$422-I$422,J$423-I$423),0)</f>
        <v>1.98</v>
      </c>
      <c r="K464" s="7">
        <f ca="1">SUM(K$388-J$388,K$407-J$407,K$190)</f>
        <v>2.1805429879359943</v>
      </c>
      <c r="L464" s="7">
        <f t="shared" ref="L464:T464" ca="1" si="189">SUM(L$388-K$388,L$407-K$407,L$190)</f>
        <v>2.2247047327951064</v>
      </c>
      <c r="M464" s="7">
        <f t="shared" ca="1" si="189"/>
        <v>2.3475208162964272</v>
      </c>
      <c r="N464" s="7">
        <f t="shared" ca="1" si="189"/>
        <v>2.50653251442882</v>
      </c>
      <c r="O464" s="7">
        <f t="shared" ca="1" si="189"/>
        <v>2.7020677755391653</v>
      </c>
      <c r="P464" s="7">
        <f t="shared" ca="1" si="189"/>
        <v>2.9346327902459888</v>
      </c>
      <c r="Q464" s="7">
        <f t="shared" ca="1" si="189"/>
        <v>3.2231261916750782</v>
      </c>
      <c r="R464" s="7">
        <f t="shared" ca="1" si="189"/>
        <v>3.5659535373887548</v>
      </c>
      <c r="S464" s="7">
        <f t="shared" ca="1" si="189"/>
        <v>3.9745524439513935</v>
      </c>
      <c r="T464" s="7">
        <f t="shared" ca="1" si="189"/>
        <v>4.46122170557173</v>
      </c>
    </row>
    <row r="465" spans="1:20" x14ac:dyDescent="0.2">
      <c r="A465" s="1" t="s">
        <v>728</v>
      </c>
      <c r="B465" s="4" t="str">
        <f>$B$38</f>
        <v>From Fiscal</v>
      </c>
      <c r="D465" s="15">
        <f>-'Fiscal Forecasts'!D$366</f>
        <v>0.56999999999999995</v>
      </c>
      <c r="E465" s="15">
        <f>-'Fiscal Forecasts'!E$366</f>
        <v>0.46800000000000003</v>
      </c>
      <c r="F465" s="16">
        <f>-'Fiscal Forecasts'!F$366</f>
        <v>-4.5999999999999999E-2</v>
      </c>
      <c r="G465" s="16">
        <f>-'Fiscal Forecasts'!G$366</f>
        <v>0.375</v>
      </c>
      <c r="H465" s="16">
        <f>-'Fiscal Forecasts'!H$366</f>
        <v>0.311</v>
      </c>
      <c r="I465" s="16">
        <f>-'Fiscal Forecasts'!I$366</f>
        <v>0.108</v>
      </c>
      <c r="J465" s="16">
        <f>-'Fiscal Forecasts'!J$366</f>
        <v>0.122</v>
      </c>
      <c r="K465" s="7">
        <f t="shared" ref="K465:T465" ca="1" si="190">SUM(K$362-J$362,-(K$144-K$237),K$363-J$363)</f>
        <v>0.22750616416740066</v>
      </c>
      <c r="L465" s="7">
        <f t="shared" ca="1" si="190"/>
        <v>0.27852193357201616</v>
      </c>
      <c r="M465" s="7">
        <f t="shared" ca="1" si="190"/>
        <v>0.29351178857914839</v>
      </c>
      <c r="N465" s="7">
        <f t="shared" ca="1" si="190"/>
        <v>0.30800161312565011</v>
      </c>
      <c r="O465" s="7">
        <f t="shared" ca="1" si="190"/>
        <v>0.31893992955200701</v>
      </c>
      <c r="P465" s="7">
        <f t="shared" ca="1" si="190"/>
        <v>0.34632379606211616</v>
      </c>
      <c r="Q465" s="7">
        <f t="shared" ca="1" si="190"/>
        <v>0.3624998908015693</v>
      </c>
      <c r="R465" s="7">
        <f t="shared" ca="1" si="190"/>
        <v>0.37946244663636708</v>
      </c>
      <c r="S465" s="7">
        <f t="shared" ca="1" si="190"/>
        <v>0.39332133301887229</v>
      </c>
      <c r="T465" s="7">
        <f t="shared" ca="1" si="190"/>
        <v>0.405862914596955</v>
      </c>
    </row>
    <row r="466" spans="1:20" x14ac:dyDescent="0.2">
      <c r="A466" s="1" t="s">
        <v>729</v>
      </c>
      <c r="B466" s="4" t="str">
        <f>$B$38</f>
        <v>From Fiscal</v>
      </c>
      <c r="D466" s="15">
        <f>-'Fiscal Forecasts'!D$367</f>
        <v>0.89699999999999991</v>
      </c>
      <c r="E466" s="15">
        <f>-'Fiscal Forecasts'!E$367</f>
        <v>2.1480000000000001</v>
      </c>
      <c r="F466" s="16">
        <f>-'Fiscal Forecasts'!F$367</f>
        <v>1.927</v>
      </c>
      <c r="G466" s="16">
        <f>-'Fiscal Forecasts'!G$367</f>
        <v>2.7730000000000001</v>
      </c>
      <c r="H466" s="16">
        <f>-'Fiscal Forecasts'!H$367</f>
        <v>2.44</v>
      </c>
      <c r="I466" s="16">
        <f>-'Fiscal Forecasts'!I$367</f>
        <v>2.073</v>
      </c>
      <c r="J466" s="16">
        <f>-'Fiscal Forecasts'!J$367</f>
        <v>1.5880000000000001</v>
      </c>
      <c r="K466" s="7">
        <f ca="1">SUM(K$402-J$402,-K$312)</f>
        <v>1.3096902132891806</v>
      </c>
      <c r="L466" s="7">
        <f t="shared" ref="L466:T466" ca="1" si="191">SUM(L$402-K$402,-L$312)</f>
        <v>1.4277084525524093</v>
      </c>
      <c r="M466" s="7">
        <f t="shared" ca="1" si="191"/>
        <v>1.5076500379280431</v>
      </c>
      <c r="N466" s="7">
        <f t="shared" ca="1" si="191"/>
        <v>1.5734627594969546</v>
      </c>
      <c r="O466" s="7">
        <f t="shared" ca="1" si="191"/>
        <v>1.6414639783534091</v>
      </c>
      <c r="P466" s="7">
        <f t="shared" ca="1" si="191"/>
        <v>1.7119222630201723</v>
      </c>
      <c r="Q466" s="7">
        <f t="shared" ca="1" si="191"/>
        <v>1.7847286381670999</v>
      </c>
      <c r="R466" s="7">
        <f t="shared" ca="1" si="191"/>
        <v>1.8598019184027232</v>
      </c>
      <c r="S466" s="7">
        <f t="shared" ca="1" si="191"/>
        <v>1.9374828797861821</v>
      </c>
      <c r="T466" s="7">
        <f t="shared" ca="1" si="191"/>
        <v>2.0176508861514004</v>
      </c>
    </row>
    <row r="467" spans="1:20" x14ac:dyDescent="0.2">
      <c r="A467" s="1" t="s">
        <v>595</v>
      </c>
      <c r="D467" s="15">
        <f t="shared" ref="D467:T467" si="192">D$352</f>
        <v>0</v>
      </c>
      <c r="E467" s="15">
        <f t="shared" si="192"/>
        <v>0</v>
      </c>
      <c r="F467" s="16">
        <f t="shared" si="192"/>
        <v>0</v>
      </c>
      <c r="G467" s="16">
        <f t="shared" si="192"/>
        <v>0</v>
      </c>
      <c r="H467" s="16">
        <f t="shared" si="192"/>
        <v>0</v>
      </c>
      <c r="I467" s="16">
        <f t="shared" si="192"/>
        <v>0</v>
      </c>
      <c r="J467" s="16">
        <f t="shared" si="192"/>
        <v>2.1840000000000002</v>
      </c>
      <c r="K467" s="7">
        <f t="shared" si="192"/>
        <v>2.17</v>
      </c>
      <c r="L467" s="7">
        <f t="shared" si="192"/>
        <v>2</v>
      </c>
      <c r="M467" s="7">
        <f t="shared" si="192"/>
        <v>1.768</v>
      </c>
      <c r="N467" s="7">
        <f t="shared" si="192"/>
        <v>1.518</v>
      </c>
      <c r="O467" s="7">
        <f t="shared" si="192"/>
        <v>1.212</v>
      </c>
      <c r="P467" s="7">
        <f t="shared" si="192"/>
        <v>0.873</v>
      </c>
      <c r="Q467" s="7">
        <f t="shared" si="192"/>
        <v>0.52100000000000002</v>
      </c>
      <c r="R467" s="7">
        <f t="shared" si="192"/>
        <v>0.17299999999999999</v>
      </c>
      <c r="S467" s="7">
        <f t="shared" si="192"/>
        <v>-0.13500000000000001</v>
      </c>
      <c r="T467" s="7">
        <f t="shared" si="192"/>
        <v>-0.442</v>
      </c>
    </row>
    <row r="468" spans="1:20" x14ac:dyDescent="0.2">
      <c r="A468" s="1" t="s">
        <v>703</v>
      </c>
      <c r="D468" s="15">
        <f>SUM(D$422-C$422,D$423-C$423)</f>
        <v>0</v>
      </c>
      <c r="E468" s="15">
        <f>SUM(E$422-D$422,E$423-D$423)</f>
        <v>0</v>
      </c>
      <c r="F468" s="16">
        <f ca="1">IF(OFFSET(Assumptions!$B$64,0,$C$1)="Yes",0,SUM(F$422-E$422,F$423-E$423))</f>
        <v>0</v>
      </c>
      <c r="G468" s="16">
        <f ca="1">IF(OFFSET(Assumptions!$B$64,0,$C$1)="Yes",0,SUM(G$422-F$422,G$423-F$423))</f>
        <v>-0.64400000000000002</v>
      </c>
      <c r="H468" s="16">
        <f ca="1">IF(OFFSET(Assumptions!$B$64,0,$C$1)="Yes",0,SUM(H$422-G$422,H$423-G$423))</f>
        <v>1.2030000000000003</v>
      </c>
      <c r="I468" s="16">
        <f ca="1">IF(OFFSET(Assumptions!$B$64,0,$C$1)="Yes",0,SUM(I$422-H$422,I$423-H$423))</f>
        <v>1.3449999999999998</v>
      </c>
      <c r="J468" s="16">
        <f ca="1">IF(OFFSET(Assumptions!$B$64,0,$C$1)="Yes",0,SUM(J$422-I$422,J$423-I$423))</f>
        <v>1.7350000000000003</v>
      </c>
      <c r="K468" s="7">
        <f ca="1">IF(OFFSET(Assumptions!$B$64,0,$C$1)="Yes",0,SUM(K$422-J$422,K$423-J$423))</f>
        <v>0.83566666666666634</v>
      </c>
      <c r="L468" s="7">
        <f ca="1">IF(OFFSET(Assumptions!$B$64,0,$C$1)="Yes",0,SUM(L$422-K$422,L$423-K$423))</f>
        <v>2.9504666666666663</v>
      </c>
      <c r="M468" s="7">
        <f ca="1">IF(OFFSET(Assumptions!$B$64,0,$C$1)="Yes",0,SUM(M$422-L$422,M$423-L$423))</f>
        <v>3.9002266666666667</v>
      </c>
      <c r="N468" s="7">
        <f ca="1">IF(OFFSET(Assumptions!$B$64,0,$C$1)="Yes",0,SUM(N$422-M$422,N$423-M$423))</f>
        <v>4.8910720000000003</v>
      </c>
      <c r="O468" s="7">
        <f ca="1">IF(OFFSET(Assumptions!$B$64,0,$C$1)="Yes",0,SUM(O$422-N$422,O$423-N$423))</f>
        <v>5.8692863999999982</v>
      </c>
      <c r="P468" s="7">
        <f ca="1">IF(OFFSET(Assumptions!$B$64,0,$C$1)="Yes",0,SUM(P$422-O$422,P$423-O$423))</f>
        <v>7.04314368</v>
      </c>
      <c r="Q468" s="7">
        <f ca="1">IF(OFFSET(Assumptions!$B$64,0,$C$1)="Yes",0,SUM(Q$422-P$422,Q$423-P$423))</f>
        <v>8.4517724159999972</v>
      </c>
      <c r="R468" s="7">
        <f ca="1">IF(OFFSET(Assumptions!$B$64,0,$C$1)="Yes",0,SUM(R$422-Q$422,R$423-Q$423))</f>
        <v>10.142126899199997</v>
      </c>
      <c r="S468" s="7">
        <f ca="1">IF(OFFSET(Assumptions!$B$64,0,$C$1)="Yes",0,SUM(S$422-R$422,S$423-R$423))</f>
        <v>12.170552279040006</v>
      </c>
      <c r="T468" s="7">
        <f ca="1">IF(OFFSET(Assumptions!$B$64,0,$C$1)="Yes",0,SUM(T$422-S$422,T$423-S$423))</f>
        <v>14.604662734847995</v>
      </c>
    </row>
    <row r="469" spans="1:20" ht="15" x14ac:dyDescent="0.25">
      <c r="A469" s="2" t="s">
        <v>589</v>
      </c>
      <c r="D469" s="35">
        <f t="shared" ref="D469:T469" si="193">-SUM(D$464:D$468)</f>
        <v>-3.4219999999999997</v>
      </c>
      <c r="E469" s="35">
        <f t="shared" si="193"/>
        <v>-4.5869999999999997</v>
      </c>
      <c r="F469" s="34">
        <f t="shared" ca="1" si="193"/>
        <v>-4.3100000000000005</v>
      </c>
      <c r="G469" s="34">
        <f t="shared" ca="1" si="193"/>
        <v>-6.18</v>
      </c>
      <c r="H469" s="34">
        <f t="shared" ca="1" si="193"/>
        <v>-6.6020000000000003</v>
      </c>
      <c r="I469" s="34">
        <f t="shared" ca="1" si="193"/>
        <v>-5.8389999999999995</v>
      </c>
      <c r="J469" s="34">
        <f t="shared" ca="1" si="193"/>
        <v>-7.6090000000000009</v>
      </c>
      <c r="K469" s="38">
        <f t="shared" ca="1" si="193"/>
        <v>-6.7234060320592421</v>
      </c>
      <c r="L469" s="38">
        <f t="shared" ca="1" si="193"/>
        <v>-8.8814017855861991</v>
      </c>
      <c r="M469" s="38">
        <f t="shared" ca="1" si="193"/>
        <v>-9.8169093094702848</v>
      </c>
      <c r="N469" s="38">
        <f t="shared" ca="1" si="193"/>
        <v>-10.797068887051424</v>
      </c>
      <c r="O469" s="38">
        <f t="shared" ca="1" si="193"/>
        <v>-11.743758083444579</v>
      </c>
      <c r="P469" s="38">
        <f t="shared" ca="1" si="193"/>
        <v>-12.909022529328277</v>
      </c>
      <c r="Q469" s="38">
        <f t="shared" ca="1" si="193"/>
        <v>-14.343127136643744</v>
      </c>
      <c r="R469" s="38">
        <f t="shared" ca="1" si="193"/>
        <v>-16.120344801627844</v>
      </c>
      <c r="S469" s="38">
        <f t="shared" ca="1" si="193"/>
        <v>-18.340908935796453</v>
      </c>
      <c r="T469" s="38">
        <f t="shared" ca="1" si="193"/>
        <v>-21.047398241168082</v>
      </c>
    </row>
    <row r="470" spans="1:20" ht="15" x14ac:dyDescent="0.25">
      <c r="A470" s="2" t="s">
        <v>590</v>
      </c>
      <c r="D470" s="36">
        <f t="shared" ref="D470:T470" si="194">SUM(D$463,D$469)</f>
        <v>-1.8270000000000151</v>
      </c>
      <c r="E470" s="36">
        <f t="shared" si="194"/>
        <v>-1.3220000000000134</v>
      </c>
      <c r="F470" s="37">
        <f t="shared" ca="1" si="194"/>
        <v>1.4970000000000017</v>
      </c>
      <c r="G470" s="37">
        <f t="shared" ca="1" si="194"/>
        <v>-1.3559999999999732</v>
      </c>
      <c r="H470" s="37">
        <f t="shared" ca="1" si="194"/>
        <v>-1.3649999999999913</v>
      </c>
      <c r="I470" s="37">
        <f t="shared" ca="1" si="194"/>
        <v>1.7079999999999975</v>
      </c>
      <c r="J470" s="37">
        <f t="shared" ca="1" si="194"/>
        <v>1.0739999999999776</v>
      </c>
      <c r="K470" s="28">
        <f t="shared" ca="1" si="194"/>
        <v>4.4158063744872633</v>
      </c>
      <c r="L470" s="28">
        <f t="shared" ca="1" si="194"/>
        <v>3.50193182126403</v>
      </c>
      <c r="M470" s="28">
        <f t="shared" ca="1" si="194"/>
        <v>3.735118032539722</v>
      </c>
      <c r="N470" s="28">
        <f t="shared" ca="1" si="194"/>
        <v>3.8953636445270661</v>
      </c>
      <c r="O470" s="28">
        <f t="shared" ca="1" si="194"/>
        <v>4.0518349416561783</v>
      </c>
      <c r="P470" s="28">
        <f t="shared" ca="1" si="194"/>
        <v>4.0330995535362515</v>
      </c>
      <c r="Q470" s="28">
        <f t="shared" ca="1" si="194"/>
        <v>3.8105774831358872</v>
      </c>
      <c r="R470" s="28">
        <f t="shared" ca="1" si="194"/>
        <v>3.1418838050942455</v>
      </c>
      <c r="S470" s="28">
        <f t="shared" ca="1" si="194"/>
        <v>2.0877087150690805</v>
      </c>
      <c r="T470" s="28">
        <f t="shared" ca="1" si="194"/>
        <v>0.55731088765566028</v>
      </c>
    </row>
    <row r="471" spans="1:20" ht="15" x14ac:dyDescent="0.25">
      <c r="A471" s="2" t="s">
        <v>695</v>
      </c>
      <c r="B471" s="4" t="str">
        <f>$B$59</f>
        <v>Projected Years only</v>
      </c>
      <c r="K471" s="6" t="str">
        <f ca="1">IF(ROUND(SUM(K$470,K$76-J$76,K$475,K$146-K$458,K$304),3)=0,"OK","ERROR")</f>
        <v>OK</v>
      </c>
      <c r="L471" s="6" t="str">
        <f t="shared" ref="L471:T471" ca="1" si="195">IF(ROUND(SUM(L$470,L$76-K$76,L$475,L$146-L$458,L$304),3)=0,"OK","ERROR")</f>
        <v>OK</v>
      </c>
      <c r="M471" s="6" t="str">
        <f t="shared" ca="1" si="195"/>
        <v>OK</v>
      </c>
      <c r="N471" s="6" t="str">
        <f t="shared" ca="1" si="195"/>
        <v>OK</v>
      </c>
      <c r="O471" s="6" t="str">
        <f t="shared" ca="1" si="195"/>
        <v>OK</v>
      </c>
      <c r="P471" s="6" t="str">
        <f t="shared" ca="1" si="195"/>
        <v>OK</v>
      </c>
      <c r="Q471" s="6" t="str">
        <f t="shared" ca="1" si="195"/>
        <v>OK</v>
      </c>
      <c r="R471" s="6" t="str">
        <f t="shared" ca="1" si="195"/>
        <v>OK</v>
      </c>
      <c r="S471" s="6" t="str">
        <f t="shared" ca="1" si="195"/>
        <v>OK</v>
      </c>
      <c r="T471" s="6" t="str">
        <f t="shared" ca="1" si="195"/>
        <v>OK</v>
      </c>
    </row>
    <row r="472" spans="1:20" ht="15" x14ac:dyDescent="0.25">
      <c r="A472" s="2" t="s">
        <v>1341</v>
      </c>
      <c r="B472" s="4"/>
    </row>
    <row r="473" spans="1:20" ht="15" x14ac:dyDescent="0.25">
      <c r="A473" s="2" t="s">
        <v>404</v>
      </c>
      <c r="B473" s="4" t="str">
        <f>$B$38</f>
        <v>From Fiscal</v>
      </c>
      <c r="D473" s="40">
        <f>'Fiscal Forecasts'!D$371</f>
        <v>3.0409999999999999</v>
      </c>
      <c r="E473" s="40">
        <f>'Fiscal Forecasts'!E$371</f>
        <v>2.1779999999999999</v>
      </c>
      <c r="F473" s="39">
        <f>'Fiscal Forecasts'!F$371 +IF($C$3="Yes",'NZS Fund Adjuster'!M$10,0) +IF($C$2="Yes",'Fiscal Forecast Adjuster'!C$36/1000,0)</f>
        <v>0.189</v>
      </c>
      <c r="G473" s="39">
        <f>'Fiscal Forecasts'!G$371 +IF($C$3="Yes",'NZS Fund Adjuster'!N$10,0) +IF($C$2="Yes",'Fiscal Forecast Adjuster'!D$36/1000,0)</f>
        <v>-3.3839999999999999</v>
      </c>
      <c r="H473" s="39">
        <f>'Fiscal Forecasts'!H$371 +IF($C$3="Yes",'NZS Fund Adjuster'!O$10,0) +IF($C$2="Yes",'Fiscal Forecast Adjuster'!E$36/1000,0)</f>
        <v>0.58099999999999996</v>
      </c>
      <c r="I473" s="39">
        <f>'Fiscal Forecasts'!I$371 +IF($C$3="Yes",'NZS Fund Adjuster'!P$10,0) +IF($C$2="Yes",'Fiscal Forecast Adjuster'!F$36/1000,0)</f>
        <v>-0.40600000000000003</v>
      </c>
      <c r="J473" s="39">
        <f>'Fiscal Forecasts'!J$371 +IF($C$3="Yes",'NZS Fund Adjuster'!Q$10,0) +IF($C$2="Yes",'Fiscal Forecast Adjuster'!G$36/1000,0)</f>
        <v>-5.1959999999999997</v>
      </c>
      <c r="K473" s="8">
        <f t="shared" ref="K473:T473" ca="1" si="196">-SUM(K$463,K$469,K$477)</f>
        <v>-2.4034830119595245</v>
      </c>
      <c r="L473" s="8">
        <f t="shared" ca="1" si="196"/>
        <v>-1.543043025760148</v>
      </c>
      <c r="M473" s="8">
        <f t="shared" ca="1" si="196"/>
        <v>-1.8729131399144829</v>
      </c>
      <c r="N473" s="8">
        <f t="shared" ca="1" si="196"/>
        <v>-2.1530491230533588</v>
      </c>
      <c r="O473" s="8">
        <f t="shared" ca="1" si="196"/>
        <v>-2.4673871252827162</v>
      </c>
      <c r="P473" s="8">
        <f t="shared" ca="1" si="196"/>
        <v>-2.6361463462284132</v>
      </c>
      <c r="Q473" s="8">
        <f t="shared" ca="1" si="196"/>
        <v>-2.3407097183527457</v>
      </c>
      <c r="R473" s="8">
        <f t="shared" ca="1" si="196"/>
        <v>-1.6223402927402337</v>
      </c>
      <c r="S473" s="8">
        <f t="shared" ca="1" si="196"/>
        <v>-0.51276146817093804</v>
      </c>
      <c r="T473" s="8">
        <f t="shared" ca="1" si="196"/>
        <v>1.0716959817367986</v>
      </c>
    </row>
    <row r="474" spans="1:20" x14ac:dyDescent="0.2">
      <c r="A474" s="1" t="s">
        <v>742</v>
      </c>
      <c r="B474" s="4" t="str">
        <f>$B$38</f>
        <v>From Fiscal</v>
      </c>
      <c r="D474" s="15">
        <f>-'Fiscal Forecasts'!D$372</f>
        <v>-0.79500000000000004</v>
      </c>
      <c r="E474" s="15">
        <f>-'Fiscal Forecasts'!E$372</f>
        <v>-0.68500000000000005</v>
      </c>
      <c r="F474" s="16">
        <f>-'Fiscal Forecasts'!F$372</f>
        <v>-1.554</v>
      </c>
      <c r="G474" s="16">
        <f>-'Fiscal Forecasts'!G$372</f>
        <v>-3.9569999999999999</v>
      </c>
      <c r="H474" s="16">
        <f>-'Fiscal Forecasts'!H$372</f>
        <v>-0.60199999999999998</v>
      </c>
      <c r="I474" s="16">
        <f>-'Fiscal Forecasts'!I$372</f>
        <v>1.492</v>
      </c>
      <c r="J474" s="16">
        <f>-'Fiscal Forecasts'!J$372</f>
        <v>-3.927</v>
      </c>
      <c r="K474" s="7">
        <f t="shared" ref="K474:T474" ca="1" si="197">SUM(K$330-J$330,K$339-J$339,-K$304,-(K$146-K$458))</f>
        <v>1.6197580655976405</v>
      </c>
      <c r="L474" s="7">
        <f t="shared" ca="1" si="197"/>
        <v>1.592103893546686</v>
      </c>
      <c r="M474" s="7">
        <f t="shared" ca="1" si="197"/>
        <v>1.5303085485732304</v>
      </c>
      <c r="N474" s="7">
        <f t="shared" ca="1" si="197"/>
        <v>1.4513281734370302</v>
      </c>
      <c r="O474" s="7">
        <f t="shared" ca="1" si="197"/>
        <v>1.3429577205918513</v>
      </c>
      <c r="P474" s="7">
        <f t="shared" ca="1" si="197"/>
        <v>1.2121804892040906</v>
      </c>
      <c r="Q474" s="7">
        <f t="shared" ca="1" si="197"/>
        <v>1.2789373171458791</v>
      </c>
      <c r="R474" s="7">
        <f t="shared" ca="1" si="197"/>
        <v>1.3226682391096136</v>
      </c>
      <c r="S474" s="7">
        <f t="shared" ca="1" si="197"/>
        <v>1.3712334828231592</v>
      </c>
      <c r="T474" s="7">
        <f t="shared" ca="1" si="197"/>
        <v>1.4187709757552547</v>
      </c>
    </row>
    <row r="475" spans="1:20" x14ac:dyDescent="0.2">
      <c r="A475" s="1" t="s">
        <v>195</v>
      </c>
      <c r="B475" s="4"/>
      <c r="D475" s="15">
        <f t="shared" ref="D475:J475" si="198">D$99</f>
        <v>0.372</v>
      </c>
      <c r="E475" s="15">
        <f t="shared" si="198"/>
        <v>0.378</v>
      </c>
      <c r="F475" s="16">
        <f t="shared" si="198"/>
        <v>0.30199999999999999</v>
      </c>
      <c r="G475" s="16">
        <f t="shared" si="198"/>
        <v>0.17799999999999999</v>
      </c>
      <c r="H475" s="16">
        <f t="shared" si="198"/>
        <v>0.184</v>
      </c>
      <c r="I475" s="16">
        <f t="shared" si="198"/>
        <v>0.189</v>
      </c>
      <c r="J475" s="16">
        <f t="shared" si="198"/>
        <v>0.19400000000000001</v>
      </c>
      <c r="K475" s="7">
        <f ca="1">K$426-J$426</f>
        <v>0.32040733445139491</v>
      </c>
      <c r="L475" s="7">
        <f t="shared" ref="L475:T475" ca="1" si="199">L$426-K$426</f>
        <v>0.33644036907538499</v>
      </c>
      <c r="M475" s="7">
        <f t="shared" ca="1" si="199"/>
        <v>0.34432795445466802</v>
      </c>
      <c r="N475" s="7">
        <f t="shared" ca="1" si="199"/>
        <v>0.35288507743213948</v>
      </c>
      <c r="O475" s="7">
        <f t="shared" ca="1" si="199"/>
        <v>0.35806036851659684</v>
      </c>
      <c r="P475" s="7">
        <f t="shared" ca="1" si="199"/>
        <v>0.36374361235771424</v>
      </c>
      <c r="Q475" s="7">
        <f t="shared" ca="1" si="199"/>
        <v>0.37586572003372787</v>
      </c>
      <c r="R475" s="7">
        <f t="shared" ca="1" si="199"/>
        <v>0.38756870499474871</v>
      </c>
      <c r="S475" s="7">
        <f t="shared" ca="1" si="199"/>
        <v>0.40103095950569667</v>
      </c>
      <c r="T475" s="7">
        <f t="shared" ca="1" si="199"/>
        <v>0.41387042515611228</v>
      </c>
    </row>
    <row r="476" spans="1:20" x14ac:dyDescent="0.2">
      <c r="A476" s="1" t="s">
        <v>714</v>
      </c>
      <c r="B476" s="4" t="str">
        <f>$B$38</f>
        <v>From Fiscal</v>
      </c>
      <c r="D476" s="15">
        <f>-'Fiscal Forecasts'!D$373</f>
        <v>2.3809999999999998</v>
      </c>
      <c r="E476" s="15">
        <f>-'Fiscal Forecasts'!E$373</f>
        <v>1.919</v>
      </c>
      <c r="F476" s="16">
        <f>-'Fiscal Forecasts'!F$373</f>
        <v>3.5419999999999998</v>
      </c>
      <c r="G476" s="16">
        <f>-'Fiscal Forecasts'!G$373</f>
        <v>-0.60499999999999998</v>
      </c>
      <c r="H476" s="16">
        <f>-'Fiscal Forecasts'!H$373</f>
        <v>2E-3</v>
      </c>
      <c r="I476" s="16">
        <f>-'Fiscal Forecasts'!I$373</f>
        <v>-1E-3</v>
      </c>
      <c r="J476" s="16">
        <f>-'Fiscal Forecasts'!J$373</f>
        <v>-1E-3</v>
      </c>
      <c r="K476" s="7">
        <f t="shared" ref="K476:T476" ca="1" si="200">K$317-J$317</f>
        <v>0.71297263138149347</v>
      </c>
      <c r="L476" s="7">
        <f t="shared" ca="1" si="200"/>
        <v>0.70322527103258103</v>
      </c>
      <c r="M476" s="7">
        <f t="shared" ca="1" si="200"/>
        <v>0.67622429850667665</v>
      </c>
      <c r="N476" s="7">
        <f t="shared" ca="1" si="200"/>
        <v>0.64387142546881648</v>
      </c>
      <c r="O476" s="7">
        <f t="shared" ca="1" si="200"/>
        <v>0.59955046429820769</v>
      </c>
      <c r="P476" s="7">
        <f t="shared" ca="1" si="200"/>
        <v>0.54851633046146198</v>
      </c>
      <c r="Q476" s="7">
        <f t="shared" ca="1" si="200"/>
        <v>0.56679616767099006</v>
      </c>
      <c r="R476" s="7">
        <f t="shared" ca="1" si="200"/>
        <v>0.58444397823914684</v>
      </c>
      <c r="S476" s="7">
        <f t="shared" ca="1" si="200"/>
        <v>0.60474472358067999</v>
      </c>
      <c r="T476" s="7">
        <f t="shared" ca="1" si="200"/>
        <v>0.62410631879331646</v>
      </c>
    </row>
    <row r="477" spans="1:20" ht="15" x14ac:dyDescent="0.25">
      <c r="A477" s="2" t="s">
        <v>591</v>
      </c>
      <c r="D477" s="35">
        <f t="shared" ref="D477:T477" si="201">SUM(-D$474,D$475,-D$476)</f>
        <v>-1.2139999999999997</v>
      </c>
      <c r="E477" s="35">
        <f t="shared" si="201"/>
        <v>-0.85599999999999987</v>
      </c>
      <c r="F477" s="34">
        <f t="shared" si="201"/>
        <v>-1.6859999999999997</v>
      </c>
      <c r="G477" s="34">
        <f t="shared" si="201"/>
        <v>4.74</v>
      </c>
      <c r="H477" s="34">
        <f t="shared" si="201"/>
        <v>0.78400000000000003</v>
      </c>
      <c r="I477" s="34">
        <f t="shared" si="201"/>
        <v>-1.302</v>
      </c>
      <c r="J477" s="34">
        <f t="shared" si="201"/>
        <v>4.1220000000000008</v>
      </c>
      <c r="K477" s="38">
        <f t="shared" ca="1" si="201"/>
        <v>-2.0123233625277388</v>
      </c>
      <c r="L477" s="38">
        <f t="shared" ca="1" si="201"/>
        <v>-1.9588887955038821</v>
      </c>
      <c r="M477" s="38">
        <f t="shared" ca="1" si="201"/>
        <v>-1.862204892625239</v>
      </c>
      <c r="N477" s="38">
        <f t="shared" ca="1" si="201"/>
        <v>-1.7423145214737072</v>
      </c>
      <c r="O477" s="38">
        <f t="shared" ca="1" si="201"/>
        <v>-1.5844478163734621</v>
      </c>
      <c r="P477" s="38">
        <f t="shared" ca="1" si="201"/>
        <v>-1.3969532073078383</v>
      </c>
      <c r="Q477" s="38">
        <f t="shared" ca="1" si="201"/>
        <v>-1.4698677647831413</v>
      </c>
      <c r="R477" s="38">
        <f t="shared" ca="1" si="201"/>
        <v>-1.5195435123540117</v>
      </c>
      <c r="S477" s="38">
        <f t="shared" ca="1" si="201"/>
        <v>-1.5749472468981425</v>
      </c>
      <c r="T477" s="38">
        <f t="shared" ca="1" si="201"/>
        <v>-1.6290068693924589</v>
      </c>
    </row>
    <row r="478" spans="1:20" ht="15" x14ac:dyDescent="0.25">
      <c r="A478" s="2" t="s">
        <v>694</v>
      </c>
      <c r="D478" s="6" t="str">
        <f t="shared" ref="D478:T478" si="202">IF(ROUND(SUM(D$470,D$473,D$477),3)=0,"OK","ERROR")</f>
        <v>OK</v>
      </c>
      <c r="E478" s="6" t="str">
        <f t="shared" si="202"/>
        <v>OK</v>
      </c>
      <c r="F478" s="6" t="str">
        <f t="shared" ca="1" si="202"/>
        <v>OK</v>
      </c>
      <c r="G478" s="6" t="str">
        <f t="shared" ca="1" si="202"/>
        <v>OK</v>
      </c>
      <c r="H478" s="6" t="str">
        <f t="shared" ca="1" si="202"/>
        <v>OK</v>
      </c>
      <c r="I478" s="6" t="str">
        <f t="shared" ca="1" si="202"/>
        <v>OK</v>
      </c>
      <c r="J478" s="6" t="str">
        <f t="shared" ca="1" si="202"/>
        <v>OK</v>
      </c>
      <c r="K478" s="6" t="str">
        <f t="shared" ca="1" si="202"/>
        <v>OK</v>
      </c>
      <c r="L478" s="6" t="str">
        <f t="shared" ca="1" si="202"/>
        <v>OK</v>
      </c>
      <c r="M478" s="6" t="str">
        <f t="shared" ca="1" si="202"/>
        <v>OK</v>
      </c>
      <c r="N478" s="6" t="str">
        <f t="shared" ca="1" si="202"/>
        <v>OK</v>
      </c>
      <c r="O478" s="6" t="str">
        <f t="shared" ca="1" si="202"/>
        <v>OK</v>
      </c>
      <c r="P478" s="6" t="str">
        <f t="shared" ca="1" si="202"/>
        <v>OK</v>
      </c>
      <c r="Q478" s="6" t="str">
        <f t="shared" ca="1" si="202"/>
        <v>OK</v>
      </c>
      <c r="R478" s="6" t="str">
        <f t="shared" ca="1" si="202"/>
        <v>OK</v>
      </c>
      <c r="S478" s="6" t="str">
        <f t="shared" ca="1" si="202"/>
        <v>OK</v>
      </c>
      <c r="T478" s="6" t="str">
        <f t="shared" ca="1" si="202"/>
        <v>OK</v>
      </c>
    </row>
    <row r="479" spans="1:20" ht="15" x14ac:dyDescent="0.25">
      <c r="F479" s="53"/>
      <c r="G479" s="53"/>
      <c r="H479" s="53"/>
      <c r="I479" s="53"/>
      <c r="J479" s="53"/>
      <c r="K479" s="53"/>
      <c r="L479" s="53"/>
      <c r="M479" s="53"/>
      <c r="N479" s="53"/>
      <c r="O479" s="53"/>
      <c r="P479" s="53"/>
      <c r="Q479" s="53"/>
      <c r="R479" s="53"/>
      <c r="S479" s="53"/>
      <c r="T479" s="53"/>
    </row>
    <row r="480" spans="1:20" x14ac:dyDescent="0.2">
      <c r="A480" s="19" t="s">
        <v>696</v>
      </c>
      <c r="B480" s="4" t="str">
        <f>$B$59</f>
        <v>Projected Years only</v>
      </c>
    </row>
    <row r="481" spans="1:20" x14ac:dyDescent="0.2">
      <c r="A481" s="1" t="s">
        <v>697</v>
      </c>
      <c r="K481" s="7">
        <f ca="1">SUM(K$455-K$348,K$456,K$457,K$458+K$145-(K$322-J$322))-SUM(K$459,K$460+K$245-(K$429-J$429),K$461,K$462)</f>
        <v>11.047728097760711</v>
      </c>
      <c r="L481" s="7">
        <f t="shared" ref="L481:T481" ca="1" si="203">SUM(L$455-L$348,L$456,L$457,L$458+L$145-(L$322-K$322))-SUM(L$459,L$460+L$245-(L$429-K$429),L$461,L$462)</f>
        <v>12.280143054830077</v>
      </c>
      <c r="M481" s="7">
        <f t="shared" ca="1" si="203"/>
        <v>13.436371094007626</v>
      </c>
      <c r="N481" s="7">
        <f t="shared" ca="1" si="203"/>
        <v>14.563573015151363</v>
      </c>
      <c r="O481" s="7">
        <f t="shared" ca="1" si="203"/>
        <v>15.652809884440117</v>
      </c>
      <c r="P481" s="7">
        <f t="shared" ca="1" si="203"/>
        <v>16.785751727840861</v>
      </c>
      <c r="Q481" s="7">
        <f t="shared" ca="1" si="203"/>
        <v>17.986528530364836</v>
      </c>
      <c r="R481" s="7">
        <f t="shared" ca="1" si="203"/>
        <v>19.084367343360384</v>
      </c>
      <c r="S481" s="7">
        <f t="shared" ca="1" si="203"/>
        <v>20.240152959963353</v>
      </c>
      <c r="T481" s="7">
        <f t="shared" ca="1" si="203"/>
        <v>21.405680995043141</v>
      </c>
    </row>
    <row r="482" spans="1:20" x14ac:dyDescent="0.2">
      <c r="A482" s="1" t="s">
        <v>698</v>
      </c>
      <c r="K482" s="7">
        <f t="shared" ref="K482:T482" ca="1" si="204">-SUM(K$464,K$387-J$387,K$465,K$361-J$361,K$466,K$401-J$401,K$468,K$474,K$329-J$329,K$338-J$338,-K$303)</f>
        <v>-8.9044818286147773</v>
      </c>
      <c r="L482" s="7">
        <f t="shared" ca="1" si="204"/>
        <v>-10.193368189535454</v>
      </c>
      <c r="M482" s="7">
        <f t="shared" ca="1" si="204"/>
        <v>-11.046968626310065</v>
      </c>
      <c r="N482" s="7">
        <f t="shared" ca="1" si="204"/>
        <v>-11.930873488071393</v>
      </c>
      <c r="O482" s="7">
        <f t="shared" ca="1" si="204"/>
        <v>-12.754241686288825</v>
      </c>
      <c r="P482" s="7">
        <f t="shared" ca="1" si="204"/>
        <v>-13.77595402495982</v>
      </c>
      <c r="Q482" s="7">
        <f t="shared" ca="1" si="204"/>
        <v>-15.271889969975771</v>
      </c>
      <c r="R482" s="7">
        <f t="shared" ca="1" si="204"/>
        <v>-17.084567103004481</v>
      </c>
      <c r="S482" s="7">
        <f t="shared" ca="1" si="204"/>
        <v>-19.342486807503896</v>
      </c>
      <c r="T482" s="7">
        <f t="shared" ca="1" si="204"/>
        <v>-22.086787832522276</v>
      </c>
    </row>
    <row r="483" spans="1:20" x14ac:dyDescent="0.2">
      <c r="A483" s="1" t="s">
        <v>195</v>
      </c>
      <c r="K483" s="7">
        <f ca="1">K$475</f>
        <v>0.32040733445139491</v>
      </c>
      <c r="L483" s="7">
        <f t="shared" ref="L483:T483" ca="1" si="205">L$475</f>
        <v>0.33644036907538499</v>
      </c>
      <c r="M483" s="7">
        <f t="shared" ca="1" si="205"/>
        <v>0.34432795445466802</v>
      </c>
      <c r="N483" s="7">
        <f t="shared" ca="1" si="205"/>
        <v>0.35288507743213948</v>
      </c>
      <c r="O483" s="7">
        <f t="shared" ca="1" si="205"/>
        <v>0.35806036851659684</v>
      </c>
      <c r="P483" s="7">
        <f t="shared" ca="1" si="205"/>
        <v>0.36374361235771424</v>
      </c>
      <c r="Q483" s="7">
        <f t="shared" ca="1" si="205"/>
        <v>0.37586572003372787</v>
      </c>
      <c r="R483" s="7">
        <f t="shared" ca="1" si="205"/>
        <v>0.38756870499474871</v>
      </c>
      <c r="S483" s="7">
        <f t="shared" ca="1" si="205"/>
        <v>0.40103095950569667</v>
      </c>
      <c r="T483" s="7">
        <f t="shared" ca="1" si="205"/>
        <v>0.41387042515611228</v>
      </c>
    </row>
    <row r="484" spans="1:20" x14ac:dyDescent="0.2">
      <c r="A484" s="1" t="s">
        <v>713</v>
      </c>
      <c r="K484" s="7">
        <f ca="1">SUM(K$476,K$316-J$316,-K$481,-K$482,-K$483)</f>
        <v>-1.8532460119595173</v>
      </c>
      <c r="L484" s="7">
        <f t="shared" ref="L484:T484" ca="1" si="206">SUM(L$476,L$316-K$316,-L$481,-L$482,-L$483)</f>
        <v>-1.3378282346223749</v>
      </c>
      <c r="M484" s="7">
        <f t="shared" ca="1" si="206"/>
        <v>-1.6675012107301566</v>
      </c>
      <c r="N484" s="7">
        <f t="shared" ca="1" si="206"/>
        <v>-1.9434214823613143</v>
      </c>
      <c r="O484" s="7">
        <f t="shared" ca="1" si="206"/>
        <v>-2.2533053383161477</v>
      </c>
      <c r="P484" s="7">
        <f t="shared" ca="1" si="206"/>
        <v>-2.4191184855496264</v>
      </c>
      <c r="Q484" s="7">
        <f t="shared" ca="1" si="206"/>
        <v>-2.122534975017869</v>
      </c>
      <c r="R484" s="7">
        <f t="shared" ca="1" si="206"/>
        <v>-1.4067097312082666</v>
      </c>
      <c r="S484" s="7">
        <f t="shared" ca="1" si="206"/>
        <v>-0.29979577887292663</v>
      </c>
      <c r="T484" s="7">
        <f t="shared" ca="1" si="206"/>
        <v>1.2835551593492447</v>
      </c>
    </row>
    <row r="485" spans="1:20" ht="15" x14ac:dyDescent="0.25">
      <c r="A485" s="2" t="s">
        <v>699</v>
      </c>
      <c r="K485" s="38">
        <f ca="1">SUM(K$481:K$484)</f>
        <v>0.61040759163781111</v>
      </c>
      <c r="L485" s="38">
        <f t="shared" ref="L485:T485" ca="1" si="207">SUM(L$481:L$484)</f>
        <v>1.0853869997476338</v>
      </c>
      <c r="M485" s="38">
        <f t="shared" ca="1" si="207"/>
        <v>1.0662292114220726</v>
      </c>
      <c r="N485" s="38">
        <f t="shared" ca="1" si="207"/>
        <v>1.0421631221507948</v>
      </c>
      <c r="O485" s="38">
        <f t="shared" ca="1" si="207"/>
        <v>1.003323228351741</v>
      </c>
      <c r="P485" s="38">
        <f t="shared" ca="1" si="207"/>
        <v>0.95442282968912906</v>
      </c>
      <c r="Q485" s="38">
        <f t="shared" ca="1" si="207"/>
        <v>0.96796930540492454</v>
      </c>
      <c r="R485" s="38">
        <f t="shared" ca="1" si="207"/>
        <v>0.98065921414238488</v>
      </c>
      <c r="S485" s="38">
        <f t="shared" ca="1" si="207"/>
        <v>0.99890133309222762</v>
      </c>
      <c r="T485" s="38">
        <f t="shared" ca="1" si="207"/>
        <v>1.0163187470262223</v>
      </c>
    </row>
    <row r="486" spans="1:20" x14ac:dyDescent="0.2">
      <c r="A486" s="19" t="s">
        <v>359</v>
      </c>
    </row>
    <row r="487" spans="1:20" ht="15" x14ac:dyDescent="0.25">
      <c r="A487" s="2" t="s">
        <v>356</v>
      </c>
      <c r="K487" s="28">
        <f t="shared" ref="K487:T487" ca="1" si="208">K$481</f>
        <v>11.047728097760711</v>
      </c>
      <c r="L487" s="28">
        <f t="shared" ca="1" si="208"/>
        <v>12.280143054830077</v>
      </c>
      <c r="M487" s="28">
        <f t="shared" ca="1" si="208"/>
        <v>13.436371094007626</v>
      </c>
      <c r="N487" s="28">
        <f t="shared" ca="1" si="208"/>
        <v>14.563573015151363</v>
      </c>
      <c r="O487" s="28">
        <f t="shared" ca="1" si="208"/>
        <v>15.652809884440117</v>
      </c>
      <c r="P487" s="28">
        <f t="shared" ca="1" si="208"/>
        <v>16.785751727840861</v>
      </c>
      <c r="Q487" s="28">
        <f t="shared" ca="1" si="208"/>
        <v>17.986528530364836</v>
      </c>
      <c r="R487" s="28">
        <f t="shared" ca="1" si="208"/>
        <v>19.084367343360384</v>
      </c>
      <c r="S487" s="28">
        <f t="shared" ca="1" si="208"/>
        <v>20.240152959963353</v>
      </c>
      <c r="T487" s="28">
        <f t="shared" ca="1" si="208"/>
        <v>21.405680995043141</v>
      </c>
    </row>
    <row r="488" spans="1:20" ht="15" x14ac:dyDescent="0.25">
      <c r="A488" s="2" t="s">
        <v>162</v>
      </c>
      <c r="K488" s="38">
        <f t="shared" ref="K488:T488" ca="1" si="209">K$305</f>
        <v>2.7392990874370735</v>
      </c>
      <c r="L488" s="38">
        <f t="shared" ca="1" si="209"/>
        <v>3.0731381445081496</v>
      </c>
      <c r="M488" s="38">
        <f t="shared" ca="1" si="209"/>
        <v>3.4284165730658018</v>
      </c>
      <c r="N488" s="38">
        <f t="shared" ca="1" si="209"/>
        <v>3.8045659943383079</v>
      </c>
      <c r="O488" s="38">
        <f t="shared" ca="1" si="209"/>
        <v>4.2010367253749115</v>
      </c>
      <c r="P488" s="38">
        <f t="shared" ca="1" si="209"/>
        <v>4.5885159993323468</v>
      </c>
      <c r="Q488" s="38">
        <f t="shared" ca="1" si="209"/>
        <v>4.8990773058312334</v>
      </c>
      <c r="R488" s="38">
        <f t="shared" ca="1" si="209"/>
        <v>5.2066150328911762</v>
      </c>
      <c r="S488" s="38">
        <f t="shared" ca="1" si="209"/>
        <v>5.5122560728636341</v>
      </c>
      <c r="T488" s="38">
        <f t="shared" ca="1" si="209"/>
        <v>5.8171430501416435</v>
      </c>
    </row>
    <row r="489" spans="1:20" x14ac:dyDescent="0.2">
      <c r="A489" s="1" t="s">
        <v>706</v>
      </c>
      <c r="K489" s="7">
        <f t="shared" ref="K489:T489" ca="1" si="210">K$190</f>
        <v>2.0624954662766832</v>
      </c>
      <c r="L489" s="7">
        <f t="shared" ca="1" si="210"/>
        <v>2.1074319222427529</v>
      </c>
      <c r="M489" s="7">
        <f t="shared" ca="1" si="210"/>
        <v>2.2338955167689032</v>
      </c>
      <c r="N489" s="7">
        <f t="shared" ca="1" si="210"/>
        <v>2.3973144499676478</v>
      </c>
      <c r="O489" s="7">
        <f t="shared" ca="1" si="210"/>
        <v>2.5991564365991775</v>
      </c>
      <c r="P489" s="7">
        <f t="shared" ca="1" si="210"/>
        <v>2.838994782251258</v>
      </c>
      <c r="Q489" s="7">
        <f t="shared" ca="1" si="210"/>
        <v>3.1243009545677469</v>
      </c>
      <c r="R489" s="7">
        <f t="shared" ca="1" si="210"/>
        <v>3.4640512698367862</v>
      </c>
      <c r="S489" s="7">
        <f t="shared" ca="1" si="210"/>
        <v>3.8691105865322664</v>
      </c>
      <c r="T489" s="7">
        <f t="shared" ca="1" si="210"/>
        <v>4.3524040062771512</v>
      </c>
    </row>
    <row r="490" spans="1:20" x14ac:dyDescent="0.2">
      <c r="A490" s="1" t="s">
        <v>710</v>
      </c>
      <c r="K490" s="7">
        <f>K$237</f>
        <v>0.66800000000000004</v>
      </c>
      <c r="L490" s="7">
        <f t="shared" ref="L490:T490" si="211">L$237</f>
        <v>0.68799999999999994</v>
      </c>
      <c r="M490" s="7">
        <f t="shared" si="211"/>
        <v>0.70699999999999996</v>
      </c>
      <c r="N490" s="7">
        <f t="shared" si="211"/>
        <v>0.72699999999999998</v>
      </c>
      <c r="O490" s="7">
        <f t="shared" si="211"/>
        <v>0.74399999999999999</v>
      </c>
      <c r="P490" s="7">
        <f t="shared" si="211"/>
        <v>0.76400000000000001</v>
      </c>
      <c r="Q490" s="7">
        <f t="shared" si="211"/>
        <v>0.78400000000000003</v>
      </c>
      <c r="R490" s="7">
        <f t="shared" si="211"/>
        <v>0.8</v>
      </c>
      <c r="S490" s="7">
        <f t="shared" si="211"/>
        <v>0.81599999999999995</v>
      </c>
      <c r="T490" s="7">
        <f t="shared" si="211"/>
        <v>0.83299999999999996</v>
      </c>
    </row>
    <row r="491" spans="1:20" x14ac:dyDescent="0.2">
      <c r="A491" s="1" t="s">
        <v>721</v>
      </c>
      <c r="K491" s="7">
        <f t="shared" ref="K491:T491" si="212">K$446-J$446</f>
        <v>-0.28491579634464692</v>
      </c>
      <c r="L491" s="7">
        <f t="shared" si="212"/>
        <v>-0.29163098346388061</v>
      </c>
      <c r="M491" s="7">
        <f t="shared" si="212"/>
        <v>-0.28779373368146466</v>
      </c>
      <c r="N491" s="7">
        <f t="shared" si="212"/>
        <v>-0.28299717145343539</v>
      </c>
      <c r="O491" s="7">
        <f t="shared" si="212"/>
        <v>-0.27436335944299373</v>
      </c>
      <c r="P491" s="7">
        <f t="shared" si="212"/>
        <v>-0.26860748476936624</v>
      </c>
      <c r="Q491" s="7">
        <f t="shared" si="212"/>
        <v>-0.26572954743254851</v>
      </c>
      <c r="R491" s="7">
        <f t="shared" si="212"/>
        <v>-0.27244473455178486</v>
      </c>
      <c r="S491" s="7">
        <f t="shared" si="212"/>
        <v>-0.27724129677980702</v>
      </c>
      <c r="T491" s="7">
        <f t="shared" si="212"/>
        <v>-0.28299717145343894</v>
      </c>
    </row>
    <row r="492" spans="1:20" x14ac:dyDescent="0.2">
      <c r="A492" s="1" t="s">
        <v>722</v>
      </c>
      <c r="K492" s="7">
        <f t="shared" ref="K492:T492" ca="1" si="213">K$440-J$440</f>
        <v>1.2908932964393847E-3</v>
      </c>
      <c r="L492" s="7">
        <f t="shared" ca="1" si="213"/>
        <v>1.0657248189033762E-3</v>
      </c>
      <c r="M492" s="7">
        <f t="shared" ca="1" si="213"/>
        <v>1.1080790604787068E-3</v>
      </c>
      <c r="N492" s="7">
        <f t="shared" ca="1" si="213"/>
        <v>1.1552506900286141E-3</v>
      </c>
      <c r="O492" s="7">
        <f t="shared" ca="1" si="213"/>
        <v>1.1936667126649925E-3</v>
      </c>
      <c r="P492" s="7">
        <f t="shared" ca="1" si="213"/>
        <v>1.2367970817659356E-3</v>
      </c>
      <c r="Q492" s="7">
        <f t="shared" ca="1" si="213"/>
        <v>1.278014540682576E-3</v>
      </c>
      <c r="R492" s="7">
        <f t="shared" ca="1" si="213"/>
        <v>1.317806903093903E-3</v>
      </c>
      <c r="S492" s="7">
        <f t="shared" ca="1" si="213"/>
        <v>1.363581114729423E-3</v>
      </c>
      <c r="T492" s="7">
        <f t="shared" ca="1" si="213"/>
        <v>1.4072377264426547E-3</v>
      </c>
    </row>
    <row r="493" spans="1:20" x14ac:dyDescent="0.2">
      <c r="A493" s="1" t="s">
        <v>723</v>
      </c>
      <c r="K493" s="7">
        <f t="shared" ref="K493:T493" ca="1" si="214">-K$312</f>
        <v>-0.12451121425175357</v>
      </c>
      <c r="L493" s="7">
        <f t="shared" ca="1" si="214"/>
        <v>-0.12997394835710407</v>
      </c>
      <c r="M493" s="7">
        <f t="shared" ca="1" si="214"/>
        <v>-0.13565378349628232</v>
      </c>
      <c r="N493" s="7">
        <f t="shared" ca="1" si="214"/>
        <v>-0.14157541282564598</v>
      </c>
      <c r="O493" s="7">
        <f t="shared" ca="1" si="214"/>
        <v>-0.14769395651162903</v>
      </c>
      <c r="P493" s="7">
        <f t="shared" ca="1" si="214"/>
        <v>-0.15403357953637284</v>
      </c>
      <c r="Q493" s="7">
        <f t="shared" ca="1" si="214"/>
        <v>-0.16058447662977493</v>
      </c>
      <c r="R493" s="7">
        <f t="shared" ca="1" si="214"/>
        <v>-0.16733934297623473</v>
      </c>
      <c r="S493" s="7">
        <f t="shared" ca="1" si="214"/>
        <v>-0.17432884057328718</v>
      </c>
      <c r="T493" s="7">
        <f t="shared" ca="1" si="214"/>
        <v>-0.18154211494413691</v>
      </c>
    </row>
    <row r="494" spans="1:20" ht="15" x14ac:dyDescent="0.25">
      <c r="A494" s="2" t="s">
        <v>711</v>
      </c>
      <c r="K494" s="38">
        <f t="shared" ref="K494:T494" ca="1" si="215">-SUM(K$489:K$493)</f>
        <v>-2.3223593489767222</v>
      </c>
      <c r="L494" s="38">
        <f t="shared" ca="1" si="215"/>
        <v>-2.3748927152406716</v>
      </c>
      <c r="M494" s="38">
        <f t="shared" ca="1" si="215"/>
        <v>-2.5185560786516348</v>
      </c>
      <c r="N494" s="38">
        <f t="shared" ca="1" si="215"/>
        <v>-2.7008971163785946</v>
      </c>
      <c r="O494" s="38">
        <f t="shared" ca="1" si="215"/>
        <v>-2.92229278735722</v>
      </c>
      <c r="P494" s="38">
        <f t="shared" ca="1" si="215"/>
        <v>-3.1815905150272852</v>
      </c>
      <c r="Q494" s="38">
        <f t="shared" ca="1" si="215"/>
        <v>-3.4832649450461064</v>
      </c>
      <c r="R494" s="38">
        <f t="shared" ca="1" si="215"/>
        <v>-3.8255849992118605</v>
      </c>
      <c r="S494" s="38">
        <f t="shared" ca="1" si="215"/>
        <v>-4.2349040302939009</v>
      </c>
      <c r="T494" s="38">
        <f t="shared" ca="1" si="215"/>
        <v>-4.7222719576060177</v>
      </c>
    </row>
    <row r="495" spans="1:20" x14ac:dyDescent="0.2">
      <c r="A495" s="1" t="s">
        <v>208</v>
      </c>
      <c r="K495" s="7">
        <f ca="1">K$325-J$325</f>
        <v>0.88398702948306251</v>
      </c>
      <c r="L495" s="7">
        <f t="shared" ref="L495:T495" ca="1" si="216">L$325-K$325</f>
        <v>0.93562999397173741</v>
      </c>
      <c r="M495" s="7">
        <f t="shared" ca="1" si="216"/>
        <v>0.98802298142642542</v>
      </c>
      <c r="N495" s="7">
        <f t="shared" ca="1" si="216"/>
        <v>1.0417753586181284</v>
      </c>
      <c r="O495" s="7">
        <f t="shared" ca="1" si="216"/>
        <v>1.0968896538100772</v>
      </c>
      <c r="P495" s="7">
        <f t="shared" ca="1" si="216"/>
        <v>1.1525202375161498</v>
      </c>
      <c r="Q495" s="7">
        <f t="shared" ca="1" si="216"/>
        <v>1.208858285982501</v>
      </c>
      <c r="R495" s="7">
        <f t="shared" ca="1" si="216"/>
        <v>1.2650483595472757</v>
      </c>
      <c r="S495" s="7">
        <f t="shared" ca="1" si="216"/>
        <v>1.3224785155075409</v>
      </c>
      <c r="T495" s="7">
        <f t="shared" ca="1" si="216"/>
        <v>1.3811104698415981</v>
      </c>
    </row>
    <row r="496" spans="1:20" x14ac:dyDescent="0.2">
      <c r="A496" s="1" t="s">
        <v>209</v>
      </c>
      <c r="K496" s="7">
        <f ca="1">SUM(K$147,-(K$458+K$145))</f>
        <v>0.25081327999777292</v>
      </c>
      <c r="L496" s="7">
        <f t="shared" ref="L496:T496" ca="1" si="217">SUM(L$147,-(L$458+L$145))</f>
        <v>0.21054900107919039</v>
      </c>
      <c r="M496" s="7">
        <f t="shared" ca="1" si="217"/>
        <v>0.17074882313358852</v>
      </c>
      <c r="N496" s="7">
        <f t="shared" ca="1" si="217"/>
        <v>0.13008910500260518</v>
      </c>
      <c r="O496" s="7">
        <f t="shared" ca="1" si="217"/>
        <v>8.9243069926017604E-2</v>
      </c>
      <c r="P496" s="7">
        <f t="shared" ca="1" si="217"/>
        <v>4.8996239692415067E-2</v>
      </c>
      <c r="Q496" s="7">
        <f t="shared" ca="1" si="217"/>
        <v>7.9154598670765353E-3</v>
      </c>
      <c r="R496" s="7">
        <f t="shared" ca="1" si="217"/>
        <v>-1.0505486393373786E-2</v>
      </c>
      <c r="S496" s="7">
        <f t="shared" ca="1" si="217"/>
        <v>-3.0764388317434666E-2</v>
      </c>
      <c r="T496" s="7">
        <f t="shared" ca="1" si="217"/>
        <v>-5.2899088598053368E-2</v>
      </c>
    </row>
    <row r="497" spans="1:20" x14ac:dyDescent="0.2">
      <c r="A497" s="1" t="s">
        <v>210</v>
      </c>
      <c r="K497" s="7">
        <f t="shared" ref="K497:T497" ca="1" si="218">K$379-J$379</f>
        <v>2.7039400508850564E-2</v>
      </c>
      <c r="L497" s="7">
        <f t="shared" ca="1" si="218"/>
        <v>2.7803555659146051E-2</v>
      </c>
      <c r="M497" s="7">
        <f t="shared" ca="1" si="218"/>
        <v>2.7891611402057315E-2</v>
      </c>
      <c r="N497" s="7">
        <f t="shared" ca="1" si="218"/>
        <v>2.7947472583887301E-2</v>
      </c>
      <c r="O497" s="7">
        <f t="shared" ca="1" si="218"/>
        <v>2.7660341499023633E-2</v>
      </c>
      <c r="P497" s="7">
        <f t="shared" ca="1" si="218"/>
        <v>2.7314393287512728E-2</v>
      </c>
      <c r="Q497" s="7">
        <f t="shared" ca="1" si="218"/>
        <v>2.8224671860901385E-2</v>
      </c>
      <c r="R497" s="7">
        <f t="shared" ca="1" si="218"/>
        <v>2.9103477489380247E-2</v>
      </c>
      <c r="S497" s="7">
        <f t="shared" ca="1" si="218"/>
        <v>3.0114390950829573E-2</v>
      </c>
      <c r="T497" s="7">
        <f t="shared" ca="1" si="218"/>
        <v>3.1078537680730323E-2</v>
      </c>
    </row>
    <row r="498" spans="1:20" x14ac:dyDescent="0.2">
      <c r="A498" s="1" t="s">
        <v>211</v>
      </c>
      <c r="K498" s="7">
        <f t="shared" ref="K498:T498" ca="1" si="219">K$383-J$383</f>
        <v>6.657824718016836E-2</v>
      </c>
      <c r="L498" s="7">
        <f t="shared" ca="1" si="219"/>
        <v>6.8514844912935358E-2</v>
      </c>
      <c r="M498" s="7">
        <f t="shared" ca="1" si="219"/>
        <v>6.8785648509751107E-2</v>
      </c>
      <c r="N498" s="7">
        <f t="shared" ca="1" si="219"/>
        <v>6.898547102207675E-2</v>
      </c>
      <c r="O498" s="7">
        <f t="shared" ca="1" si="219"/>
        <v>6.8346138303023718E-2</v>
      </c>
      <c r="P498" s="7">
        <f t="shared" ca="1" si="219"/>
        <v>6.7571486443370077E-2</v>
      </c>
      <c r="Q498" s="7">
        <f t="shared" ca="1" si="219"/>
        <v>6.9823371580776561E-2</v>
      </c>
      <c r="R498" s="7">
        <f t="shared" ca="1" si="219"/>
        <v>7.199739763312385E-2</v>
      </c>
      <c r="S498" s="7">
        <f t="shared" ca="1" si="219"/>
        <v>7.4498237557947489E-2</v>
      </c>
      <c r="T498" s="7">
        <f t="shared" ca="1" si="219"/>
        <v>7.6883383989836185E-2</v>
      </c>
    </row>
    <row r="499" spans="1:20" x14ac:dyDescent="0.2">
      <c r="A499" s="1" t="s">
        <v>724</v>
      </c>
      <c r="K499" s="7">
        <f ca="1">K$436-J$436</f>
        <v>3.2564614158491489E-2</v>
      </c>
      <c r="L499" s="7">
        <f t="shared" ref="L499:T499" ca="1" si="220">L$436-K$436</f>
        <v>3.1800852772836508E-2</v>
      </c>
      <c r="M499" s="7">
        <f t="shared" ca="1" si="220"/>
        <v>3.0255155744693119E-2</v>
      </c>
      <c r="N499" s="7">
        <f t="shared" ca="1" si="220"/>
        <v>2.8417033000923797E-2</v>
      </c>
      <c r="O499" s="7">
        <f t="shared" ca="1" si="220"/>
        <v>2.6001117623255632E-2</v>
      </c>
      <c r="P499" s="7">
        <f t="shared" ca="1" si="220"/>
        <v>2.3223576275600899E-2</v>
      </c>
      <c r="Q499" s="7">
        <f t="shared" ca="1" si="220"/>
        <v>2.3997524415638738E-2</v>
      </c>
      <c r="R499" s="7">
        <f t="shared" ca="1" si="220"/>
        <v>2.4744713244970629E-2</v>
      </c>
      <c r="S499" s="7">
        <f t="shared" ca="1" si="220"/>
        <v>2.5604224405730514E-2</v>
      </c>
      <c r="T499" s="7">
        <f t="shared" ca="1" si="220"/>
        <v>2.6423972986159616E-2</v>
      </c>
    </row>
    <row r="500" spans="1:20" x14ac:dyDescent="0.2">
      <c r="A500" s="1" t="s">
        <v>725</v>
      </c>
      <c r="K500" s="7">
        <f ca="1">SUM(K$432-J$432,K$451-J$451)</f>
        <v>0.7207782521840409</v>
      </c>
      <c r="L500" s="7">
        <f t="shared" ref="L500:T500" ca="1" si="221">SUM(L$432-K$432,L$451-K$451)</f>
        <v>0.79933271748309664</v>
      </c>
      <c r="M500" s="7">
        <f t="shared" ca="1" si="221"/>
        <v>0.80289203957850308</v>
      </c>
      <c r="N500" s="7">
        <f t="shared" ca="1" si="221"/>
        <v>0.8101330733723664</v>
      </c>
      <c r="O500" s="7">
        <f t="shared" ca="1" si="221"/>
        <v>0.81394465459108112</v>
      </c>
      <c r="P500" s="7">
        <f t="shared" ca="1" si="221"/>
        <v>0.81475798875128902</v>
      </c>
      <c r="Q500" s="7">
        <f t="shared" ca="1" si="221"/>
        <v>0.8486192428449888</v>
      </c>
      <c r="R500" s="7">
        <f t="shared" ca="1" si="221"/>
        <v>0.88160043573802227</v>
      </c>
      <c r="S500" s="7">
        <f t="shared" ca="1" si="221"/>
        <v>0.91587090811550009</v>
      </c>
      <c r="T500" s="7">
        <f t="shared" ca="1" si="221"/>
        <v>0.9494328422336169</v>
      </c>
    </row>
    <row r="501" spans="1:20" ht="15" x14ac:dyDescent="0.25">
      <c r="A501" s="2" t="s">
        <v>214</v>
      </c>
      <c r="K501" s="38">
        <f ca="1">SUM(K$495:K$498,-K$499,-K$500)</f>
        <v>0.47507509082732202</v>
      </c>
      <c r="L501" s="38">
        <f t="shared" ref="L501:T501" ca="1" si="222">SUM(L$495:L$498,-L$499,-L$500)</f>
        <v>0.41136382536707616</v>
      </c>
      <c r="M501" s="38">
        <f t="shared" ca="1" si="222"/>
        <v>0.42230186914862622</v>
      </c>
      <c r="N501" s="38">
        <f t="shared" ca="1" si="222"/>
        <v>0.43024730085340757</v>
      </c>
      <c r="O501" s="38">
        <f t="shared" ca="1" si="222"/>
        <v>0.44219343132380562</v>
      </c>
      <c r="P501" s="38">
        <f t="shared" ca="1" si="222"/>
        <v>0.45842079191255802</v>
      </c>
      <c r="Q501" s="38">
        <f t="shared" ca="1" si="222"/>
        <v>0.44220502203062795</v>
      </c>
      <c r="R501" s="38">
        <f t="shared" ca="1" si="222"/>
        <v>0.44929859929341287</v>
      </c>
      <c r="S501" s="38">
        <f t="shared" ca="1" si="222"/>
        <v>0.45485162317765271</v>
      </c>
      <c r="T501" s="38">
        <f t="shared" ca="1" si="222"/>
        <v>0.46031648769433486</v>
      </c>
    </row>
    <row r="502" spans="1:20" ht="15" x14ac:dyDescent="0.25">
      <c r="A502" s="2" t="s">
        <v>1342</v>
      </c>
      <c r="K502" s="28">
        <f ca="1">SUM(K$487,K$488,K$494,K$501)</f>
        <v>11.939742927048385</v>
      </c>
      <c r="L502" s="28">
        <f t="shared" ref="L502:T502" ca="1" si="223">SUM(L$487,L$488,L$494,L$501)</f>
        <v>13.389752309464631</v>
      </c>
      <c r="M502" s="28">
        <f t="shared" ca="1" si="223"/>
        <v>14.76853345757042</v>
      </c>
      <c r="N502" s="28">
        <f t="shared" ca="1" si="223"/>
        <v>16.097489193964485</v>
      </c>
      <c r="O502" s="28">
        <f t="shared" ca="1" si="223"/>
        <v>17.373747253781612</v>
      </c>
      <c r="P502" s="28">
        <f t="shared" ca="1" si="223"/>
        <v>18.651098004058483</v>
      </c>
      <c r="Q502" s="28">
        <f t="shared" ca="1" si="223"/>
        <v>19.844545913180593</v>
      </c>
      <c r="R502" s="28">
        <f t="shared" ca="1" si="223"/>
        <v>20.914695976333114</v>
      </c>
      <c r="S502" s="28">
        <f t="shared" ca="1" si="223"/>
        <v>21.972356625710741</v>
      </c>
      <c r="T502" s="28">
        <f t="shared" ca="1" si="223"/>
        <v>22.960868575273103</v>
      </c>
    </row>
    <row r="503" spans="1:20" ht="15" x14ac:dyDescent="0.25">
      <c r="A503" s="27" t="s">
        <v>700</v>
      </c>
      <c r="B503" s="4" t="str">
        <f>$B$59</f>
        <v>Projected Years only</v>
      </c>
      <c r="K503" s="6" t="str">
        <f t="shared" ref="K503:T503" ca="1" si="224">IF(ROUND(SUM(K$47,-K$502),3)=0,"OK","ERROR")</f>
        <v>OK</v>
      </c>
      <c r="L503" s="6" t="str">
        <f t="shared" ca="1" si="224"/>
        <v>OK</v>
      </c>
      <c r="M503" s="6" t="str">
        <f t="shared" ca="1" si="224"/>
        <v>OK</v>
      </c>
      <c r="N503" s="6" t="str">
        <f t="shared" ca="1" si="224"/>
        <v>OK</v>
      </c>
      <c r="O503" s="6" t="str">
        <f t="shared" ca="1" si="224"/>
        <v>OK</v>
      </c>
      <c r="P503" s="6" t="str">
        <f t="shared" ca="1" si="224"/>
        <v>OK</v>
      </c>
      <c r="Q503" s="6" t="str">
        <f t="shared" ca="1" si="224"/>
        <v>OK</v>
      </c>
      <c r="R503" s="6" t="str">
        <f t="shared" ca="1" si="224"/>
        <v>OK</v>
      </c>
      <c r="S503" s="6" t="str">
        <f t="shared" ca="1" si="224"/>
        <v>OK</v>
      </c>
      <c r="T503" s="6" t="str">
        <f t="shared" ca="1" si="224"/>
        <v>OK</v>
      </c>
    </row>
    <row r="504" spans="1:20" ht="15" x14ac:dyDescent="0.25">
      <c r="A504" s="27"/>
      <c r="B504" s="4"/>
      <c r="K504" s="6"/>
      <c r="L504" s="6"/>
      <c r="M504" s="6"/>
      <c r="N504" s="6"/>
      <c r="O504" s="6"/>
      <c r="P504" s="6"/>
      <c r="Q504" s="6"/>
      <c r="R504" s="6"/>
      <c r="S504" s="6"/>
      <c r="T504" s="6"/>
    </row>
    <row r="505" spans="1:20" ht="15" x14ac:dyDescent="0.25">
      <c r="A505" s="27" t="s">
        <v>1349</v>
      </c>
      <c r="B505" s="4"/>
      <c r="K505" s="6"/>
      <c r="L505" s="6"/>
      <c r="M505" s="6"/>
      <c r="N505" s="6"/>
      <c r="O505" s="6"/>
      <c r="P505" s="6"/>
      <c r="Q505" s="6"/>
      <c r="R505" s="6"/>
      <c r="S505" s="6"/>
      <c r="T505" s="6"/>
    </row>
    <row r="506" spans="1:20" x14ac:dyDescent="0.2">
      <c r="A506" s="1" t="s">
        <v>1350</v>
      </c>
      <c r="B506" s="4" t="str">
        <f>$B$38</f>
        <v>From Fiscal</v>
      </c>
      <c r="D506" s="15">
        <f>'Fiscal Forecasts'!D$140</f>
        <v>95.649000000000001</v>
      </c>
      <c r="E506" s="15">
        <f>'Fiscal Forecasts'!E$140</f>
        <v>95.037000000000006</v>
      </c>
      <c r="F506" s="16">
        <f>'Fiscal Forecasts'!F$140 +IF($C$2="Yes",'Fiscal Forecast Adjuster'!C$37/1000,0) +IF($C$3="Yes",'NZS Fund Adjuster'!M$11,0)</f>
        <v>94.478999999999999</v>
      </c>
      <c r="G506" s="16">
        <f>'Fiscal Forecasts'!G$140 +IF($C$2="Yes",'Fiscal Forecast Adjuster'!D$37/1000,0) +IF($C$3="Yes",'NZS Fund Adjuster'!N$11,0)</f>
        <v>91.134</v>
      </c>
      <c r="H506" s="16">
        <f>'Fiscal Forecasts'!H$140 +IF($C$2="Yes",'Fiscal Forecast Adjuster'!E$37/1000,0) +IF($C$3="Yes",'NZS Fund Adjuster'!O$11,0)</f>
        <v>91.754000000000005</v>
      </c>
      <c r="I506" s="16">
        <f>'Fiscal Forecasts'!I$140 +IF($C$2="Yes",'Fiscal Forecast Adjuster'!F$37/1000,0) +IF($C$3="Yes",'NZS Fund Adjuster'!P$11,0)</f>
        <v>91.415999999999997</v>
      </c>
      <c r="J506" s="16">
        <f>'Fiscal Forecasts'!J$140 +IF($C$2="Yes",'Fiscal Forecast Adjuster'!G$37/1000,0) +IF($C$3="Yes",'NZS Fund Adjuster'!Q$11,0)</f>
        <v>86.225999999999999</v>
      </c>
      <c r="K506" s="7">
        <f ca="1">SUM(J$506,K$484)</f>
        <v>84.372753988040486</v>
      </c>
      <c r="L506" s="7">
        <f t="shared" ref="L506:T506" ca="1" si="225">SUM(K$506,L$484)</f>
        <v>83.034925753418108</v>
      </c>
      <c r="M506" s="7">
        <f t="shared" ca="1" si="225"/>
        <v>81.367424542687957</v>
      </c>
      <c r="N506" s="7">
        <f t="shared" ca="1" si="225"/>
        <v>79.42400306032664</v>
      </c>
      <c r="O506" s="7">
        <f t="shared" ca="1" si="225"/>
        <v>77.170697722010487</v>
      </c>
      <c r="P506" s="7">
        <f t="shared" ca="1" si="225"/>
        <v>74.751579236460856</v>
      </c>
      <c r="Q506" s="7">
        <f t="shared" ca="1" si="225"/>
        <v>72.629044261442985</v>
      </c>
      <c r="R506" s="7">
        <f t="shared" ca="1" si="225"/>
        <v>71.222334530234718</v>
      </c>
      <c r="S506" s="7">
        <f t="shared" ca="1" si="225"/>
        <v>70.922538751361799</v>
      </c>
      <c r="T506" s="7">
        <f t="shared" ca="1" si="225"/>
        <v>72.206093910711047</v>
      </c>
    </row>
    <row r="507" spans="1:20" x14ac:dyDescent="0.2">
      <c r="A507" s="1" t="s">
        <v>1351</v>
      </c>
      <c r="B507" s="4" t="str">
        <f>$B$38</f>
        <v>From Fiscal</v>
      </c>
      <c r="D507" s="15">
        <f>-'Fiscal Forecasts'!D$363</f>
        <v>3.9220000000000002</v>
      </c>
      <c r="E507" s="15">
        <f>-'Fiscal Forecasts'!E$363</f>
        <v>3.6040000000000001</v>
      </c>
      <c r="F507" s="16">
        <f>-'Fiscal Forecasts'!F$363 +IF($C$3="Yes",'NZS Fund Adjuster'!M$9,0) +IF($C$2="Yes",'Fiscal Forecast Adjuster'!C$34/1000,0)</f>
        <v>3.5270000000000001</v>
      </c>
      <c r="G507" s="16">
        <f>-'Fiscal Forecasts'!G$363 +IF($C$3="Yes",'NZS Fund Adjuster'!N$9,0) +IF($C$2="Yes",'Fiscal Forecast Adjuster'!D$34/1000,0)</f>
        <v>3.4609999999999999</v>
      </c>
      <c r="H507" s="16">
        <f>-'Fiscal Forecasts'!H$363 +IF($C$3="Yes",'NZS Fund Adjuster'!O$9,0) +IF($C$2="Yes",'Fiscal Forecast Adjuster'!E$34/1000,0)</f>
        <v>3.3149999999999999</v>
      </c>
      <c r="I507" s="16">
        <f>-'Fiscal Forecasts'!I$363 +IF($C$3="Yes",'NZS Fund Adjuster'!P$9,0) +IF($C$2="Yes",'Fiscal Forecast Adjuster'!F$34/1000,0)</f>
        <v>3.2589999999999999</v>
      </c>
      <c r="J507" s="16">
        <f>-'Fiscal Forecasts'!J$363 +IF($C$3="Yes",'NZS Fund Adjuster'!Q$9,0) +IF($C$2="Yes",'Fiscal Forecast Adjuster'!G$34/1000,0)</f>
        <v>3.306</v>
      </c>
      <c r="K507" s="7">
        <f ca="1">(2*J$506-SUM(K$455,K$456,K$457,K$458,K$469,K$475)+SUM(K$459,K$460,K$462,K$474,K$317-J$317))/(2/K$208-1)</f>
        <v>3.4531588711760777</v>
      </c>
      <c r="L507" s="7">
        <f t="shared" ref="L507:T507" ca="1" si="226">(2*K$506-SUM(L$455,L$456,L$457,L$458,L$469,L$475)+SUM(L$459,L$460,L$462,L$474,L$317-K$317))/(2/L$208-1)</f>
        <v>3.567947858792123</v>
      </c>
      <c r="M507" s="7">
        <f t="shared" ca="1" si="226"/>
        <v>3.6732939070400086</v>
      </c>
      <c r="N507" s="7">
        <f t="shared" ca="1" si="226"/>
        <v>3.7581684292462278</v>
      </c>
      <c r="O507" s="7">
        <f t="shared" ca="1" si="226"/>
        <v>3.8212596628725728</v>
      </c>
      <c r="P507" s="7">
        <f t="shared" ca="1" si="226"/>
        <v>3.8636015667847383</v>
      </c>
      <c r="Q507" s="7">
        <f t="shared" ca="1" si="226"/>
        <v>3.8998048919960762</v>
      </c>
      <c r="R507" s="7">
        <f t="shared" ca="1" si="226"/>
        <v>3.8063473280988616</v>
      </c>
      <c r="S507" s="7">
        <f t="shared" ca="1" si="226"/>
        <v>3.7611955511959105</v>
      </c>
      <c r="T507" s="7">
        <f t="shared" ca="1" si="226"/>
        <v>3.7872944973382001</v>
      </c>
    </row>
    <row r="508" spans="1:20" x14ac:dyDescent="0.2">
      <c r="A508" s="1" t="str">
        <f ca="1">CONCATENATE("Core Crown borrowings with ",100*OFFSET(Assumptions!$B$27,0,$C$1),"% of GDP floor for Gross sovereign-issued debt (GSID)")</f>
        <v>Core Crown borrowings with 20% of GDP floor for Gross sovereign-issued debt (GSID)</v>
      </c>
      <c r="B508" s="4"/>
      <c r="D508" s="15">
        <f>D$506</f>
        <v>95.649000000000001</v>
      </c>
      <c r="E508" s="15">
        <f t="shared" ref="E508:J508" si="227">E$506</f>
        <v>95.037000000000006</v>
      </c>
      <c r="F508" s="16">
        <f t="shared" si="227"/>
        <v>94.478999999999999</v>
      </c>
      <c r="G508" s="16">
        <f t="shared" si="227"/>
        <v>91.134</v>
      </c>
      <c r="H508" s="16">
        <f t="shared" si="227"/>
        <v>91.754000000000005</v>
      </c>
      <c r="I508" s="16">
        <f t="shared" si="227"/>
        <v>91.415999999999997</v>
      </c>
      <c r="J508" s="16">
        <f t="shared" si="227"/>
        <v>86.225999999999999</v>
      </c>
      <c r="K508" s="7">
        <f ca="1">MAX(K$506,SUM(K$70,OFFSET(Assumptions!$B$27,0,$C$1)*K$13))</f>
        <v>84.372753988040486</v>
      </c>
      <c r="L508" s="7">
        <f ca="1">MAX(L$506,SUM(L$70,OFFSET(Assumptions!$B$27,0,$C$1)*L$13))</f>
        <v>83.034925753418108</v>
      </c>
      <c r="M508" s="7">
        <f ca="1">MAX(M$506,SUM(M$70,OFFSET(Assumptions!$B$27,0,$C$1)*M$13))</f>
        <v>81.367424542687957</v>
      </c>
      <c r="N508" s="7">
        <f ca="1">MAX(N$506,SUM(N$70,OFFSET(Assumptions!$B$27,0,$C$1)*N$13))</f>
        <v>79.42400306032664</v>
      </c>
      <c r="O508" s="7">
        <f ca="1">MAX(O$506,SUM(O$70,OFFSET(Assumptions!$B$27,0,$C$1)*O$13))</f>
        <v>82.822829068108533</v>
      </c>
      <c r="P508" s="7">
        <f ca="1">MAX(P$506,SUM(P$70,OFFSET(Assumptions!$B$27,0,$C$1)*P$13))</f>
        <v>86.472461404129902</v>
      </c>
      <c r="Q508" s="7">
        <f ca="1">MAX(Q$506,SUM(Q$70,OFFSET(Assumptions!$B$27,0,$C$1)*Q$13))</f>
        <v>90.237635486787397</v>
      </c>
      <c r="R508" s="7">
        <f ca="1">MAX(R$506,SUM(R$70,OFFSET(Assumptions!$B$27,0,$C$1)*R$13))</f>
        <v>94.110705041253198</v>
      </c>
      <c r="S508" s="7">
        <f ca="1">MAX(S$506,SUM(S$70,OFFSET(Assumptions!$B$27,0,$C$1)*S$13))</f>
        <v>98.108151391056708</v>
      </c>
      <c r="T508" s="7">
        <f ca="1">MAX(T$506,SUM(T$70,OFFSET(Assumptions!$B$27,0,$C$1)*T$13))</f>
        <v>102.22565571359536</v>
      </c>
    </row>
    <row r="509" spans="1:20" x14ac:dyDescent="0.2">
      <c r="A509" s="1" t="str">
        <f ca="1">CONCATENATE("Financial asset generated by GSID having ",100*OFFSET(Assumptions!$B$27,0,$C$1),"% of GDP floor")</f>
        <v>Financial asset generated by GSID having 20% of GDP floor</v>
      </c>
      <c r="B509" s="4"/>
      <c r="D509" s="15">
        <f>SUM(D$508,-D$506)</f>
        <v>0</v>
      </c>
      <c r="E509" s="15">
        <f t="shared" ref="E509:T509" si="228">SUM(E$508,-E$506)</f>
        <v>0</v>
      </c>
      <c r="F509" s="16">
        <f t="shared" si="228"/>
        <v>0</v>
      </c>
      <c r="G509" s="16">
        <f t="shared" si="228"/>
        <v>0</v>
      </c>
      <c r="H509" s="16">
        <f t="shared" si="228"/>
        <v>0</v>
      </c>
      <c r="I509" s="16">
        <f t="shared" si="228"/>
        <v>0</v>
      </c>
      <c r="J509" s="16">
        <f t="shared" si="228"/>
        <v>0</v>
      </c>
      <c r="K509" s="7">
        <f t="shared" ca="1" si="228"/>
        <v>0</v>
      </c>
      <c r="L509" s="7">
        <f t="shared" ca="1" si="228"/>
        <v>0</v>
      </c>
      <c r="M509" s="7">
        <f t="shared" ca="1" si="228"/>
        <v>0</v>
      </c>
      <c r="N509" s="7">
        <f t="shared" ca="1" si="228"/>
        <v>0</v>
      </c>
      <c r="O509" s="7">
        <f t="shared" ca="1" si="228"/>
        <v>5.6521313460980451</v>
      </c>
      <c r="P509" s="7">
        <f t="shared" ca="1" si="228"/>
        <v>11.720882167669046</v>
      </c>
      <c r="Q509" s="7">
        <f t="shared" ca="1" si="228"/>
        <v>17.608591225344412</v>
      </c>
      <c r="R509" s="7">
        <f t="shared" ca="1" si="228"/>
        <v>22.888370511018479</v>
      </c>
      <c r="S509" s="7">
        <f t="shared" ca="1" si="228"/>
        <v>27.185612639694909</v>
      </c>
      <c r="T509" s="7">
        <f t="shared" ca="1" si="228"/>
        <v>30.019561802884311</v>
      </c>
    </row>
    <row r="510" spans="1:20" x14ac:dyDescent="0.2">
      <c r="A510" s="1" t="str">
        <f ca="1">CONCATENATE("Core Crown interest payments with ",100*OFFSET(Assumptions!$B$27,0,$C$1),"% of GDP floor for GSID")</f>
        <v>Core Crown interest payments with 20% of GDP floor for GSID</v>
      </c>
      <c r="D510" s="15">
        <f>D$507*D$508/SUM(D$508,-D$509)</f>
        <v>3.9220000000000002</v>
      </c>
      <c r="E510" s="15">
        <f t="shared" ref="E510:T510" si="229">E$507*E$508/SUM(E$508,-E$509)</f>
        <v>3.6039999999999996</v>
      </c>
      <c r="F510" s="16">
        <f t="shared" si="229"/>
        <v>3.5270000000000001</v>
      </c>
      <c r="G510" s="16">
        <f t="shared" si="229"/>
        <v>3.4609999999999994</v>
      </c>
      <c r="H510" s="16">
        <f t="shared" si="229"/>
        <v>3.3149999999999999</v>
      </c>
      <c r="I510" s="16">
        <f t="shared" si="229"/>
        <v>3.2589999999999999</v>
      </c>
      <c r="J510" s="16">
        <f t="shared" si="229"/>
        <v>3.306</v>
      </c>
      <c r="K510" s="7">
        <f t="shared" ca="1" si="229"/>
        <v>3.4531588711760781</v>
      </c>
      <c r="L510" s="7">
        <f t="shared" ca="1" si="229"/>
        <v>3.5679478587921234</v>
      </c>
      <c r="M510" s="7">
        <f t="shared" ca="1" si="229"/>
        <v>3.6732939070400086</v>
      </c>
      <c r="N510" s="7">
        <f t="shared" ca="1" si="229"/>
        <v>3.7581684292462278</v>
      </c>
      <c r="O510" s="7">
        <f t="shared" ca="1" si="229"/>
        <v>4.1011361206429147</v>
      </c>
      <c r="P510" s="7">
        <f t="shared" ca="1" si="229"/>
        <v>4.4694057406852847</v>
      </c>
      <c r="Q510" s="7">
        <f t="shared" ca="1" si="229"/>
        <v>4.8452953758659376</v>
      </c>
      <c r="R510" s="7">
        <f t="shared" ca="1" si="229"/>
        <v>5.0295744030576026</v>
      </c>
      <c r="S510" s="7">
        <f t="shared" ca="1" si="229"/>
        <v>5.2029150259516346</v>
      </c>
      <c r="T510" s="7">
        <f t="shared" ca="1" si="229"/>
        <v>5.3618557991745615</v>
      </c>
    </row>
    <row r="511" spans="1:20" x14ac:dyDescent="0.2">
      <c r="A511" s="1" t="str">
        <f ca="1">CONCATENATE("Core Crown interest receipts with ",100*OFFSET(Assumptions!$B$27,0,$C$1),"% of GDP floor for GSID")</f>
        <v>Core Crown interest receipts with 20% of GDP floor for GSID</v>
      </c>
      <c r="D511" s="15">
        <f>D$507*D$509/SUM(D$508,-D$509)</f>
        <v>0</v>
      </c>
      <c r="E511" s="15">
        <f t="shared" ref="E511:T511" si="230">E$507*E$509/SUM(E$508,-E$509)</f>
        <v>0</v>
      </c>
      <c r="F511" s="16">
        <f t="shared" si="230"/>
        <v>0</v>
      </c>
      <c r="G511" s="16">
        <f t="shared" si="230"/>
        <v>0</v>
      </c>
      <c r="H511" s="16">
        <f t="shared" si="230"/>
        <v>0</v>
      </c>
      <c r="I511" s="16">
        <f t="shared" si="230"/>
        <v>0</v>
      </c>
      <c r="J511" s="16">
        <f t="shared" si="230"/>
        <v>0</v>
      </c>
      <c r="K511" s="7">
        <f t="shared" ca="1" si="230"/>
        <v>0</v>
      </c>
      <c r="L511" s="7">
        <f t="shared" ca="1" si="230"/>
        <v>0</v>
      </c>
      <c r="M511" s="7">
        <f t="shared" ca="1" si="230"/>
        <v>0</v>
      </c>
      <c r="N511" s="7">
        <f t="shared" ca="1" si="230"/>
        <v>0</v>
      </c>
      <c r="O511" s="7">
        <f t="shared" ca="1" si="230"/>
        <v>0.27987645777034226</v>
      </c>
      <c r="P511" s="7">
        <f t="shared" ca="1" si="230"/>
        <v>0.60580417390054675</v>
      </c>
      <c r="Q511" s="7">
        <f t="shared" ca="1" si="230"/>
        <v>0.94549048386986168</v>
      </c>
      <c r="R511" s="7">
        <f t="shared" ca="1" si="230"/>
        <v>1.2232270749587411</v>
      </c>
      <c r="S511" s="7">
        <f t="shared" ca="1" si="230"/>
        <v>1.4417194747557238</v>
      </c>
      <c r="T511" s="7">
        <f t="shared" ca="1" si="230"/>
        <v>1.5745613018363616</v>
      </c>
    </row>
    <row r="513" spans="1:20" x14ac:dyDescent="0.2">
      <c r="A513" s="1" t="s">
        <v>1352</v>
      </c>
      <c r="B513" s="4" t="str">
        <f>$B$38</f>
        <v>From Fiscal</v>
      </c>
      <c r="D513" s="15">
        <f>'Fiscal Forecasts'!D$131</f>
        <v>112.58</v>
      </c>
      <c r="E513" s="15">
        <f>'Fiscal Forecasts'!E$131</f>
        <v>113.956</v>
      </c>
      <c r="F513" s="16">
        <f>'Fiscal Forecasts'!F$131 +IF($C$2="Yes",'Fiscal Forecast Adjuster'!C$37/1000,0) +IF($C$3="Yes",'NZS Fund Adjuster'!M$11,0)</f>
        <v>112.962</v>
      </c>
      <c r="G513" s="16">
        <f>'Fiscal Forecasts'!G$131 +IF($C$2="Yes",'Fiscal Forecast Adjuster'!D$37/1000,0) +IF($C$3="Yes",'NZS Fund Adjuster'!N$11,0)</f>
        <v>110.59399999999999</v>
      </c>
      <c r="H513" s="16">
        <f>'Fiscal Forecasts'!H$131 +IF($C$2="Yes",'Fiscal Forecast Adjuster'!E$37/1000,0) +IF($C$3="Yes",'NZS Fund Adjuster'!O$11,0)</f>
        <v>113.185</v>
      </c>
      <c r="I513" s="16">
        <f>'Fiscal Forecasts'!I$131 +IF($C$2="Yes",'Fiscal Forecast Adjuster'!F$37/1000,0) +IF($C$3="Yes",'NZS Fund Adjuster'!P$11,0)</f>
        <v>113.94</v>
      </c>
      <c r="J513" s="16">
        <f>'Fiscal Forecasts'!J$131 +IF($C$2="Yes",'Fiscal Forecast Adjuster'!G$37/1000,0) +IF($C$3="Yes",'NZS Fund Adjuster'!Q$11,0)</f>
        <v>109.46599999999999</v>
      </c>
      <c r="K513" s="7">
        <f ca="1">SUM(J$513,K$100)</f>
        <v>107.77562742820098</v>
      </c>
      <c r="L513" s="7">
        <f t="shared" ref="L513:T513" ca="1" si="231">SUM(K$513,L$100)</f>
        <v>107.35980477831401</v>
      </c>
      <c r="M513" s="7">
        <f t="shared" ca="1" si="231"/>
        <v>106.69411526972127</v>
      </c>
      <c r="N513" s="7">
        <f t="shared" ca="1" si="231"/>
        <v>105.77724777720067</v>
      </c>
      <c r="O513" s="7">
        <f t="shared" ca="1" si="231"/>
        <v>104.71324828697119</v>
      </c>
      <c r="P513" s="7">
        <f t="shared" ca="1" si="231"/>
        <v>103.51504913507036</v>
      </c>
      <c r="Q513" s="7">
        <f t="shared" ca="1" si="231"/>
        <v>102.66623248626176</v>
      </c>
      <c r="R513" s="7">
        <f t="shared" ca="1" si="231"/>
        <v>102.55746772516187</v>
      </c>
      <c r="S513" s="7">
        <f t="shared" ca="1" si="231"/>
        <v>103.55805198158313</v>
      </c>
      <c r="T513" s="7">
        <f t="shared" ca="1" si="231"/>
        <v>106.12880451000589</v>
      </c>
    </row>
    <row r="514" spans="1:20" x14ac:dyDescent="0.2">
      <c r="A514" s="1" t="s">
        <v>1353</v>
      </c>
      <c r="B514" s="4" t="str">
        <f>$B$38</f>
        <v>From Fiscal</v>
      </c>
      <c r="D514" s="15">
        <f>'Fiscal Forecasts'!D$78</f>
        <v>4.5979999999999999</v>
      </c>
      <c r="E514" s="15">
        <f>'Fiscal Forecasts'!E$78</f>
        <v>4.3330000000000002</v>
      </c>
      <c r="F514" s="16">
        <f>'Fiscal Forecasts'!F$78 +IF($C$2="Yes",'Fiscal Forecast Adjuster'!C$34/1000,0) +IF($C$3="Yes",'NZS Fund Adjuster'!M$9,0)</f>
        <v>4.218</v>
      </c>
      <c r="G514" s="16">
        <f>'Fiscal Forecasts'!G$78 +IF($C$2="Yes",'Fiscal Forecast Adjuster'!D$34/1000,0) +IF($C$3="Yes",'NZS Fund Adjuster'!N$9,0)</f>
        <v>4.09</v>
      </c>
      <c r="H514" s="16">
        <f>'Fiscal Forecasts'!H$78 +IF($C$2="Yes",'Fiscal Forecast Adjuster'!E$34/1000,0) +IF($C$3="Yes",'NZS Fund Adjuster'!O$9,0)</f>
        <v>4.077</v>
      </c>
      <c r="I514" s="16">
        <f>'Fiscal Forecasts'!I$78 +IF($C$2="Yes",'Fiscal Forecast Adjuster'!F$34/1000,0) +IF($C$3="Yes",'NZS Fund Adjuster'!P$9,0)</f>
        <v>4.0860000000000003</v>
      </c>
      <c r="J514" s="16">
        <f>'Fiscal Forecasts'!J$78 +IF($C$2="Yes",'Fiscal Forecast Adjuster'!G$34/1000,0) +IF($C$3="Yes",'NZS Fund Adjuster'!Q$9,0)</f>
        <v>4.1459999999999999</v>
      </c>
      <c r="K514" s="7">
        <f ca="1">(2*J$513-SUM(K$85,K$98,K$99)+SUM(K$86,K$87,K$89,K$101,K$319-J$319))/(2/K$208-1)</f>
        <v>4.4115048236214838</v>
      </c>
      <c r="L514" s="7">
        <f t="shared" ref="L514:T514" ca="1" si="232">(2*K$513-SUM(L$85,L$98,L$99)+SUM(L$86,L$87,L$89,L$101,L$319-K$319))/(2/L$208-1)</f>
        <v>4.5907935921854977</v>
      </c>
      <c r="M514" s="7">
        <f t="shared" ca="1" si="232"/>
        <v>4.7886578648221469</v>
      </c>
      <c r="N514" s="7">
        <f t="shared" ca="1" si="232"/>
        <v>4.9725633223018368</v>
      </c>
      <c r="O514" s="7">
        <f t="shared" ca="1" si="232"/>
        <v>5.1434688466853382</v>
      </c>
      <c r="P514" s="7">
        <f t="shared" ca="1" si="232"/>
        <v>5.3031202344891346</v>
      </c>
      <c r="Q514" s="7">
        <f t="shared" ca="1" si="232"/>
        <v>5.4638039629653008</v>
      </c>
      <c r="R514" s="7">
        <f t="shared" ca="1" si="232"/>
        <v>5.438428055602726</v>
      </c>
      <c r="S514" s="7">
        <f t="shared" ca="1" si="232"/>
        <v>5.462061272228742</v>
      </c>
      <c r="T514" s="7">
        <f t="shared" ca="1" si="232"/>
        <v>5.5567016970271093</v>
      </c>
    </row>
    <row r="515" spans="1:20" x14ac:dyDescent="0.2">
      <c r="A515" s="1" t="str">
        <f ca="1">CONCATENATE("Total Crown borrowings with ",100*OFFSET(Assumptions!$B$27,0,$C$1),"% of GDP floor for Gross sovereign-issued debt (GSID)")</f>
        <v>Total Crown borrowings with 20% of GDP floor for Gross sovereign-issued debt (GSID)</v>
      </c>
      <c r="D515" s="15">
        <f>D$513</f>
        <v>112.58</v>
      </c>
      <c r="E515" s="15">
        <f t="shared" ref="E515:J515" si="233">E$513</f>
        <v>113.956</v>
      </c>
      <c r="F515" s="16">
        <f t="shared" si="233"/>
        <v>112.962</v>
      </c>
      <c r="G515" s="16">
        <f t="shared" si="233"/>
        <v>110.59399999999999</v>
      </c>
      <c r="H515" s="16">
        <f t="shared" si="233"/>
        <v>113.185</v>
      </c>
      <c r="I515" s="16">
        <f t="shared" si="233"/>
        <v>113.94</v>
      </c>
      <c r="J515" s="16">
        <f t="shared" si="233"/>
        <v>109.46599999999999</v>
      </c>
      <c r="K515" s="7">
        <f ca="1">SUM(K$513,K$508-K$506)</f>
        <v>107.77562742820098</v>
      </c>
      <c r="L515" s="7">
        <f t="shared" ref="L515:T515" ca="1" si="234">SUM(L$513,L$508-L$506)</f>
        <v>107.35980477831401</v>
      </c>
      <c r="M515" s="7">
        <f t="shared" ca="1" si="234"/>
        <v>106.69411526972127</v>
      </c>
      <c r="N515" s="7">
        <f t="shared" ca="1" si="234"/>
        <v>105.77724777720067</v>
      </c>
      <c r="O515" s="7">
        <f t="shared" ca="1" si="234"/>
        <v>110.36537963306924</v>
      </c>
      <c r="P515" s="7">
        <f t="shared" ca="1" si="234"/>
        <v>115.2359313027394</v>
      </c>
      <c r="Q515" s="7">
        <f t="shared" ca="1" si="234"/>
        <v>120.27482371160617</v>
      </c>
      <c r="R515" s="7">
        <f t="shared" ca="1" si="234"/>
        <v>125.44583823618035</v>
      </c>
      <c r="S515" s="7">
        <f t="shared" ca="1" si="234"/>
        <v>130.74366462127804</v>
      </c>
      <c r="T515" s="7">
        <f t="shared" ca="1" si="234"/>
        <v>136.1483663128902</v>
      </c>
    </row>
    <row r="516" spans="1:20" x14ac:dyDescent="0.2">
      <c r="A516" s="1" t="str">
        <f ca="1">CONCATENATE("Total Crown interest payments with ",100*OFFSET(Assumptions!$B$27,0,$C$1),"% of GDP floor for GSID")</f>
        <v>Total Crown interest payments with 20% of GDP floor for GSID</v>
      </c>
      <c r="D516" s="15">
        <f>D$514*D$515/SUM(D$515,-D$509)</f>
        <v>4.5979999999999999</v>
      </c>
      <c r="E516" s="15">
        <f t="shared" ref="E516:T516" si="235">E$514*E$515/SUM(E$515,-E$509)</f>
        <v>4.3330000000000002</v>
      </c>
      <c r="F516" s="16">
        <f t="shared" si="235"/>
        <v>4.218</v>
      </c>
      <c r="G516" s="16">
        <f t="shared" si="235"/>
        <v>4.09</v>
      </c>
      <c r="H516" s="16">
        <f t="shared" si="235"/>
        <v>4.077</v>
      </c>
      <c r="I516" s="16">
        <f t="shared" si="235"/>
        <v>4.0860000000000003</v>
      </c>
      <c r="J516" s="16">
        <f t="shared" si="235"/>
        <v>4.1459999999999999</v>
      </c>
      <c r="K516" s="7">
        <f t="shared" ca="1" si="235"/>
        <v>4.4115048236214838</v>
      </c>
      <c r="L516" s="7">
        <f t="shared" ca="1" si="235"/>
        <v>4.5907935921854977</v>
      </c>
      <c r="M516" s="7">
        <f t="shared" ca="1" si="235"/>
        <v>4.7886578648221469</v>
      </c>
      <c r="N516" s="7">
        <f t="shared" ca="1" si="235"/>
        <v>4.9725633223018368</v>
      </c>
      <c r="O516" s="7">
        <f t="shared" ca="1" si="235"/>
        <v>5.4210990603556954</v>
      </c>
      <c r="P516" s="7">
        <f t="shared" ca="1" si="235"/>
        <v>5.9035860402708957</v>
      </c>
      <c r="Q516" s="7">
        <f t="shared" ca="1" si="235"/>
        <v>6.4009172492850954</v>
      </c>
      <c r="R516" s="7">
        <f t="shared" ca="1" si="235"/>
        <v>6.6521549454644315</v>
      </c>
      <c r="S516" s="7">
        <f t="shared" ca="1" si="235"/>
        <v>6.8959380120837679</v>
      </c>
      <c r="T516" s="7">
        <f t="shared" ca="1" si="235"/>
        <v>7.1284686719238302</v>
      </c>
    </row>
    <row r="517" spans="1:20" x14ac:dyDescent="0.2">
      <c r="A517" s="1" t="str">
        <f ca="1">CONCATENATE("Total Crown interest receipts with ",100*OFFSET(Assumptions!$B$27,0,$C$1),"% of GDP floor for GSID")</f>
        <v>Total Crown interest receipts with 20% of GDP floor for GSID</v>
      </c>
      <c r="D517" s="15">
        <f>D$514*D$509/SUM(D$515,-D$509)</f>
        <v>0</v>
      </c>
      <c r="E517" s="15">
        <f t="shared" ref="E517:T517" si="236">E$514*E$509/SUM(E$515,-E$509)</f>
        <v>0</v>
      </c>
      <c r="F517" s="16">
        <f t="shared" si="236"/>
        <v>0</v>
      </c>
      <c r="G517" s="16">
        <f t="shared" si="236"/>
        <v>0</v>
      </c>
      <c r="H517" s="16">
        <f t="shared" si="236"/>
        <v>0</v>
      </c>
      <c r="I517" s="16">
        <f t="shared" si="236"/>
        <v>0</v>
      </c>
      <c r="J517" s="16">
        <f t="shared" si="236"/>
        <v>0</v>
      </c>
      <c r="K517" s="7">
        <f t="shared" ca="1" si="236"/>
        <v>0</v>
      </c>
      <c r="L517" s="7">
        <f t="shared" ca="1" si="236"/>
        <v>0</v>
      </c>
      <c r="M517" s="7">
        <f t="shared" ca="1" si="236"/>
        <v>0</v>
      </c>
      <c r="N517" s="7">
        <f t="shared" ca="1" si="236"/>
        <v>0</v>
      </c>
      <c r="O517" s="7">
        <f t="shared" ca="1" si="236"/>
        <v>0.27763021367035701</v>
      </c>
      <c r="P517" s="7">
        <f t="shared" ca="1" si="236"/>
        <v>0.6004658057817609</v>
      </c>
      <c r="Q517" s="7">
        <f t="shared" ca="1" si="236"/>
        <v>0.93711328631979463</v>
      </c>
      <c r="R517" s="7">
        <f t="shared" ca="1" si="236"/>
        <v>1.213726889861706</v>
      </c>
      <c r="S517" s="7">
        <f t="shared" ca="1" si="236"/>
        <v>1.4338767398550261</v>
      </c>
      <c r="T517" s="7">
        <f t="shared" ca="1" si="236"/>
        <v>1.5717669748967209</v>
      </c>
    </row>
    <row r="518" spans="1:20" x14ac:dyDescent="0.2">
      <c r="N518" s="7"/>
      <c r="O518" s="7"/>
      <c r="P518" s="7"/>
      <c r="Q518" s="7"/>
      <c r="R518" s="7"/>
      <c r="S518" s="7"/>
      <c r="T518" s="7"/>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1009" r:id="rId4" name="Drop Down 1">
              <controlPr defaultSize="0" autoLine="0" autoPict="0">
                <anchor moveWithCells="1">
                  <from>
                    <xdr:col>0</xdr:col>
                    <xdr:colOff>47625</xdr:colOff>
                    <xdr:row>6</xdr:row>
                    <xdr:rowOff>0</xdr:rowOff>
                  </from>
                  <to>
                    <xdr:col>0</xdr:col>
                    <xdr:colOff>5629275</xdr:colOff>
                    <xdr:row>7</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tabSelected="1" workbookViewId="0">
      <pane ySplit="3" topLeftCell="A4" activePane="bottomLeft" state="frozen"/>
      <selection pane="bottomLeft"/>
    </sheetView>
  </sheetViews>
  <sheetFormatPr defaultColWidth="8.7109375" defaultRowHeight="12.75" x14ac:dyDescent="0.2"/>
  <cols>
    <col min="1" max="2" width="8.7109375" style="29"/>
    <col min="3" max="3" width="5.7109375" style="29" customWidth="1"/>
    <col min="4" max="7" width="8.7109375" style="29"/>
    <col min="8" max="8" width="5.7109375" style="29" customWidth="1"/>
    <col min="9" max="12" width="8.7109375" style="29"/>
    <col min="13" max="13" width="5.7109375" style="29" customWidth="1"/>
    <col min="14" max="207" width="8.7109375" style="29"/>
    <col min="208" max="208" width="5.7109375" style="29" customWidth="1"/>
    <col min="209" max="212" width="8.7109375" style="29"/>
    <col min="213" max="213" width="5.7109375" style="29" customWidth="1"/>
    <col min="214" max="217" width="8.7109375" style="29"/>
    <col min="218" max="218" width="5.7109375" style="29" customWidth="1"/>
    <col min="219" max="16384" width="8.7109375" style="29"/>
  </cols>
  <sheetData>
    <row r="1" spans="1:14" ht="15.75" x14ac:dyDescent="0.25">
      <c r="A1" s="60" t="s">
        <v>984</v>
      </c>
    </row>
    <row r="2" spans="1:14" x14ac:dyDescent="0.2">
      <c r="A2" s="72"/>
    </row>
    <row r="3" spans="1:14" x14ac:dyDescent="0.2">
      <c r="A3" s="73" t="s">
        <v>983</v>
      </c>
      <c r="D3" s="73" t="s">
        <v>814</v>
      </c>
      <c r="I3" s="73" t="s">
        <v>813</v>
      </c>
      <c r="N3" s="73" t="s">
        <v>812</v>
      </c>
    </row>
    <row r="4" spans="1:14" x14ac:dyDescent="0.2">
      <c r="A4" s="73"/>
    </row>
    <row r="5" spans="1:14" x14ac:dyDescent="0.2">
      <c r="A5" s="72" t="s">
        <v>761</v>
      </c>
      <c r="D5" s="29" t="s">
        <v>811</v>
      </c>
      <c r="I5" s="29" t="s">
        <v>810</v>
      </c>
      <c r="N5" s="29" t="s">
        <v>762</v>
      </c>
    </row>
    <row r="6" spans="1:14" x14ac:dyDescent="0.2">
      <c r="D6" s="29" t="s">
        <v>809</v>
      </c>
      <c r="I6" s="29" t="s">
        <v>961</v>
      </c>
    </row>
    <row r="7" spans="1:14" x14ac:dyDescent="0.2">
      <c r="D7" s="29" t="s">
        <v>808</v>
      </c>
      <c r="I7" s="29" t="s">
        <v>962</v>
      </c>
    </row>
    <row r="8" spans="1:14" x14ac:dyDescent="0.2">
      <c r="D8" s="29" t="s">
        <v>807</v>
      </c>
      <c r="I8" s="29" t="s">
        <v>985</v>
      </c>
    </row>
    <row r="9" spans="1:14" x14ac:dyDescent="0.2">
      <c r="I9" s="29" t="s">
        <v>963</v>
      </c>
    </row>
    <row r="10" spans="1:14" x14ac:dyDescent="0.2">
      <c r="I10" s="29" t="s">
        <v>964</v>
      </c>
    </row>
    <row r="11" spans="1:14" x14ac:dyDescent="0.2">
      <c r="I11" s="74" t="s">
        <v>986</v>
      </c>
    </row>
    <row r="13" spans="1:14" x14ac:dyDescent="0.2">
      <c r="A13" s="72" t="s">
        <v>806</v>
      </c>
      <c r="D13" s="29" t="s">
        <v>1279</v>
      </c>
      <c r="I13" s="29" t="s">
        <v>785</v>
      </c>
      <c r="N13" s="29" t="s">
        <v>762</v>
      </c>
    </row>
    <row r="14" spans="1:14" x14ac:dyDescent="0.2">
      <c r="D14" s="29" t="s">
        <v>805</v>
      </c>
      <c r="I14" s="29" t="s">
        <v>784</v>
      </c>
    </row>
    <row r="15" spans="1:14" x14ac:dyDescent="0.2">
      <c r="D15" s="29" t="s">
        <v>804</v>
      </c>
    </row>
    <row r="17" spans="1:14" x14ac:dyDescent="0.2">
      <c r="A17" s="72" t="s">
        <v>803</v>
      </c>
      <c r="D17" s="29" t="s">
        <v>974</v>
      </c>
      <c r="I17" s="29" t="s">
        <v>785</v>
      </c>
      <c r="N17" s="29" t="s">
        <v>762</v>
      </c>
    </row>
    <row r="18" spans="1:14" x14ac:dyDescent="0.2">
      <c r="D18" s="29" t="s">
        <v>973</v>
      </c>
      <c r="I18" s="29" t="s">
        <v>784</v>
      </c>
    </row>
    <row r="19" spans="1:14" x14ac:dyDescent="0.2">
      <c r="D19" s="29" t="s">
        <v>972</v>
      </c>
    </row>
    <row r="20" spans="1:14" x14ac:dyDescent="0.2">
      <c r="D20" s="29" t="s">
        <v>987</v>
      </c>
    </row>
    <row r="21" spans="1:14" x14ac:dyDescent="0.2">
      <c r="D21" s="29" t="s">
        <v>988</v>
      </c>
    </row>
    <row r="22" spans="1:14" x14ac:dyDescent="0.2">
      <c r="D22" s="29" t="s">
        <v>989</v>
      </c>
    </row>
    <row r="24" spans="1:14" x14ac:dyDescent="0.2">
      <c r="A24" s="72" t="s">
        <v>990</v>
      </c>
      <c r="D24" s="29" t="s">
        <v>967</v>
      </c>
      <c r="I24" s="29" t="s">
        <v>802</v>
      </c>
      <c r="N24" s="29" t="s">
        <v>762</v>
      </c>
    </row>
    <row r="25" spans="1:14" x14ac:dyDescent="0.2">
      <c r="D25" s="29" t="s">
        <v>968</v>
      </c>
      <c r="I25" s="29" t="s">
        <v>801</v>
      </c>
    </row>
    <row r="26" spans="1:14" x14ac:dyDescent="0.2">
      <c r="D26" s="29" t="s">
        <v>969</v>
      </c>
      <c r="I26" s="29" t="s">
        <v>965</v>
      </c>
    </row>
    <row r="27" spans="1:14" x14ac:dyDescent="0.2">
      <c r="D27" s="29" t="s">
        <v>970</v>
      </c>
      <c r="I27" s="29" t="s">
        <v>800</v>
      </c>
    </row>
    <row r="28" spans="1:14" x14ac:dyDescent="0.2">
      <c r="D28" s="29" t="s">
        <v>971</v>
      </c>
      <c r="I28" s="29" t="s">
        <v>799</v>
      </c>
    </row>
    <row r="29" spans="1:14" x14ac:dyDescent="0.2">
      <c r="D29" s="29" t="s">
        <v>991</v>
      </c>
      <c r="I29" s="29" t="s">
        <v>798</v>
      </c>
    </row>
    <row r="30" spans="1:14" x14ac:dyDescent="0.2">
      <c r="D30" s="29" t="s">
        <v>992</v>
      </c>
      <c r="I30" s="29" t="s">
        <v>797</v>
      </c>
    </row>
    <row r="31" spans="1:14" x14ac:dyDescent="0.2">
      <c r="D31" s="29" t="s">
        <v>993</v>
      </c>
      <c r="I31" s="29" t="s">
        <v>994</v>
      </c>
    </row>
    <row r="32" spans="1:14" x14ac:dyDescent="0.2">
      <c r="D32" s="29" t="s">
        <v>966</v>
      </c>
    </row>
    <row r="34" spans="1:14" x14ac:dyDescent="0.2">
      <c r="A34" s="72" t="s">
        <v>842</v>
      </c>
      <c r="D34" s="74" t="s">
        <v>975</v>
      </c>
      <c r="I34" s="29" t="s">
        <v>796</v>
      </c>
      <c r="N34" s="29" t="s">
        <v>762</v>
      </c>
    </row>
    <row r="35" spans="1:14" x14ac:dyDescent="0.2">
      <c r="D35" s="29" t="s">
        <v>795</v>
      </c>
      <c r="I35" s="29" t="s">
        <v>794</v>
      </c>
    </row>
    <row r="36" spans="1:14" x14ac:dyDescent="0.2">
      <c r="D36" s="29" t="s">
        <v>976</v>
      </c>
      <c r="I36" s="29" t="s">
        <v>793</v>
      </c>
    </row>
    <row r="37" spans="1:14" x14ac:dyDescent="0.2">
      <c r="D37" s="29" t="s">
        <v>977</v>
      </c>
      <c r="I37" s="29" t="s">
        <v>792</v>
      </c>
    </row>
    <row r="38" spans="1:14" x14ac:dyDescent="0.2">
      <c r="D38" s="29" t="s">
        <v>978</v>
      </c>
      <c r="I38" s="29" t="s">
        <v>791</v>
      </c>
    </row>
    <row r="39" spans="1:14" x14ac:dyDescent="0.2">
      <c r="D39" s="29" t="s">
        <v>979</v>
      </c>
      <c r="N39" s="72"/>
    </row>
    <row r="40" spans="1:14" x14ac:dyDescent="0.2">
      <c r="D40" s="29" t="s">
        <v>980</v>
      </c>
    </row>
    <row r="41" spans="1:14" x14ac:dyDescent="0.2">
      <c r="D41" s="29" t="s">
        <v>981</v>
      </c>
    </row>
    <row r="42" spans="1:14" x14ac:dyDescent="0.2">
      <c r="D42" s="29" t="s">
        <v>982</v>
      </c>
    </row>
    <row r="43" spans="1:14" x14ac:dyDescent="0.2">
      <c r="D43" s="29" t="s">
        <v>995</v>
      </c>
    </row>
    <row r="44" spans="1:14" x14ac:dyDescent="0.2">
      <c r="D44" s="29" t="s">
        <v>996</v>
      </c>
    </row>
    <row r="45" spans="1:14" x14ac:dyDescent="0.2">
      <c r="D45" s="29" t="s">
        <v>997</v>
      </c>
    </row>
    <row r="46" spans="1:14" x14ac:dyDescent="0.2">
      <c r="D46" s="29" t="s">
        <v>998</v>
      </c>
    </row>
    <row r="47" spans="1:14" x14ac:dyDescent="0.2">
      <c r="D47" s="29" t="s">
        <v>999</v>
      </c>
    </row>
    <row r="49" spans="1:14" x14ac:dyDescent="0.2">
      <c r="A49" s="72" t="s">
        <v>760</v>
      </c>
      <c r="D49" s="29" t="s">
        <v>790</v>
      </c>
      <c r="I49" s="29" t="s">
        <v>770</v>
      </c>
      <c r="N49" s="29" t="s">
        <v>762</v>
      </c>
    </row>
    <row r="50" spans="1:14" x14ac:dyDescent="0.2">
      <c r="D50" s="29" t="s">
        <v>789</v>
      </c>
      <c r="I50" s="29" t="s">
        <v>788</v>
      </c>
    </row>
    <row r="51" spans="1:14" x14ac:dyDescent="0.2">
      <c r="D51" s="29" t="s">
        <v>1000</v>
      </c>
      <c r="I51" s="29" t="s">
        <v>1001</v>
      </c>
    </row>
    <row r="52" spans="1:14" x14ac:dyDescent="0.2">
      <c r="D52" s="29" t="s">
        <v>1002</v>
      </c>
      <c r="I52" s="29" t="s">
        <v>1003</v>
      </c>
    </row>
    <row r="53" spans="1:14" x14ac:dyDescent="0.2">
      <c r="D53" s="29" t="s">
        <v>787</v>
      </c>
      <c r="I53" s="29" t="s">
        <v>1004</v>
      </c>
    </row>
    <row r="54" spans="1:14" x14ac:dyDescent="0.2">
      <c r="D54" s="29" t="s">
        <v>786</v>
      </c>
      <c r="I54" s="29" t="s">
        <v>1005</v>
      </c>
    </row>
    <row r="55" spans="1:14" x14ac:dyDescent="0.2">
      <c r="D55" s="29" t="s">
        <v>1006</v>
      </c>
      <c r="I55" s="29" t="s">
        <v>1007</v>
      </c>
    </row>
    <row r="56" spans="1:14" x14ac:dyDescent="0.2">
      <c r="D56" s="29" t="s">
        <v>1075</v>
      </c>
    </row>
    <row r="57" spans="1:14" x14ac:dyDescent="0.2">
      <c r="D57" s="29" t="s">
        <v>1076</v>
      </c>
    </row>
    <row r="58" spans="1:14" x14ac:dyDescent="0.2">
      <c r="D58" s="29" t="s">
        <v>1077</v>
      </c>
    </row>
    <row r="59" spans="1:14" x14ac:dyDescent="0.2">
      <c r="D59" s="29" t="s">
        <v>1078</v>
      </c>
    </row>
    <row r="61" spans="1:14" x14ac:dyDescent="0.2">
      <c r="A61" s="72" t="s">
        <v>1008</v>
      </c>
      <c r="D61" s="29" t="s">
        <v>1009</v>
      </c>
      <c r="I61" s="29" t="s">
        <v>1130</v>
      </c>
      <c r="N61" s="29" t="s">
        <v>901</v>
      </c>
    </row>
    <row r="62" spans="1:14" x14ac:dyDescent="0.2">
      <c r="D62" s="29" t="s">
        <v>1010</v>
      </c>
      <c r="I62" s="29" t="s">
        <v>1011</v>
      </c>
      <c r="N62" s="29" t="s">
        <v>902</v>
      </c>
    </row>
    <row r="63" spans="1:14" x14ac:dyDescent="0.2">
      <c r="D63" s="29" t="s">
        <v>1012</v>
      </c>
      <c r="I63" s="29" t="s">
        <v>1132</v>
      </c>
      <c r="N63" s="72" t="s">
        <v>1013</v>
      </c>
    </row>
    <row r="64" spans="1:14" x14ac:dyDescent="0.2">
      <c r="D64" s="29" t="s">
        <v>1014</v>
      </c>
      <c r="I64" s="29" t="s">
        <v>1015</v>
      </c>
      <c r="N64" s="29" t="s">
        <v>1016</v>
      </c>
    </row>
    <row r="65" spans="1:14" x14ac:dyDescent="0.2">
      <c r="D65" s="29" t="s">
        <v>1017</v>
      </c>
      <c r="I65" s="29" t="s">
        <v>1018</v>
      </c>
      <c r="N65" s="29" t="s">
        <v>1019</v>
      </c>
    </row>
    <row r="66" spans="1:14" ht="15" x14ac:dyDescent="0.25">
      <c r="D66" s="75" t="s">
        <v>899</v>
      </c>
      <c r="F66" s="29" t="s">
        <v>900</v>
      </c>
      <c r="I66" s="29" t="s">
        <v>1020</v>
      </c>
      <c r="N66" s="29" t="s">
        <v>1021</v>
      </c>
    </row>
    <row r="67" spans="1:14" x14ac:dyDescent="0.2">
      <c r="D67" s="29" t="s">
        <v>1022</v>
      </c>
      <c r="I67" s="29" t="s">
        <v>1023</v>
      </c>
      <c r="N67" s="29" t="s">
        <v>1024</v>
      </c>
    </row>
    <row r="68" spans="1:14" x14ac:dyDescent="0.2">
      <c r="D68" s="29" t="s">
        <v>1025</v>
      </c>
      <c r="I68" s="29" t="s">
        <v>1026</v>
      </c>
      <c r="N68" s="29" t="s">
        <v>1027</v>
      </c>
    </row>
    <row r="69" spans="1:14" x14ac:dyDescent="0.2">
      <c r="D69" s="29" t="s">
        <v>1028</v>
      </c>
      <c r="I69" s="29" t="s">
        <v>1029</v>
      </c>
      <c r="N69" s="29" t="s">
        <v>1030</v>
      </c>
    </row>
    <row r="70" spans="1:14" x14ac:dyDescent="0.2">
      <c r="I70" s="29" t="s">
        <v>1031</v>
      </c>
      <c r="N70" s="29" t="s">
        <v>1032</v>
      </c>
    </row>
    <row r="71" spans="1:14" x14ac:dyDescent="0.2">
      <c r="N71" s="29" t="s">
        <v>1033</v>
      </c>
    </row>
    <row r="72" spans="1:14" x14ac:dyDescent="0.2">
      <c r="N72" s="29" t="s">
        <v>1034</v>
      </c>
    </row>
    <row r="73" spans="1:14" x14ac:dyDescent="0.2">
      <c r="N73" s="29" t="s">
        <v>1035</v>
      </c>
    </row>
    <row r="74" spans="1:14" x14ac:dyDescent="0.2">
      <c r="N74" s="29" t="s">
        <v>1036</v>
      </c>
    </row>
    <row r="75" spans="1:14" x14ac:dyDescent="0.2">
      <c r="N75" s="29" t="s">
        <v>1037</v>
      </c>
    </row>
    <row r="76" spans="1:14" x14ac:dyDescent="0.2">
      <c r="N76" s="29" t="s">
        <v>1038</v>
      </c>
    </row>
    <row r="78" spans="1:14" x14ac:dyDescent="0.2">
      <c r="A78" s="72" t="s">
        <v>1039</v>
      </c>
      <c r="D78" s="29" t="s">
        <v>1040</v>
      </c>
      <c r="I78" s="29" t="s">
        <v>1131</v>
      </c>
      <c r="N78" s="29" t="s">
        <v>901</v>
      </c>
    </row>
    <row r="79" spans="1:14" x14ac:dyDescent="0.2">
      <c r="D79" s="29" t="s">
        <v>1041</v>
      </c>
      <c r="I79" s="29" t="s">
        <v>1042</v>
      </c>
      <c r="N79" s="29" t="s">
        <v>902</v>
      </c>
    </row>
    <row r="80" spans="1:14" x14ac:dyDescent="0.2">
      <c r="D80" s="29" t="s">
        <v>1043</v>
      </c>
      <c r="I80" s="29" t="s">
        <v>1133</v>
      </c>
      <c r="N80" s="72" t="s">
        <v>1013</v>
      </c>
    </row>
    <row r="81" spans="1:14" x14ac:dyDescent="0.2">
      <c r="D81" s="29" t="s">
        <v>1044</v>
      </c>
      <c r="I81" s="29" t="s">
        <v>1015</v>
      </c>
      <c r="N81" s="29" t="s">
        <v>1016</v>
      </c>
    </row>
    <row r="82" spans="1:14" x14ac:dyDescent="0.2">
      <c r="D82" s="29" t="s">
        <v>1045</v>
      </c>
      <c r="I82" s="29" t="s">
        <v>1046</v>
      </c>
      <c r="N82" s="29" t="s">
        <v>1019</v>
      </c>
    </row>
    <row r="83" spans="1:14" x14ac:dyDescent="0.2">
      <c r="D83" s="29" t="s">
        <v>1047</v>
      </c>
      <c r="I83" s="117" t="s">
        <v>1286</v>
      </c>
      <c r="N83" s="29" t="s">
        <v>1021</v>
      </c>
    </row>
    <row r="84" spans="1:14" x14ac:dyDescent="0.2">
      <c r="D84" s="29" t="s">
        <v>1048</v>
      </c>
      <c r="I84" s="29" t="s">
        <v>1049</v>
      </c>
      <c r="N84" s="29" t="s">
        <v>1024</v>
      </c>
    </row>
    <row r="85" spans="1:14" x14ac:dyDescent="0.2">
      <c r="D85" s="29" t="s">
        <v>1050</v>
      </c>
      <c r="I85" s="29" t="s">
        <v>1051</v>
      </c>
    </row>
    <row r="86" spans="1:14" x14ac:dyDescent="0.2">
      <c r="D86" s="76" t="s">
        <v>1052</v>
      </c>
      <c r="I86" s="29" t="s">
        <v>1053</v>
      </c>
    </row>
    <row r="87" spans="1:14" x14ac:dyDescent="0.2">
      <c r="D87" s="76" t="s">
        <v>1054</v>
      </c>
      <c r="I87" s="72" t="s">
        <v>1055</v>
      </c>
    </row>
    <row r="88" spans="1:14" x14ac:dyDescent="0.2">
      <c r="I88" s="29" t="s">
        <v>1056</v>
      </c>
    </row>
    <row r="89" spans="1:14" x14ac:dyDescent="0.2">
      <c r="I89" s="29" t="s">
        <v>1057</v>
      </c>
    </row>
    <row r="91" spans="1:14" x14ac:dyDescent="0.2">
      <c r="A91" s="72" t="s">
        <v>759</v>
      </c>
      <c r="D91" s="29" t="s">
        <v>1134</v>
      </c>
      <c r="I91" s="29" t="s">
        <v>893</v>
      </c>
      <c r="N91" s="29" t="s">
        <v>762</v>
      </c>
    </row>
    <row r="92" spans="1:14" x14ac:dyDescent="0.2">
      <c r="A92" s="72"/>
      <c r="D92" s="29" t="s">
        <v>1135</v>
      </c>
      <c r="I92" s="29" t="s">
        <v>1152</v>
      </c>
    </row>
    <row r="93" spans="1:14" x14ac:dyDescent="0.2">
      <c r="A93" s="72"/>
      <c r="D93" s="29" t="s">
        <v>1136</v>
      </c>
      <c r="I93" s="29" t="s">
        <v>1153</v>
      </c>
    </row>
    <row r="94" spans="1:14" x14ac:dyDescent="0.2">
      <c r="A94" s="72"/>
      <c r="D94" s="29" t="s">
        <v>1137</v>
      </c>
      <c r="I94" s="29" t="s">
        <v>1154</v>
      </c>
    </row>
    <row r="95" spans="1:14" x14ac:dyDescent="0.2">
      <c r="A95" s="72"/>
      <c r="D95" s="72" t="s">
        <v>1138</v>
      </c>
      <c r="I95" s="29" t="s">
        <v>1155</v>
      </c>
    </row>
    <row r="96" spans="1:14" x14ac:dyDescent="0.2">
      <c r="A96" s="72"/>
      <c r="D96" s="72" t="s">
        <v>1139</v>
      </c>
      <c r="I96" s="29" t="s">
        <v>1156</v>
      </c>
    </row>
    <row r="97" spans="1:14" x14ac:dyDescent="0.2">
      <c r="A97" s="72"/>
      <c r="D97" s="72" t="s">
        <v>1140</v>
      </c>
      <c r="I97" s="29" t="s">
        <v>1157</v>
      </c>
    </row>
    <row r="98" spans="1:14" x14ac:dyDescent="0.2">
      <c r="A98" s="72"/>
      <c r="D98" s="29" t="s">
        <v>1141</v>
      </c>
      <c r="I98" s="29" t="s">
        <v>1158</v>
      </c>
    </row>
    <row r="99" spans="1:14" x14ac:dyDescent="0.2">
      <c r="A99" s="72"/>
      <c r="D99" s="29" t="s">
        <v>1142</v>
      </c>
      <c r="I99" s="29" t="s">
        <v>1159</v>
      </c>
    </row>
    <row r="100" spans="1:14" x14ac:dyDescent="0.2">
      <c r="A100" s="72"/>
      <c r="D100" s="29" t="s">
        <v>1143</v>
      </c>
      <c r="I100" s="72" t="s">
        <v>1160</v>
      </c>
    </row>
    <row r="101" spans="1:14" x14ac:dyDescent="0.2">
      <c r="D101" s="29" t="s">
        <v>1144</v>
      </c>
      <c r="I101" s="29" t="s">
        <v>1161</v>
      </c>
    </row>
    <row r="102" spans="1:14" x14ac:dyDescent="0.2">
      <c r="D102" s="29" t="s">
        <v>1145</v>
      </c>
      <c r="I102" s="29" t="s">
        <v>1162</v>
      </c>
    </row>
    <row r="103" spans="1:14" x14ac:dyDescent="0.2">
      <c r="D103" s="29" t="s">
        <v>1146</v>
      </c>
      <c r="I103" s="29" t="s">
        <v>1163</v>
      </c>
    </row>
    <row r="104" spans="1:14" x14ac:dyDescent="0.2">
      <c r="D104" s="29" t="s">
        <v>1147</v>
      </c>
      <c r="I104" s="29" t="s">
        <v>1164</v>
      </c>
    </row>
    <row r="105" spans="1:14" x14ac:dyDescent="0.2">
      <c r="D105" s="29" t="s">
        <v>1148</v>
      </c>
      <c r="I105" s="29" t="s">
        <v>1165</v>
      </c>
    </row>
    <row r="106" spans="1:14" x14ac:dyDescent="0.2">
      <c r="D106" s="29" t="s">
        <v>1149</v>
      </c>
      <c r="I106" s="29" t="s">
        <v>1166</v>
      </c>
    </row>
    <row r="107" spans="1:14" x14ac:dyDescent="0.2">
      <c r="D107" s="29" t="s">
        <v>1150</v>
      </c>
      <c r="I107" s="29" t="s">
        <v>1167</v>
      </c>
    </row>
    <row r="108" spans="1:14" x14ac:dyDescent="0.2">
      <c r="D108" s="29" t="s">
        <v>1151</v>
      </c>
    </row>
    <row r="110" spans="1:14" x14ac:dyDescent="0.2">
      <c r="A110" s="72" t="s">
        <v>1058</v>
      </c>
      <c r="D110" s="29" t="s">
        <v>1059</v>
      </c>
      <c r="I110" s="29" t="s">
        <v>785</v>
      </c>
      <c r="N110" s="29" t="s">
        <v>762</v>
      </c>
    </row>
    <row r="111" spans="1:14" x14ac:dyDescent="0.2">
      <c r="D111" s="29" t="s">
        <v>1060</v>
      </c>
      <c r="I111" s="29" t="s">
        <v>784</v>
      </c>
    </row>
    <row r="112" spans="1:14" x14ac:dyDescent="0.2">
      <c r="D112" s="29" t="s">
        <v>1061</v>
      </c>
    </row>
    <row r="113" spans="1:14" x14ac:dyDescent="0.2">
      <c r="D113" s="29" t="s">
        <v>1062</v>
      </c>
    </row>
    <row r="114" spans="1:14" x14ac:dyDescent="0.2">
      <c r="D114" s="29" t="s">
        <v>1063</v>
      </c>
    </row>
    <row r="115" spans="1:14" x14ac:dyDescent="0.2">
      <c r="D115" s="29" t="s">
        <v>1064</v>
      </c>
    </row>
    <row r="116" spans="1:14" x14ac:dyDescent="0.2">
      <c r="D116" s="29" t="s">
        <v>1065</v>
      </c>
    </row>
    <row r="117" spans="1:14" x14ac:dyDescent="0.2">
      <c r="D117" s="29" t="s">
        <v>1066</v>
      </c>
    </row>
    <row r="119" spans="1:14" x14ac:dyDescent="0.2">
      <c r="A119" s="72" t="s">
        <v>1067</v>
      </c>
      <c r="D119" s="29" t="s">
        <v>1068</v>
      </c>
      <c r="I119" s="29" t="s">
        <v>783</v>
      </c>
      <c r="N119" s="29" t="s">
        <v>762</v>
      </c>
    </row>
    <row r="120" spans="1:14" x14ac:dyDescent="0.2">
      <c r="D120" s="29" t="s">
        <v>1069</v>
      </c>
      <c r="I120" s="29" t="s">
        <v>782</v>
      </c>
    </row>
    <row r="121" spans="1:14" x14ac:dyDescent="0.2">
      <c r="D121" s="29" t="s">
        <v>1070</v>
      </c>
      <c r="I121" s="29" t="s">
        <v>781</v>
      </c>
    </row>
    <row r="122" spans="1:14" x14ac:dyDescent="0.2">
      <c r="D122" s="29" t="s">
        <v>1071</v>
      </c>
      <c r="I122" s="29" t="s">
        <v>780</v>
      </c>
    </row>
    <row r="123" spans="1:14" x14ac:dyDescent="0.2">
      <c r="D123" s="29" t="s">
        <v>1072</v>
      </c>
      <c r="I123" s="29" t="s">
        <v>779</v>
      </c>
    </row>
    <row r="124" spans="1:14" x14ac:dyDescent="0.2">
      <c r="D124" s="29" t="s">
        <v>1073</v>
      </c>
    </row>
    <row r="125" spans="1:14" x14ac:dyDescent="0.2">
      <c r="D125" s="29" t="s">
        <v>1074</v>
      </c>
    </row>
    <row r="127" spans="1:14" x14ac:dyDescent="0.2">
      <c r="A127" s="72" t="s">
        <v>1079</v>
      </c>
      <c r="D127" s="29" t="s">
        <v>1080</v>
      </c>
      <c r="I127" s="29" t="s">
        <v>778</v>
      </c>
      <c r="N127" s="29" t="s">
        <v>762</v>
      </c>
    </row>
    <row r="128" spans="1:14" x14ac:dyDescent="0.2">
      <c r="D128" s="29" t="s">
        <v>1081</v>
      </c>
      <c r="I128" s="29" t="s">
        <v>777</v>
      </c>
    </row>
    <row r="129" spans="1:14" x14ac:dyDescent="0.2">
      <c r="D129" s="29" t="s">
        <v>1082</v>
      </c>
      <c r="I129" s="29" t="s">
        <v>776</v>
      </c>
    </row>
    <row r="130" spans="1:14" x14ac:dyDescent="0.2">
      <c r="D130" s="29" t="s">
        <v>1083</v>
      </c>
      <c r="I130" s="29" t="s">
        <v>774</v>
      </c>
    </row>
    <row r="131" spans="1:14" x14ac:dyDescent="0.2">
      <c r="D131" s="29" t="s">
        <v>1084</v>
      </c>
      <c r="I131" s="29" t="s">
        <v>773</v>
      </c>
    </row>
    <row r="132" spans="1:14" x14ac:dyDescent="0.2">
      <c r="D132" s="29" t="s">
        <v>1085</v>
      </c>
      <c r="I132" s="29" t="s">
        <v>772</v>
      </c>
    </row>
    <row r="133" spans="1:14" x14ac:dyDescent="0.2">
      <c r="D133" s="29" t="s">
        <v>775</v>
      </c>
    </row>
    <row r="134" spans="1:14" x14ac:dyDescent="0.2">
      <c r="D134" s="29" t="s">
        <v>1284</v>
      </c>
    </row>
    <row r="135" spans="1:14" x14ac:dyDescent="0.2">
      <c r="D135" s="29" t="s">
        <v>1086</v>
      </c>
    </row>
    <row r="136" spans="1:14" x14ac:dyDescent="0.2">
      <c r="D136" s="29" t="s">
        <v>771</v>
      </c>
    </row>
    <row r="138" spans="1:14" x14ac:dyDescent="0.2">
      <c r="A138" s="72" t="s">
        <v>758</v>
      </c>
      <c r="D138" s="29" t="s">
        <v>769</v>
      </c>
      <c r="I138" s="29" t="s">
        <v>768</v>
      </c>
      <c r="N138" s="29" t="s">
        <v>762</v>
      </c>
    </row>
    <row r="139" spans="1:14" x14ac:dyDescent="0.2">
      <c r="D139" s="29" t="s">
        <v>767</v>
      </c>
      <c r="I139" s="29" t="s">
        <v>1087</v>
      </c>
    </row>
    <row r="140" spans="1:14" x14ac:dyDescent="0.2">
      <c r="D140" s="29" t="s">
        <v>1088</v>
      </c>
      <c r="I140" s="29" t="s">
        <v>766</v>
      </c>
    </row>
    <row r="141" spans="1:14" x14ac:dyDescent="0.2">
      <c r="D141" s="29" t="s">
        <v>1089</v>
      </c>
      <c r="I141" s="29" t="s">
        <v>765</v>
      </c>
    </row>
    <row r="142" spans="1:14" x14ac:dyDescent="0.2">
      <c r="D142" s="29" t="s">
        <v>1090</v>
      </c>
      <c r="I142" s="29" t="s">
        <v>1091</v>
      </c>
    </row>
    <row r="143" spans="1:14" x14ac:dyDescent="0.2">
      <c r="D143" s="29" t="s">
        <v>1092</v>
      </c>
      <c r="I143" s="29" t="s">
        <v>1093</v>
      </c>
    </row>
    <row r="144" spans="1:14" x14ac:dyDescent="0.2">
      <c r="D144" s="29" t="s">
        <v>764</v>
      </c>
      <c r="I144" s="29" t="s">
        <v>1094</v>
      </c>
    </row>
    <row r="145" spans="1:14" x14ac:dyDescent="0.2">
      <c r="D145" s="29" t="s">
        <v>1095</v>
      </c>
      <c r="I145" s="29" t="s">
        <v>1096</v>
      </c>
    </row>
    <row r="146" spans="1:14" x14ac:dyDescent="0.2">
      <c r="D146" s="29" t="s">
        <v>1097</v>
      </c>
      <c r="I146" s="29" t="s">
        <v>763</v>
      </c>
    </row>
    <row r="147" spans="1:14" x14ac:dyDescent="0.2">
      <c r="D147" s="29" t="s">
        <v>1098</v>
      </c>
      <c r="I147" s="29" t="s">
        <v>1099</v>
      </c>
    </row>
    <row r="148" spans="1:14" x14ac:dyDescent="0.2">
      <c r="D148" s="29" t="s">
        <v>1100</v>
      </c>
      <c r="I148" s="29" t="s">
        <v>1101</v>
      </c>
    </row>
    <row r="149" spans="1:14" x14ac:dyDescent="0.2">
      <c r="D149" s="29" t="s">
        <v>1102</v>
      </c>
      <c r="I149" s="29" t="s">
        <v>1103</v>
      </c>
    </row>
    <row r="150" spans="1:14" x14ac:dyDescent="0.2">
      <c r="D150" s="29" t="s">
        <v>1104</v>
      </c>
      <c r="I150" s="29" t="s">
        <v>1105</v>
      </c>
    </row>
    <row r="151" spans="1:14" x14ac:dyDescent="0.2">
      <c r="D151" s="29" t="s">
        <v>1106</v>
      </c>
      <c r="I151" s="29" t="s">
        <v>1107</v>
      </c>
    </row>
    <row r="152" spans="1:14" x14ac:dyDescent="0.2">
      <c r="D152" s="29" t="s">
        <v>1108</v>
      </c>
      <c r="I152" s="29" t="s">
        <v>1109</v>
      </c>
    </row>
    <row r="153" spans="1:14" x14ac:dyDescent="0.2">
      <c r="D153" s="72" t="s">
        <v>1110</v>
      </c>
      <c r="I153" s="29" t="s">
        <v>1111</v>
      </c>
    </row>
    <row r="155" spans="1:14" x14ac:dyDescent="0.2">
      <c r="A155" s="29" t="s">
        <v>1112</v>
      </c>
      <c r="D155" s="29" t="s">
        <v>1113</v>
      </c>
      <c r="I155" s="29" t="s">
        <v>762</v>
      </c>
      <c r="N155" s="72" t="s">
        <v>761</v>
      </c>
    </row>
    <row r="156" spans="1:14" x14ac:dyDescent="0.2">
      <c r="A156" s="29" t="s">
        <v>1114</v>
      </c>
      <c r="D156" s="29" t="s">
        <v>1115</v>
      </c>
      <c r="N156" s="72" t="s">
        <v>990</v>
      </c>
    </row>
    <row r="157" spans="1:14" x14ac:dyDescent="0.2">
      <c r="A157" s="29" t="s">
        <v>1116</v>
      </c>
      <c r="D157" s="29" t="s">
        <v>1117</v>
      </c>
      <c r="N157" s="72" t="s">
        <v>842</v>
      </c>
    </row>
    <row r="158" spans="1:14" x14ac:dyDescent="0.2">
      <c r="A158" s="29" t="s">
        <v>1118</v>
      </c>
      <c r="D158" s="29" t="s">
        <v>1119</v>
      </c>
      <c r="N158" s="72" t="s">
        <v>760</v>
      </c>
    </row>
    <row r="159" spans="1:14" x14ac:dyDescent="0.2">
      <c r="A159" s="29" t="s">
        <v>1120</v>
      </c>
      <c r="D159" s="29" t="s">
        <v>1121</v>
      </c>
      <c r="N159" s="29" t="s">
        <v>1122</v>
      </c>
    </row>
    <row r="160" spans="1:14" x14ac:dyDescent="0.2">
      <c r="A160" s="29" t="s">
        <v>1123</v>
      </c>
      <c r="N160" s="29" t="s">
        <v>1124</v>
      </c>
    </row>
    <row r="161" spans="1:14" x14ac:dyDescent="0.2">
      <c r="A161" s="74" t="s">
        <v>1129</v>
      </c>
      <c r="N161" s="72" t="s">
        <v>1168</v>
      </c>
    </row>
    <row r="162" spans="1:14" x14ac:dyDescent="0.2">
      <c r="A162" s="29" t="s">
        <v>1125</v>
      </c>
      <c r="N162" s="72" t="s">
        <v>1067</v>
      </c>
    </row>
    <row r="163" spans="1:14" x14ac:dyDescent="0.2">
      <c r="A163" s="77" t="s">
        <v>758</v>
      </c>
      <c r="N163" s="72" t="s">
        <v>1079</v>
      </c>
    </row>
    <row r="164" spans="1:14" x14ac:dyDescent="0.2">
      <c r="A164" s="74" t="s">
        <v>1126</v>
      </c>
      <c r="N164" s="72" t="s">
        <v>758</v>
      </c>
    </row>
    <row r="165" spans="1:14" x14ac:dyDescent="0.2">
      <c r="A165" s="29" t="s">
        <v>1127</v>
      </c>
      <c r="N165" s="72"/>
    </row>
    <row r="166" spans="1:14" x14ac:dyDescent="0.2">
      <c r="A166" s="29" t="s">
        <v>1128</v>
      </c>
      <c r="N166" s="72"/>
    </row>
    <row r="167" spans="1:14" x14ac:dyDescent="0.2">
      <c r="N167" s="72"/>
    </row>
    <row r="168" spans="1:14" x14ac:dyDescent="0.2">
      <c r="N168" s="72"/>
    </row>
    <row r="169" spans="1:14" x14ac:dyDescent="0.2">
      <c r="N169" s="72"/>
    </row>
    <row r="170" spans="1:14" x14ac:dyDescent="0.2">
      <c r="N170" s="72"/>
    </row>
  </sheetData>
  <hyperlinks>
    <hyperlink ref="D66" r:id="rId1"/>
  </hyperlinks>
  <pageMargins left="0.70866141732283472" right="0.70866141732283472" top="0.74803149606299213" bottom="0.74803149606299213" header="0.31496062992125984" footer="0.31496062992125984"/>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J51" sqref="J51"/>
    </sheetView>
  </sheetViews>
  <sheetFormatPr defaultColWidth="8.7109375" defaultRowHeight="12.75" x14ac:dyDescent="0.2"/>
  <cols>
    <col min="1" max="2" width="8.7109375" style="29"/>
    <col min="3" max="3" width="15.140625" style="29" customWidth="1"/>
    <col min="4" max="16384" width="8.7109375" style="29"/>
  </cols>
  <sheetData>
    <row r="1" spans="1:12" ht="15.75" x14ac:dyDescent="0.25">
      <c r="A1" s="60" t="s">
        <v>1354</v>
      </c>
    </row>
    <row r="2" spans="1:12" x14ac:dyDescent="0.2">
      <c r="A2" s="72" t="s">
        <v>1169</v>
      </c>
    </row>
    <row r="3" spans="1:12" x14ac:dyDescent="0.2">
      <c r="A3" s="72" t="s">
        <v>1170</v>
      </c>
    </row>
    <row r="5" spans="1:12" x14ac:dyDescent="0.2">
      <c r="A5" s="73" t="s">
        <v>845</v>
      </c>
      <c r="E5" s="29" t="s">
        <v>1355</v>
      </c>
    </row>
    <row r="6" spans="1:12" x14ac:dyDescent="0.2">
      <c r="A6" s="73"/>
    </row>
    <row r="7" spans="1:12" x14ac:dyDescent="0.2">
      <c r="A7" s="29" t="s">
        <v>1171</v>
      </c>
      <c r="C7" s="29" t="s">
        <v>819</v>
      </c>
      <c r="E7" s="29" t="s">
        <v>844</v>
      </c>
      <c r="J7" s="29" t="s">
        <v>1172</v>
      </c>
    </row>
    <row r="8" spans="1:12" x14ac:dyDescent="0.2">
      <c r="C8" s="29" t="s">
        <v>815</v>
      </c>
      <c r="J8" s="29" t="s">
        <v>1356</v>
      </c>
    </row>
    <row r="10" spans="1:12" x14ac:dyDescent="0.2">
      <c r="A10" s="29" t="s">
        <v>1173</v>
      </c>
      <c r="C10" s="29" t="s">
        <v>819</v>
      </c>
      <c r="E10" s="29" t="s">
        <v>818</v>
      </c>
      <c r="J10" s="29" t="s">
        <v>817</v>
      </c>
    </row>
    <row r="11" spans="1:12" x14ac:dyDescent="0.2">
      <c r="C11" s="29" t="s">
        <v>815</v>
      </c>
      <c r="J11" s="29" t="s">
        <v>1356</v>
      </c>
    </row>
    <row r="13" spans="1:12" ht="15" x14ac:dyDescent="0.25">
      <c r="A13" s="29" t="s">
        <v>1174</v>
      </c>
      <c r="C13" s="29" t="s">
        <v>819</v>
      </c>
      <c r="E13" s="29" t="s">
        <v>1175</v>
      </c>
      <c r="J13" s="29" t="s">
        <v>1176</v>
      </c>
      <c r="K13" s="75" t="s">
        <v>843</v>
      </c>
    </row>
    <row r="14" spans="1:12" ht="15" x14ac:dyDescent="0.25">
      <c r="A14" s="29" t="s">
        <v>840</v>
      </c>
      <c r="C14" s="29" t="s">
        <v>815</v>
      </c>
      <c r="E14" s="29" t="s">
        <v>1177</v>
      </c>
      <c r="J14" s="29" t="s">
        <v>1356</v>
      </c>
      <c r="L14" s="75"/>
    </row>
    <row r="15" spans="1:12" x14ac:dyDescent="0.2">
      <c r="A15" s="29" t="s">
        <v>839</v>
      </c>
      <c r="C15" s="29" t="s">
        <v>823</v>
      </c>
      <c r="E15" s="29" t="s">
        <v>1178</v>
      </c>
      <c r="J15" s="29" t="s">
        <v>956</v>
      </c>
    </row>
    <row r="17" spans="1:14" x14ac:dyDescent="0.2">
      <c r="A17" s="29" t="s">
        <v>842</v>
      </c>
      <c r="C17" s="29" t="s">
        <v>819</v>
      </c>
      <c r="E17" s="29" t="s">
        <v>1175</v>
      </c>
      <c r="J17" s="29" t="s">
        <v>841</v>
      </c>
    </row>
    <row r="18" spans="1:14" x14ac:dyDescent="0.2">
      <c r="A18" s="29" t="s">
        <v>840</v>
      </c>
      <c r="C18" s="29" t="s">
        <v>815</v>
      </c>
      <c r="E18" s="29" t="s">
        <v>1179</v>
      </c>
      <c r="J18" s="29" t="s">
        <v>1356</v>
      </c>
    </row>
    <row r="19" spans="1:14" x14ac:dyDescent="0.2">
      <c r="A19" s="29" t="s">
        <v>839</v>
      </c>
      <c r="C19" s="29" t="s">
        <v>823</v>
      </c>
      <c r="E19" s="29" t="s">
        <v>838</v>
      </c>
      <c r="J19" s="29" t="s">
        <v>957</v>
      </c>
    </row>
    <row r="21" spans="1:14" x14ac:dyDescent="0.2">
      <c r="A21" s="29" t="s">
        <v>837</v>
      </c>
      <c r="C21" s="29" t="s">
        <v>819</v>
      </c>
      <c r="E21" s="29" t="s">
        <v>818</v>
      </c>
      <c r="J21" s="29" t="s">
        <v>817</v>
      </c>
    </row>
    <row r="22" spans="1:14" x14ac:dyDescent="0.2">
      <c r="A22" s="29" t="s">
        <v>836</v>
      </c>
      <c r="C22" s="29" t="s">
        <v>815</v>
      </c>
      <c r="E22" s="29" t="s">
        <v>835</v>
      </c>
      <c r="J22" s="29" t="s">
        <v>1356</v>
      </c>
    </row>
    <row r="23" spans="1:14" x14ac:dyDescent="0.2">
      <c r="E23" s="29" t="s">
        <v>1180</v>
      </c>
    </row>
    <row r="24" spans="1:14" x14ac:dyDescent="0.2">
      <c r="E24" s="29" t="s">
        <v>1181</v>
      </c>
    </row>
    <row r="26" spans="1:14" x14ac:dyDescent="0.2">
      <c r="A26" s="29" t="s">
        <v>834</v>
      </c>
      <c r="C26" s="29" t="s">
        <v>819</v>
      </c>
      <c r="E26" s="29" t="s">
        <v>818</v>
      </c>
      <c r="J26" s="29" t="s">
        <v>817</v>
      </c>
    </row>
    <row r="27" spans="1:14" x14ac:dyDescent="0.2">
      <c r="A27" s="29" t="s">
        <v>825</v>
      </c>
      <c r="C27" s="29" t="s">
        <v>815</v>
      </c>
      <c r="E27" s="29" t="s">
        <v>1182</v>
      </c>
      <c r="J27" s="29" t="s">
        <v>1356</v>
      </c>
    </row>
    <row r="28" spans="1:14" ht="15" x14ac:dyDescent="0.25">
      <c r="A28" s="29" t="s">
        <v>833</v>
      </c>
      <c r="C28" s="29" t="s">
        <v>823</v>
      </c>
      <c r="E28" s="29" t="s">
        <v>832</v>
      </c>
      <c r="J28" s="29" t="s">
        <v>1176</v>
      </c>
      <c r="K28" s="75" t="s">
        <v>831</v>
      </c>
      <c r="N28" s="29" t="s">
        <v>1356</v>
      </c>
    </row>
    <row r="30" spans="1:14" x14ac:dyDescent="0.2">
      <c r="A30" s="29" t="s">
        <v>1183</v>
      </c>
      <c r="C30" s="29" t="s">
        <v>819</v>
      </c>
      <c r="E30" s="29" t="s">
        <v>818</v>
      </c>
      <c r="J30" s="29" t="s">
        <v>817</v>
      </c>
    </row>
    <row r="31" spans="1:14" x14ac:dyDescent="0.2">
      <c r="A31" s="29" t="s">
        <v>1184</v>
      </c>
      <c r="C31" s="29" t="s">
        <v>815</v>
      </c>
      <c r="E31" s="29" t="s">
        <v>1185</v>
      </c>
      <c r="J31" s="29" t="s">
        <v>1356</v>
      </c>
    </row>
    <row r="32" spans="1:14" x14ac:dyDescent="0.2">
      <c r="A32" s="29" t="s">
        <v>1186</v>
      </c>
      <c r="C32" s="29" t="s">
        <v>823</v>
      </c>
      <c r="E32" s="29" t="s">
        <v>830</v>
      </c>
      <c r="J32" s="29" t="s">
        <v>1187</v>
      </c>
    </row>
    <row r="34" spans="1:17" x14ac:dyDescent="0.2">
      <c r="A34" s="29" t="s">
        <v>369</v>
      </c>
      <c r="C34" s="29" t="s">
        <v>819</v>
      </c>
      <c r="E34" s="29" t="s">
        <v>818</v>
      </c>
      <c r="J34" s="29" t="s">
        <v>817</v>
      </c>
    </row>
    <row r="35" spans="1:17" x14ac:dyDescent="0.2">
      <c r="A35" s="29" t="s">
        <v>1188</v>
      </c>
      <c r="C35" s="29" t="s">
        <v>815</v>
      </c>
      <c r="E35" s="29" t="s">
        <v>1189</v>
      </c>
      <c r="J35" s="29" t="s">
        <v>1356</v>
      </c>
      <c r="K35" s="114"/>
      <c r="L35" s="114"/>
      <c r="M35" s="114"/>
      <c r="N35" s="114"/>
      <c r="O35" s="114"/>
      <c r="P35" s="114"/>
    </row>
    <row r="36" spans="1:17" x14ac:dyDescent="0.2">
      <c r="C36" s="29" t="s">
        <v>823</v>
      </c>
      <c r="E36" s="29" t="s">
        <v>1190</v>
      </c>
      <c r="J36" s="114" t="s">
        <v>1357</v>
      </c>
      <c r="K36" s="114"/>
      <c r="L36" s="114"/>
      <c r="M36" s="114"/>
      <c r="N36" s="114"/>
      <c r="O36" s="114"/>
      <c r="P36" s="114"/>
      <c r="Q36" s="114"/>
    </row>
    <row r="38" spans="1:17" x14ac:dyDescent="0.2">
      <c r="A38" s="29" t="s">
        <v>829</v>
      </c>
      <c r="C38" s="29" t="s">
        <v>819</v>
      </c>
      <c r="E38" s="29" t="s">
        <v>818</v>
      </c>
      <c r="J38" s="29" t="s">
        <v>817</v>
      </c>
    </row>
    <row r="39" spans="1:17" x14ac:dyDescent="0.2">
      <c r="A39" s="29" t="s">
        <v>828</v>
      </c>
      <c r="C39" s="29" t="s">
        <v>815</v>
      </c>
      <c r="E39" s="29" t="s">
        <v>1191</v>
      </c>
      <c r="J39" s="29" t="s">
        <v>1356</v>
      </c>
    </row>
    <row r="40" spans="1:17" x14ac:dyDescent="0.2">
      <c r="A40" s="29" t="s">
        <v>827</v>
      </c>
      <c r="C40" s="29" t="s">
        <v>823</v>
      </c>
      <c r="E40" s="29" t="s">
        <v>1192</v>
      </c>
      <c r="J40" s="29" t="s">
        <v>1356</v>
      </c>
    </row>
    <row r="42" spans="1:17" x14ac:dyDescent="0.2">
      <c r="A42" s="29" t="s">
        <v>826</v>
      </c>
      <c r="C42" s="29" t="s">
        <v>819</v>
      </c>
      <c r="E42" s="29" t="s">
        <v>818</v>
      </c>
      <c r="J42" s="29" t="s">
        <v>817</v>
      </c>
    </row>
    <row r="43" spans="1:17" x14ac:dyDescent="0.2">
      <c r="A43" s="29" t="s">
        <v>825</v>
      </c>
      <c r="C43" s="29" t="s">
        <v>815</v>
      </c>
      <c r="E43" s="29" t="s">
        <v>1193</v>
      </c>
      <c r="J43" s="29" t="s">
        <v>1356</v>
      </c>
    </row>
    <row r="44" spans="1:17" x14ac:dyDescent="0.2">
      <c r="A44" s="29" t="s">
        <v>824</v>
      </c>
      <c r="C44" s="29" t="s">
        <v>823</v>
      </c>
      <c r="E44" s="29" t="s">
        <v>822</v>
      </c>
      <c r="J44" s="29" t="s">
        <v>821</v>
      </c>
    </row>
    <row r="46" spans="1:17" x14ac:dyDescent="0.2">
      <c r="A46" s="29" t="s">
        <v>820</v>
      </c>
      <c r="C46" s="29" t="s">
        <v>819</v>
      </c>
      <c r="E46" s="29" t="s">
        <v>818</v>
      </c>
      <c r="J46" s="29" t="s">
        <v>817</v>
      </c>
    </row>
    <row r="47" spans="1:17" x14ac:dyDescent="0.2">
      <c r="A47" s="29" t="s">
        <v>816</v>
      </c>
      <c r="C47" s="29" t="s">
        <v>815</v>
      </c>
      <c r="E47" s="29" t="s">
        <v>1191</v>
      </c>
      <c r="J47" s="114" t="s">
        <v>1358</v>
      </c>
    </row>
    <row r="49" spans="1:7" x14ac:dyDescent="0.2">
      <c r="A49" s="29" t="s">
        <v>1194</v>
      </c>
      <c r="E49" s="29" t="s">
        <v>1195</v>
      </c>
    </row>
    <row r="50" spans="1:7" x14ac:dyDescent="0.2">
      <c r="A50" s="29" t="s">
        <v>1196</v>
      </c>
      <c r="E50" s="29" t="s">
        <v>1197</v>
      </c>
    </row>
    <row r="52" spans="1:7" x14ac:dyDescent="0.2">
      <c r="A52" s="29" t="s">
        <v>1198</v>
      </c>
      <c r="E52" s="29" t="s">
        <v>1199</v>
      </c>
    </row>
    <row r="53" spans="1:7" ht="15" x14ac:dyDescent="0.25">
      <c r="A53" s="29" t="s">
        <v>1200</v>
      </c>
      <c r="E53" s="75" t="s">
        <v>1201</v>
      </c>
      <c r="G53" s="29" t="s">
        <v>1202</v>
      </c>
    </row>
  </sheetData>
  <hyperlinks>
    <hyperlink ref="K13" r:id="rId1"/>
    <hyperlink ref="K28" r:id="rId2"/>
    <hyperlink ref="E53" r:id="rId3"/>
  </hyperlinks>
  <pageMargins left="0.70866141732283472" right="0.70866141732283472" top="0.74803149606299213" bottom="0.74803149606299213" header="0.31496062992125984" footer="0.31496062992125984"/>
  <pageSetup paperSize="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3"/>
  <sheetViews>
    <sheetView zoomScaleNormal="100" workbookViewId="0">
      <pane xSplit="1" ySplit="7" topLeftCell="B8" activePane="bottomRight" state="frozen"/>
      <selection pane="topRight" activeCell="B1" sqref="B1"/>
      <selection pane="bottomLeft" activeCell="A8" sqref="A8"/>
      <selection pane="bottomRight" activeCell="C225" sqref="C225"/>
    </sheetView>
  </sheetViews>
  <sheetFormatPr defaultRowHeight="12.75" x14ac:dyDescent="0.2"/>
  <cols>
    <col min="1" max="1" width="30.7109375" style="29" customWidth="1"/>
    <col min="2" max="64" width="10.7109375" style="29" customWidth="1"/>
    <col min="65" max="16384" width="9.140625" style="29"/>
  </cols>
  <sheetData>
    <row r="1" spans="1:64" x14ac:dyDescent="0.2">
      <c r="A1" s="76" t="s">
        <v>0</v>
      </c>
    </row>
    <row r="2" spans="1:64" x14ac:dyDescent="0.2">
      <c r="A2" s="29" t="s">
        <v>7</v>
      </c>
      <c r="E2" s="89" t="s">
        <v>8</v>
      </c>
      <c r="I2" s="72" t="s">
        <v>1</v>
      </c>
    </row>
    <row r="3" spans="1:64" x14ac:dyDescent="0.2">
      <c r="A3" s="29" t="s">
        <v>6</v>
      </c>
      <c r="E3" s="89" t="s">
        <v>5</v>
      </c>
      <c r="I3" s="72" t="s">
        <v>954</v>
      </c>
      <c r="N3" s="72" t="s">
        <v>22</v>
      </c>
    </row>
    <row r="4" spans="1:64" x14ac:dyDescent="0.2">
      <c r="A4" s="76" t="s">
        <v>11</v>
      </c>
      <c r="B4" s="79" t="s">
        <v>12</v>
      </c>
      <c r="C4" s="79" t="s">
        <v>13</v>
      </c>
      <c r="D4" s="79" t="s">
        <v>14</v>
      </c>
      <c r="E4" s="79" t="s">
        <v>15</v>
      </c>
      <c r="F4" s="79" t="s">
        <v>17</v>
      </c>
      <c r="G4" s="79" t="s">
        <v>16</v>
      </c>
      <c r="H4" s="79" t="s">
        <v>18</v>
      </c>
      <c r="I4" s="79" t="s">
        <v>19</v>
      </c>
      <c r="J4" s="79" t="s">
        <v>20</v>
      </c>
      <c r="K4" s="79" t="s">
        <v>21</v>
      </c>
      <c r="L4" s="79" t="s">
        <v>23</v>
      </c>
      <c r="M4" s="79" t="s">
        <v>24</v>
      </c>
      <c r="N4" s="79" t="s">
        <v>25</v>
      </c>
      <c r="O4" s="79" t="s">
        <v>26</v>
      </c>
      <c r="P4" s="79" t="s">
        <v>27</v>
      </c>
      <c r="Q4" s="79" t="s">
        <v>28</v>
      </c>
      <c r="R4" s="79" t="s">
        <v>29</v>
      </c>
      <c r="S4" s="79" t="s">
        <v>30</v>
      </c>
      <c r="T4" s="79" t="s">
        <v>31</v>
      </c>
      <c r="U4" s="79" t="s">
        <v>32</v>
      </c>
      <c r="V4" s="79" t="s">
        <v>33</v>
      </c>
      <c r="W4" s="79" t="s">
        <v>34</v>
      </c>
      <c r="X4" s="79" t="s">
        <v>35</v>
      </c>
      <c r="Y4" s="79" t="s">
        <v>36</v>
      </c>
      <c r="Z4" s="79" t="s">
        <v>37</v>
      </c>
      <c r="AA4" s="79" t="s">
        <v>38</v>
      </c>
      <c r="AB4" s="79" t="s">
        <v>39</v>
      </c>
      <c r="AC4" s="79" t="s">
        <v>40</v>
      </c>
      <c r="AD4" s="79" t="s">
        <v>41</v>
      </c>
      <c r="AE4" s="79" t="s">
        <v>42</v>
      </c>
      <c r="AF4" s="79" t="s">
        <v>43</v>
      </c>
      <c r="AG4" s="79" t="s">
        <v>44</v>
      </c>
      <c r="AH4" s="79" t="s">
        <v>45</v>
      </c>
      <c r="AI4" s="79" t="s">
        <v>46</v>
      </c>
      <c r="AJ4" s="79" t="s">
        <v>47</v>
      </c>
      <c r="AK4" s="79" t="s">
        <v>48</v>
      </c>
      <c r="AL4" s="79" t="s">
        <v>49</v>
      </c>
      <c r="AM4" s="79" t="s">
        <v>50</v>
      </c>
      <c r="AN4" s="79" t="s">
        <v>51</v>
      </c>
      <c r="AO4" s="79" t="s">
        <v>52</v>
      </c>
      <c r="AP4" s="79" t="s">
        <v>53</v>
      </c>
      <c r="AQ4" s="79" t="s">
        <v>54</v>
      </c>
      <c r="AR4" s="79" t="s">
        <v>55</v>
      </c>
      <c r="AS4" s="79" t="s">
        <v>56</v>
      </c>
      <c r="AT4" s="79" t="s">
        <v>57</v>
      </c>
      <c r="AU4" s="79" t="s">
        <v>58</v>
      </c>
      <c r="AV4" s="79" t="s">
        <v>59</v>
      </c>
      <c r="AW4" s="79" t="s">
        <v>60</v>
      </c>
      <c r="AX4" s="79" t="s">
        <v>61</v>
      </c>
      <c r="AY4" s="79" t="s">
        <v>62</v>
      </c>
      <c r="AZ4" s="79" t="s">
        <v>63</v>
      </c>
      <c r="BA4" s="79" t="s">
        <v>64</v>
      </c>
      <c r="BB4" s="79" t="s">
        <v>65</v>
      </c>
      <c r="BC4" s="79" t="s">
        <v>66</v>
      </c>
      <c r="BD4" s="79" t="s">
        <v>67</v>
      </c>
      <c r="BE4" s="79" t="s">
        <v>68</v>
      </c>
      <c r="BF4" s="79" t="s">
        <v>69</v>
      </c>
      <c r="BG4" s="79" t="s">
        <v>70</v>
      </c>
      <c r="BH4" s="79" t="s">
        <v>71</v>
      </c>
      <c r="BI4" s="79" t="s">
        <v>72</v>
      </c>
      <c r="BJ4" s="79" t="s">
        <v>73</v>
      </c>
      <c r="BK4" s="79" t="s">
        <v>74</v>
      </c>
      <c r="BL4" s="79" t="s">
        <v>75</v>
      </c>
    </row>
    <row r="5" spans="1:64" x14ac:dyDescent="0.2">
      <c r="B5" s="76">
        <v>2006</v>
      </c>
      <c r="C5" s="76">
        <v>2007</v>
      </c>
      <c r="D5" s="76">
        <v>2008</v>
      </c>
      <c r="E5" s="76">
        <v>2009</v>
      </c>
      <c r="F5" s="76">
        <v>2010</v>
      </c>
      <c r="G5" s="76">
        <v>2011</v>
      </c>
      <c r="H5" s="76">
        <v>2012</v>
      </c>
      <c r="I5" s="76">
        <v>2013</v>
      </c>
      <c r="J5" s="76">
        <v>2014</v>
      </c>
      <c r="K5" s="76">
        <v>2015</v>
      </c>
      <c r="L5" s="76">
        <v>2016</v>
      </c>
      <c r="M5" s="76">
        <v>2017</v>
      </c>
      <c r="N5" s="76">
        <v>2018</v>
      </c>
      <c r="O5" s="76">
        <v>2019</v>
      </c>
      <c r="P5" s="76">
        <v>2020</v>
      </c>
      <c r="Q5" s="76">
        <v>2021</v>
      </c>
      <c r="R5" s="76">
        <v>2022</v>
      </c>
      <c r="S5" s="76">
        <v>2023</v>
      </c>
      <c r="T5" s="76">
        <v>2024</v>
      </c>
      <c r="U5" s="76">
        <v>2025</v>
      </c>
      <c r="V5" s="76">
        <v>2026</v>
      </c>
      <c r="W5" s="76">
        <v>2027</v>
      </c>
      <c r="X5" s="76">
        <v>2028</v>
      </c>
      <c r="Y5" s="76">
        <v>2029</v>
      </c>
      <c r="Z5" s="76">
        <v>2030</v>
      </c>
      <c r="AA5" s="76">
        <v>2031</v>
      </c>
      <c r="AB5" s="76">
        <v>2032</v>
      </c>
      <c r="AC5" s="76">
        <v>2033</v>
      </c>
      <c r="AD5" s="76">
        <v>2034</v>
      </c>
      <c r="AE5" s="76">
        <v>2035</v>
      </c>
      <c r="AF5" s="76">
        <v>2036</v>
      </c>
      <c r="AG5" s="76">
        <v>2037</v>
      </c>
      <c r="AH5" s="76">
        <v>2038</v>
      </c>
      <c r="AI5" s="76">
        <v>2039</v>
      </c>
      <c r="AJ5" s="76">
        <v>2040</v>
      </c>
      <c r="AK5" s="76">
        <v>2041</v>
      </c>
      <c r="AL5" s="76">
        <v>2042</v>
      </c>
      <c r="AM5" s="76">
        <v>2043</v>
      </c>
      <c r="AN5" s="76">
        <v>2044</v>
      </c>
      <c r="AO5" s="76">
        <v>2045</v>
      </c>
      <c r="AP5" s="76">
        <v>2046</v>
      </c>
      <c r="AQ5" s="76">
        <v>2047</v>
      </c>
      <c r="AR5" s="76">
        <v>2048</v>
      </c>
      <c r="AS5" s="76">
        <v>2049</v>
      </c>
      <c r="AT5" s="76">
        <v>2050</v>
      </c>
      <c r="AU5" s="76">
        <v>2051</v>
      </c>
      <c r="AV5" s="76">
        <v>2052</v>
      </c>
      <c r="AW5" s="76">
        <v>2053</v>
      </c>
      <c r="AX5" s="76">
        <v>2054</v>
      </c>
      <c r="AY5" s="76">
        <v>2055</v>
      </c>
      <c r="AZ5" s="76">
        <v>2056</v>
      </c>
      <c r="BA5" s="76">
        <v>2057</v>
      </c>
      <c r="BB5" s="76">
        <v>2058</v>
      </c>
      <c r="BC5" s="76">
        <v>2059</v>
      </c>
      <c r="BD5" s="76">
        <v>2060</v>
      </c>
      <c r="BE5" s="76">
        <v>2061</v>
      </c>
      <c r="BF5" s="76">
        <v>2062</v>
      </c>
      <c r="BG5" s="76">
        <v>2063</v>
      </c>
      <c r="BH5" s="76">
        <v>2064</v>
      </c>
      <c r="BI5" s="76">
        <v>2065</v>
      </c>
      <c r="BJ5" s="76">
        <v>2066</v>
      </c>
      <c r="BK5" s="76">
        <v>2067</v>
      </c>
      <c r="BL5" s="76">
        <v>2068</v>
      </c>
    </row>
    <row r="6" spans="1:64" x14ac:dyDescent="0.2">
      <c r="A6" s="76" t="s">
        <v>76</v>
      </c>
      <c r="B6" s="88">
        <f t="shared" ref="B6:BL6" si="0">SUM(B$10:B$100,B$110:B$200)/1000000</f>
        <v>4.1846300000000003</v>
      </c>
      <c r="C6" s="88">
        <f t="shared" si="0"/>
        <v>4.2238600000000002</v>
      </c>
      <c r="D6" s="88">
        <f t="shared" si="0"/>
        <v>4.2597500000000004</v>
      </c>
      <c r="E6" s="88">
        <f t="shared" si="0"/>
        <v>4.3025900000000004</v>
      </c>
      <c r="F6" s="88">
        <f t="shared" si="0"/>
        <v>4.35067</v>
      </c>
      <c r="G6" s="88">
        <f t="shared" si="0"/>
        <v>4.3839699999999997</v>
      </c>
      <c r="H6" s="88">
        <f t="shared" si="0"/>
        <v>4.4079800000000002</v>
      </c>
      <c r="I6" s="88">
        <f t="shared" si="0"/>
        <v>4.4420999999999999</v>
      </c>
      <c r="J6" s="88">
        <f t="shared" si="0"/>
        <v>4.50969</v>
      </c>
      <c r="K6" s="88">
        <f t="shared" si="0"/>
        <v>4.5957499999999998</v>
      </c>
      <c r="L6" s="88">
        <f t="shared" si="0"/>
        <v>4.6929999999999996</v>
      </c>
      <c r="M6" s="88">
        <f t="shared" si="0"/>
        <v>4.78261</v>
      </c>
      <c r="N6" s="88">
        <f t="shared" si="0"/>
        <v>4.8646099999999999</v>
      </c>
      <c r="O6" s="88">
        <f t="shared" si="0"/>
        <v>4.9386999999999999</v>
      </c>
      <c r="P6" s="88">
        <f t="shared" si="0"/>
        <v>5.0042799999999996</v>
      </c>
      <c r="Q6" s="88">
        <f t="shared" si="0"/>
        <v>5.0615600000000001</v>
      </c>
      <c r="R6" s="88">
        <f t="shared" si="0"/>
        <v>5.1098100000000004</v>
      </c>
      <c r="S6" s="88">
        <f t="shared" si="0"/>
        <v>5.1579199999999998</v>
      </c>
      <c r="T6" s="88">
        <f t="shared" si="0"/>
        <v>5.2055499999999997</v>
      </c>
      <c r="U6" s="88">
        <f t="shared" si="0"/>
        <v>5.2527699999999999</v>
      </c>
      <c r="V6" s="88">
        <f t="shared" si="0"/>
        <v>5.2993399999999999</v>
      </c>
      <c r="W6" s="88">
        <f t="shared" si="0"/>
        <v>5.3449900000000001</v>
      </c>
      <c r="X6" s="88">
        <f t="shared" si="0"/>
        <v>5.3897599999999999</v>
      </c>
      <c r="Y6" s="88">
        <f t="shared" si="0"/>
        <v>5.4333400000000003</v>
      </c>
      <c r="Z6" s="88">
        <f t="shared" si="0"/>
        <v>5.4756400000000003</v>
      </c>
      <c r="AA6" s="88">
        <f t="shared" si="0"/>
        <v>5.5167999999999999</v>
      </c>
      <c r="AB6" s="88">
        <f t="shared" si="0"/>
        <v>5.5564600000000004</v>
      </c>
      <c r="AC6" s="88">
        <f t="shared" si="0"/>
        <v>5.5949400000000002</v>
      </c>
      <c r="AD6" s="88">
        <f t="shared" si="0"/>
        <v>5.6322000000000001</v>
      </c>
      <c r="AE6" s="88">
        <f t="shared" si="0"/>
        <v>5.6680799999999998</v>
      </c>
      <c r="AF6" s="88">
        <f t="shared" si="0"/>
        <v>5.7029300000000003</v>
      </c>
      <c r="AG6" s="88">
        <f t="shared" si="0"/>
        <v>5.7368899999999998</v>
      </c>
      <c r="AH6" s="88">
        <f t="shared" si="0"/>
        <v>5.7697900000000004</v>
      </c>
      <c r="AI6" s="88">
        <f t="shared" si="0"/>
        <v>5.8018299999999998</v>
      </c>
      <c r="AJ6" s="88">
        <f t="shared" si="0"/>
        <v>5.8332499999999996</v>
      </c>
      <c r="AK6" s="88">
        <f t="shared" si="0"/>
        <v>5.8638000000000003</v>
      </c>
      <c r="AL6" s="88">
        <f t="shared" si="0"/>
        <v>5.8937799999999996</v>
      </c>
      <c r="AM6" s="88">
        <f t="shared" si="0"/>
        <v>5.9231199999999999</v>
      </c>
      <c r="AN6" s="88">
        <f t="shared" si="0"/>
        <v>5.9518700000000004</v>
      </c>
      <c r="AO6" s="88">
        <f t="shared" si="0"/>
        <v>5.9798900000000001</v>
      </c>
      <c r="AP6" s="88">
        <f t="shared" si="0"/>
        <v>6.0073699999999999</v>
      </c>
      <c r="AQ6" s="88">
        <f t="shared" si="0"/>
        <v>6.0341100000000001</v>
      </c>
      <c r="AR6" s="88">
        <f t="shared" si="0"/>
        <v>6.0604199999999997</v>
      </c>
      <c r="AS6" s="88">
        <f t="shared" si="0"/>
        <v>6.0863500000000004</v>
      </c>
      <c r="AT6" s="88">
        <f t="shared" si="0"/>
        <v>6.1116299999999999</v>
      </c>
      <c r="AU6" s="88">
        <f t="shared" si="0"/>
        <v>6.1362899999999998</v>
      </c>
      <c r="AV6" s="88">
        <f t="shared" si="0"/>
        <v>6.1606800000000002</v>
      </c>
      <c r="AW6" s="88">
        <f t="shared" si="0"/>
        <v>6.1845299999999996</v>
      </c>
      <c r="AX6" s="88">
        <f t="shared" si="0"/>
        <v>6.2080900000000003</v>
      </c>
      <c r="AY6" s="88">
        <f t="shared" si="0"/>
        <v>6.2313200000000002</v>
      </c>
      <c r="AZ6" s="88">
        <f t="shared" si="0"/>
        <v>6.25434</v>
      </c>
      <c r="BA6" s="88">
        <f t="shared" si="0"/>
        <v>6.2770799999999998</v>
      </c>
      <c r="BB6" s="88">
        <f t="shared" si="0"/>
        <v>6.2995099999999997</v>
      </c>
      <c r="BC6" s="88">
        <f t="shared" si="0"/>
        <v>6.32186</v>
      </c>
      <c r="BD6" s="88">
        <f t="shared" si="0"/>
        <v>6.3439899999999998</v>
      </c>
      <c r="BE6" s="88">
        <f t="shared" si="0"/>
        <v>6.3660199999999998</v>
      </c>
      <c r="BF6" s="88">
        <f t="shared" si="0"/>
        <v>6.3877600000000001</v>
      </c>
      <c r="BG6" s="88">
        <f t="shared" si="0"/>
        <v>6.4094600000000002</v>
      </c>
      <c r="BH6" s="88">
        <f t="shared" si="0"/>
        <v>6.4307299999999996</v>
      </c>
      <c r="BI6" s="88">
        <f t="shared" si="0"/>
        <v>6.45228</v>
      </c>
      <c r="BJ6" s="88">
        <f t="shared" si="0"/>
        <v>6.47349</v>
      </c>
      <c r="BK6" s="88">
        <f t="shared" si="0"/>
        <v>6.4946999999999999</v>
      </c>
      <c r="BL6" s="88">
        <f t="shared" si="0"/>
        <v>6.51586</v>
      </c>
    </row>
    <row r="7" spans="1:64" x14ac:dyDescent="0.2">
      <c r="A7" s="72" t="s">
        <v>77</v>
      </c>
      <c r="B7" s="82"/>
      <c r="C7" s="82">
        <f t="shared" ref="C7:BL7" si="1">C$6/B$6-1</f>
        <v>9.3747834336608271E-3</v>
      </c>
      <c r="D7" s="82">
        <f t="shared" si="1"/>
        <v>8.4969672290275966E-3</v>
      </c>
      <c r="E7" s="82">
        <f t="shared" si="1"/>
        <v>1.0056928223487249E-2</v>
      </c>
      <c r="F7" s="82">
        <f t="shared" si="1"/>
        <v>1.1174664562507708E-2</v>
      </c>
      <c r="G7" s="82">
        <f t="shared" si="1"/>
        <v>7.6539935228365774E-3</v>
      </c>
      <c r="H7" s="82">
        <f t="shared" si="1"/>
        <v>5.4767710545464698E-3</v>
      </c>
      <c r="I7" s="82">
        <f t="shared" si="1"/>
        <v>7.7405069895961631E-3</v>
      </c>
      <c r="J7" s="82">
        <f t="shared" si="1"/>
        <v>1.5215776322009766E-2</v>
      </c>
      <c r="K7" s="82">
        <f t="shared" si="1"/>
        <v>1.9083351627273704E-2</v>
      </c>
      <c r="L7" s="82">
        <f t="shared" si="1"/>
        <v>2.1160855137899004E-2</v>
      </c>
      <c r="M7" s="82">
        <f t="shared" si="1"/>
        <v>1.9094395908800355E-2</v>
      </c>
      <c r="N7" s="82">
        <f t="shared" si="1"/>
        <v>1.7145449869422791E-2</v>
      </c>
      <c r="O7" s="82">
        <f t="shared" si="1"/>
        <v>1.5230409015316804E-2</v>
      </c>
      <c r="P7" s="82">
        <f t="shared" si="1"/>
        <v>1.3278798064267905E-2</v>
      </c>
      <c r="Q7" s="82">
        <f t="shared" si="1"/>
        <v>1.1446202051044407E-2</v>
      </c>
      <c r="R7" s="82">
        <f t="shared" si="1"/>
        <v>9.5326342076356152E-3</v>
      </c>
      <c r="S7" s="82">
        <f t="shared" si="1"/>
        <v>9.4152228752144573E-3</v>
      </c>
      <c r="T7" s="82">
        <f t="shared" si="1"/>
        <v>9.2343425256691258E-3</v>
      </c>
      <c r="U7" s="82">
        <f t="shared" si="1"/>
        <v>9.0710875892077159E-3</v>
      </c>
      <c r="V7" s="82">
        <f t="shared" si="1"/>
        <v>8.8657984263540435E-3</v>
      </c>
      <c r="W7" s="82">
        <f t="shared" si="1"/>
        <v>8.6142802688637943E-3</v>
      </c>
      <c r="X7" s="82">
        <f t="shared" si="1"/>
        <v>8.3760680562545708E-3</v>
      </c>
      <c r="Y7" s="82">
        <f t="shared" si="1"/>
        <v>8.0857032595145206E-3</v>
      </c>
      <c r="Z7" s="82">
        <f t="shared" si="1"/>
        <v>7.7852665211453065E-3</v>
      </c>
      <c r="AA7" s="82">
        <f t="shared" si="1"/>
        <v>7.516929527872529E-3</v>
      </c>
      <c r="AB7" s="82">
        <f t="shared" si="1"/>
        <v>7.188950116009396E-3</v>
      </c>
      <c r="AC7" s="82">
        <f t="shared" si="1"/>
        <v>6.9252725656263614E-3</v>
      </c>
      <c r="AD7" s="82">
        <f t="shared" si="1"/>
        <v>6.6595888427758432E-3</v>
      </c>
      <c r="AE7" s="82">
        <f t="shared" si="1"/>
        <v>6.3705124107809041E-3</v>
      </c>
      <c r="AF7" s="82">
        <f t="shared" si="1"/>
        <v>6.1484665001201311E-3</v>
      </c>
      <c r="AG7" s="82">
        <f t="shared" si="1"/>
        <v>5.9548337433563692E-3</v>
      </c>
      <c r="AH7" s="82">
        <f t="shared" si="1"/>
        <v>5.7348145075120094E-3</v>
      </c>
      <c r="AI7" s="82">
        <f t="shared" si="1"/>
        <v>5.5530617232169011E-3</v>
      </c>
      <c r="AJ7" s="82">
        <f t="shared" si="1"/>
        <v>5.4155326853768671E-3</v>
      </c>
      <c r="AK7" s="82">
        <f t="shared" si="1"/>
        <v>5.2372176745383303E-3</v>
      </c>
      <c r="AL7" s="82">
        <f t="shared" si="1"/>
        <v>5.1127255363414559E-3</v>
      </c>
      <c r="AM7" s="82">
        <f t="shared" si="1"/>
        <v>4.9781294856612313E-3</v>
      </c>
      <c r="AN7" s="82">
        <f t="shared" si="1"/>
        <v>4.8538608030903596E-3</v>
      </c>
      <c r="AO7" s="82">
        <f t="shared" si="1"/>
        <v>4.707764114471491E-3</v>
      </c>
      <c r="AP7" s="82">
        <f t="shared" si="1"/>
        <v>4.5954022565632968E-3</v>
      </c>
      <c r="AQ7" s="82">
        <f t="shared" si="1"/>
        <v>4.4511991104261295E-3</v>
      </c>
      <c r="AR7" s="82">
        <f t="shared" si="1"/>
        <v>4.3602121936787697E-3</v>
      </c>
      <c r="AS7" s="82">
        <f t="shared" si="1"/>
        <v>4.2785813524477412E-3</v>
      </c>
      <c r="AT7" s="82">
        <f t="shared" si="1"/>
        <v>4.1535567294026521E-3</v>
      </c>
      <c r="AU7" s="82">
        <f t="shared" si="1"/>
        <v>4.0349301250239833E-3</v>
      </c>
      <c r="AV7" s="82">
        <f t="shared" si="1"/>
        <v>3.9747143632391513E-3</v>
      </c>
      <c r="AW7" s="82">
        <f t="shared" si="1"/>
        <v>3.8713258925962002E-3</v>
      </c>
      <c r="AX7" s="82">
        <f t="shared" si="1"/>
        <v>3.8095053302353854E-3</v>
      </c>
      <c r="AY7" s="82">
        <f t="shared" si="1"/>
        <v>3.7418916285041348E-3</v>
      </c>
      <c r="AZ7" s="82">
        <f t="shared" si="1"/>
        <v>3.6942413485425707E-3</v>
      </c>
      <c r="BA7" s="82">
        <f t="shared" si="1"/>
        <v>3.6358752482275047E-3</v>
      </c>
      <c r="BB7" s="82">
        <f t="shared" si="1"/>
        <v>3.5733175298069408E-3</v>
      </c>
      <c r="BC7" s="82">
        <f t="shared" si="1"/>
        <v>3.5478949950076277E-3</v>
      </c>
      <c r="BD7" s="82">
        <f t="shared" si="1"/>
        <v>3.5005520527187084E-3</v>
      </c>
      <c r="BE7" s="82">
        <f t="shared" si="1"/>
        <v>3.4725779832565085E-3</v>
      </c>
      <c r="BF7" s="82">
        <f t="shared" si="1"/>
        <v>3.4150065504034988E-3</v>
      </c>
      <c r="BG7" s="82">
        <f t="shared" si="1"/>
        <v>3.3971219958170984E-3</v>
      </c>
      <c r="BH7" s="82">
        <f t="shared" si="1"/>
        <v>3.3185322944522255E-3</v>
      </c>
      <c r="BI7" s="82">
        <f t="shared" si="1"/>
        <v>3.3510969983190364E-3</v>
      </c>
      <c r="BJ7" s="82">
        <f t="shared" si="1"/>
        <v>3.2872101024754574E-3</v>
      </c>
      <c r="BK7" s="82">
        <f t="shared" si="1"/>
        <v>3.2764397566074077E-3</v>
      </c>
      <c r="BL7" s="82">
        <f t="shared" si="1"/>
        <v>3.2580411720326552E-3</v>
      </c>
    </row>
    <row r="8" spans="1:64" x14ac:dyDescent="0.2">
      <c r="A8" s="76" t="s">
        <v>2</v>
      </c>
    </row>
    <row r="9" spans="1:64" x14ac:dyDescent="0.2">
      <c r="A9" s="76" t="s">
        <v>1274</v>
      </c>
    </row>
    <row r="10" spans="1:64" x14ac:dyDescent="0.2">
      <c r="A10" s="29">
        <v>0</v>
      </c>
      <c r="B10" s="85">
        <v>28910</v>
      </c>
      <c r="C10" s="85">
        <v>30230</v>
      </c>
      <c r="D10" s="85">
        <v>31360</v>
      </c>
      <c r="E10" s="85">
        <v>30830</v>
      </c>
      <c r="F10" s="85">
        <v>31510</v>
      </c>
      <c r="G10" s="85">
        <v>30670</v>
      </c>
      <c r="H10" s="85">
        <v>29880</v>
      </c>
      <c r="I10" s="85">
        <v>29370</v>
      </c>
      <c r="J10" s="85">
        <v>28560</v>
      </c>
      <c r="K10" s="85">
        <v>28670</v>
      </c>
      <c r="L10" s="85">
        <v>28980</v>
      </c>
      <c r="M10" s="85">
        <v>29690</v>
      </c>
      <c r="N10" s="85">
        <v>30460</v>
      </c>
      <c r="O10" s="85">
        <v>31120</v>
      </c>
      <c r="P10" s="85">
        <v>31650</v>
      </c>
      <c r="Q10" s="85">
        <v>32040</v>
      </c>
      <c r="R10" s="85">
        <v>32270</v>
      </c>
      <c r="S10" s="85">
        <v>32410</v>
      </c>
      <c r="T10" s="85">
        <v>32480</v>
      </c>
      <c r="U10" s="85">
        <v>32480</v>
      </c>
      <c r="V10" s="85">
        <v>32420</v>
      </c>
      <c r="W10" s="85">
        <v>32300</v>
      </c>
      <c r="X10" s="85">
        <v>32140</v>
      </c>
      <c r="Y10" s="85">
        <v>31950</v>
      </c>
      <c r="Z10" s="85">
        <v>31730</v>
      </c>
      <c r="AA10" s="85">
        <v>31490</v>
      </c>
      <c r="AB10" s="85">
        <v>31260</v>
      </c>
      <c r="AC10" s="85">
        <v>31050</v>
      </c>
      <c r="AD10" s="85">
        <v>30860</v>
      </c>
      <c r="AE10" s="85">
        <v>30720</v>
      </c>
      <c r="AF10" s="85">
        <v>30630</v>
      </c>
      <c r="AG10" s="85">
        <v>30590</v>
      </c>
      <c r="AH10" s="85">
        <v>30590</v>
      </c>
      <c r="AI10" s="85">
        <v>30640</v>
      </c>
      <c r="AJ10" s="85">
        <v>30710</v>
      </c>
      <c r="AK10" s="85">
        <v>30800</v>
      </c>
      <c r="AL10" s="85">
        <v>30890</v>
      </c>
      <c r="AM10" s="85">
        <v>30990</v>
      </c>
      <c r="AN10" s="85">
        <v>31090</v>
      </c>
      <c r="AO10" s="85">
        <v>31180</v>
      </c>
      <c r="AP10" s="85">
        <v>31260</v>
      </c>
      <c r="AQ10" s="85">
        <v>31340</v>
      </c>
      <c r="AR10" s="85">
        <v>31420</v>
      </c>
      <c r="AS10" s="85">
        <v>31500</v>
      </c>
      <c r="AT10" s="85">
        <v>31570</v>
      </c>
      <c r="AU10" s="85">
        <v>31650</v>
      </c>
      <c r="AV10" s="85">
        <v>31720</v>
      </c>
      <c r="AW10" s="85">
        <v>31790</v>
      </c>
      <c r="AX10" s="85">
        <v>31850</v>
      </c>
      <c r="AY10" s="85">
        <v>31900</v>
      </c>
      <c r="AZ10" s="85">
        <v>31930</v>
      </c>
      <c r="BA10" s="85">
        <v>31950</v>
      </c>
      <c r="BB10" s="85">
        <v>31950</v>
      </c>
      <c r="BC10" s="85">
        <v>31930</v>
      </c>
      <c r="BD10" s="85">
        <v>31890</v>
      </c>
      <c r="BE10" s="85">
        <v>31840</v>
      </c>
      <c r="BF10" s="85">
        <v>31780</v>
      </c>
      <c r="BG10" s="85">
        <v>31710</v>
      </c>
      <c r="BH10" s="85">
        <v>31640</v>
      </c>
      <c r="BI10" s="85">
        <v>31570</v>
      </c>
      <c r="BJ10" s="85">
        <v>31510</v>
      </c>
      <c r="BK10" s="85">
        <v>31460</v>
      </c>
      <c r="BL10" s="85">
        <v>31420</v>
      </c>
    </row>
    <row r="11" spans="1:64" x14ac:dyDescent="0.2">
      <c r="A11" s="29">
        <v>1</v>
      </c>
      <c r="B11" s="85">
        <v>27990</v>
      </c>
      <c r="C11" s="85">
        <v>28850</v>
      </c>
      <c r="D11" s="85">
        <v>30110</v>
      </c>
      <c r="E11" s="85">
        <v>31260</v>
      </c>
      <c r="F11" s="85">
        <v>30820</v>
      </c>
      <c r="G11" s="85">
        <v>31460</v>
      </c>
      <c r="H11" s="85">
        <v>30640</v>
      </c>
      <c r="I11" s="85">
        <v>29950</v>
      </c>
      <c r="J11" s="85">
        <v>29530</v>
      </c>
      <c r="K11" s="85">
        <v>28880</v>
      </c>
      <c r="L11" s="85">
        <v>29040</v>
      </c>
      <c r="M11" s="85">
        <v>29250</v>
      </c>
      <c r="N11" s="85">
        <v>29910</v>
      </c>
      <c r="O11" s="85">
        <v>30630</v>
      </c>
      <c r="P11" s="85">
        <v>31240</v>
      </c>
      <c r="Q11" s="85">
        <v>31730</v>
      </c>
      <c r="R11" s="85">
        <v>32070</v>
      </c>
      <c r="S11" s="85">
        <v>32300</v>
      </c>
      <c r="T11" s="85">
        <v>32430</v>
      </c>
      <c r="U11" s="85">
        <v>32500</v>
      </c>
      <c r="V11" s="85">
        <v>32500</v>
      </c>
      <c r="W11" s="85">
        <v>32440</v>
      </c>
      <c r="X11" s="85">
        <v>32330</v>
      </c>
      <c r="Y11" s="85">
        <v>32170</v>
      </c>
      <c r="Z11" s="85">
        <v>31980</v>
      </c>
      <c r="AA11" s="85">
        <v>31760</v>
      </c>
      <c r="AB11" s="85">
        <v>31520</v>
      </c>
      <c r="AC11" s="85">
        <v>31290</v>
      </c>
      <c r="AD11" s="85">
        <v>31080</v>
      </c>
      <c r="AE11" s="85">
        <v>30890</v>
      </c>
      <c r="AF11" s="85">
        <v>30750</v>
      </c>
      <c r="AG11" s="85">
        <v>30660</v>
      </c>
      <c r="AH11" s="85">
        <v>30620</v>
      </c>
      <c r="AI11" s="85">
        <v>30630</v>
      </c>
      <c r="AJ11" s="85">
        <v>30670</v>
      </c>
      <c r="AK11" s="85">
        <v>30740</v>
      </c>
      <c r="AL11" s="85">
        <v>30830</v>
      </c>
      <c r="AM11" s="85">
        <v>30930</v>
      </c>
      <c r="AN11" s="85">
        <v>31020</v>
      </c>
      <c r="AO11" s="85">
        <v>31120</v>
      </c>
      <c r="AP11" s="85">
        <v>31210</v>
      </c>
      <c r="AQ11" s="85">
        <v>31300</v>
      </c>
      <c r="AR11" s="85">
        <v>31380</v>
      </c>
      <c r="AS11" s="85">
        <v>31460</v>
      </c>
      <c r="AT11" s="85">
        <v>31530</v>
      </c>
      <c r="AU11" s="85">
        <v>31610</v>
      </c>
      <c r="AV11" s="85">
        <v>31680</v>
      </c>
      <c r="AW11" s="85">
        <v>31760</v>
      </c>
      <c r="AX11" s="85">
        <v>31820</v>
      </c>
      <c r="AY11" s="85">
        <v>31880</v>
      </c>
      <c r="AZ11" s="85">
        <v>31930</v>
      </c>
      <c r="BA11" s="85">
        <v>31970</v>
      </c>
      <c r="BB11" s="85">
        <v>31990</v>
      </c>
      <c r="BC11" s="85">
        <v>31990</v>
      </c>
      <c r="BD11" s="85">
        <v>31970</v>
      </c>
      <c r="BE11" s="85">
        <v>31930</v>
      </c>
      <c r="BF11" s="85">
        <v>31880</v>
      </c>
      <c r="BG11" s="85">
        <v>31820</v>
      </c>
      <c r="BH11" s="85">
        <v>31750</v>
      </c>
      <c r="BI11" s="85">
        <v>31680</v>
      </c>
      <c r="BJ11" s="85">
        <v>31610</v>
      </c>
      <c r="BK11" s="85">
        <v>31550</v>
      </c>
      <c r="BL11" s="85">
        <v>31500</v>
      </c>
    </row>
    <row r="12" spans="1:64" x14ac:dyDescent="0.2">
      <c r="A12" s="29">
        <v>2</v>
      </c>
      <c r="B12" s="85">
        <v>28180</v>
      </c>
      <c r="C12" s="85">
        <v>28100</v>
      </c>
      <c r="D12" s="85">
        <v>28870</v>
      </c>
      <c r="E12" s="85">
        <v>30220</v>
      </c>
      <c r="F12" s="85">
        <v>31340</v>
      </c>
      <c r="G12" s="85">
        <v>30770</v>
      </c>
      <c r="H12" s="85">
        <v>31310</v>
      </c>
      <c r="I12" s="85">
        <v>30580</v>
      </c>
      <c r="J12" s="85">
        <v>30150</v>
      </c>
      <c r="K12" s="85">
        <v>29820</v>
      </c>
      <c r="L12" s="85">
        <v>29210</v>
      </c>
      <c r="M12" s="85">
        <v>29340</v>
      </c>
      <c r="N12" s="85">
        <v>29510</v>
      </c>
      <c r="O12" s="85">
        <v>30110</v>
      </c>
      <c r="P12" s="85">
        <v>30770</v>
      </c>
      <c r="Q12" s="85">
        <v>31330</v>
      </c>
      <c r="R12" s="85">
        <v>31770</v>
      </c>
      <c r="S12" s="85">
        <v>32110</v>
      </c>
      <c r="T12" s="85">
        <v>32340</v>
      </c>
      <c r="U12" s="85">
        <v>32480</v>
      </c>
      <c r="V12" s="85">
        <v>32540</v>
      </c>
      <c r="W12" s="85">
        <v>32540</v>
      </c>
      <c r="X12" s="85">
        <v>32480</v>
      </c>
      <c r="Y12" s="85">
        <v>32370</v>
      </c>
      <c r="Z12" s="85">
        <v>32210</v>
      </c>
      <c r="AA12" s="85">
        <v>32020</v>
      </c>
      <c r="AB12" s="85">
        <v>31800</v>
      </c>
      <c r="AC12" s="85">
        <v>31560</v>
      </c>
      <c r="AD12" s="85">
        <v>31330</v>
      </c>
      <c r="AE12" s="85">
        <v>31120</v>
      </c>
      <c r="AF12" s="85">
        <v>30940</v>
      </c>
      <c r="AG12" s="85">
        <v>30800</v>
      </c>
      <c r="AH12" s="85">
        <v>30710</v>
      </c>
      <c r="AI12" s="85">
        <v>30670</v>
      </c>
      <c r="AJ12" s="85">
        <v>30670</v>
      </c>
      <c r="AK12" s="85">
        <v>30720</v>
      </c>
      <c r="AL12" s="85">
        <v>30790</v>
      </c>
      <c r="AM12" s="85">
        <v>30870</v>
      </c>
      <c r="AN12" s="85">
        <v>30970</v>
      </c>
      <c r="AO12" s="85">
        <v>31070</v>
      </c>
      <c r="AP12" s="85">
        <v>31160</v>
      </c>
      <c r="AQ12" s="85">
        <v>31260</v>
      </c>
      <c r="AR12" s="85">
        <v>31340</v>
      </c>
      <c r="AS12" s="85">
        <v>31420</v>
      </c>
      <c r="AT12" s="85">
        <v>31500</v>
      </c>
      <c r="AU12" s="85">
        <v>31580</v>
      </c>
      <c r="AV12" s="85">
        <v>31650</v>
      </c>
      <c r="AW12" s="85">
        <v>31730</v>
      </c>
      <c r="AX12" s="85">
        <v>31800</v>
      </c>
      <c r="AY12" s="85">
        <v>31870</v>
      </c>
      <c r="AZ12" s="85">
        <v>31930</v>
      </c>
      <c r="BA12" s="85">
        <v>31980</v>
      </c>
      <c r="BB12" s="85">
        <v>32010</v>
      </c>
      <c r="BC12" s="85">
        <v>32030</v>
      </c>
      <c r="BD12" s="85">
        <v>32030</v>
      </c>
      <c r="BE12" s="85">
        <v>32010</v>
      </c>
      <c r="BF12" s="85">
        <v>31980</v>
      </c>
      <c r="BG12" s="85">
        <v>31920</v>
      </c>
      <c r="BH12" s="85">
        <v>31860</v>
      </c>
      <c r="BI12" s="85">
        <v>31800</v>
      </c>
      <c r="BJ12" s="85">
        <v>31730</v>
      </c>
      <c r="BK12" s="85">
        <v>31660</v>
      </c>
      <c r="BL12" s="85">
        <v>31600</v>
      </c>
    </row>
    <row r="13" spans="1:64" x14ac:dyDescent="0.2">
      <c r="A13" s="29">
        <v>3</v>
      </c>
      <c r="B13" s="85">
        <v>27310</v>
      </c>
      <c r="C13" s="85">
        <v>28260</v>
      </c>
      <c r="D13" s="85">
        <v>28090</v>
      </c>
      <c r="E13" s="85">
        <v>28910</v>
      </c>
      <c r="F13" s="85">
        <v>30280</v>
      </c>
      <c r="G13" s="85">
        <v>31290</v>
      </c>
      <c r="H13" s="85">
        <v>30670</v>
      </c>
      <c r="I13" s="85">
        <v>31320</v>
      </c>
      <c r="J13" s="85">
        <v>30750</v>
      </c>
      <c r="K13" s="85">
        <v>30430</v>
      </c>
      <c r="L13" s="85">
        <v>30280</v>
      </c>
      <c r="M13" s="85">
        <v>29530</v>
      </c>
      <c r="N13" s="85">
        <v>29610</v>
      </c>
      <c r="O13" s="85">
        <v>29720</v>
      </c>
      <c r="P13" s="85">
        <v>30270</v>
      </c>
      <c r="Q13" s="85">
        <v>30890</v>
      </c>
      <c r="R13" s="85">
        <v>31400</v>
      </c>
      <c r="S13" s="85">
        <v>31830</v>
      </c>
      <c r="T13" s="85">
        <v>32170</v>
      </c>
      <c r="U13" s="85">
        <v>32400</v>
      </c>
      <c r="V13" s="85">
        <v>32540</v>
      </c>
      <c r="W13" s="85">
        <v>32610</v>
      </c>
      <c r="X13" s="85">
        <v>32610</v>
      </c>
      <c r="Y13" s="85">
        <v>32550</v>
      </c>
      <c r="Z13" s="85">
        <v>32440</v>
      </c>
      <c r="AA13" s="85">
        <v>32280</v>
      </c>
      <c r="AB13" s="85">
        <v>32080</v>
      </c>
      <c r="AC13" s="85">
        <v>31860</v>
      </c>
      <c r="AD13" s="85">
        <v>31630</v>
      </c>
      <c r="AE13" s="85">
        <v>31400</v>
      </c>
      <c r="AF13" s="85">
        <v>31190</v>
      </c>
      <c r="AG13" s="85">
        <v>31010</v>
      </c>
      <c r="AH13" s="85">
        <v>30870</v>
      </c>
      <c r="AI13" s="85">
        <v>30770</v>
      </c>
      <c r="AJ13" s="85">
        <v>30730</v>
      </c>
      <c r="AK13" s="85">
        <v>30740</v>
      </c>
      <c r="AL13" s="85">
        <v>30780</v>
      </c>
      <c r="AM13" s="85">
        <v>30860</v>
      </c>
      <c r="AN13" s="85">
        <v>30940</v>
      </c>
      <c r="AO13" s="85">
        <v>31040</v>
      </c>
      <c r="AP13" s="85">
        <v>31140</v>
      </c>
      <c r="AQ13" s="85">
        <v>31230</v>
      </c>
      <c r="AR13" s="85">
        <v>31320</v>
      </c>
      <c r="AS13" s="85">
        <v>31410</v>
      </c>
      <c r="AT13" s="85">
        <v>31490</v>
      </c>
      <c r="AU13" s="85">
        <v>31570</v>
      </c>
      <c r="AV13" s="85">
        <v>31650</v>
      </c>
      <c r="AW13" s="85">
        <v>31720</v>
      </c>
      <c r="AX13" s="85">
        <v>31800</v>
      </c>
      <c r="AY13" s="85">
        <v>31870</v>
      </c>
      <c r="AZ13" s="85">
        <v>31940</v>
      </c>
      <c r="BA13" s="85">
        <v>32000</v>
      </c>
      <c r="BB13" s="85">
        <v>32050</v>
      </c>
      <c r="BC13" s="85">
        <v>32080</v>
      </c>
      <c r="BD13" s="85">
        <v>32100</v>
      </c>
      <c r="BE13" s="85">
        <v>32100</v>
      </c>
      <c r="BF13" s="85">
        <v>32080</v>
      </c>
      <c r="BG13" s="85">
        <v>32050</v>
      </c>
      <c r="BH13" s="85">
        <v>31990</v>
      </c>
      <c r="BI13" s="85">
        <v>31930</v>
      </c>
      <c r="BJ13" s="85">
        <v>31860</v>
      </c>
      <c r="BK13" s="85">
        <v>31800</v>
      </c>
      <c r="BL13" s="85">
        <v>31730</v>
      </c>
    </row>
    <row r="14" spans="1:64" x14ac:dyDescent="0.2">
      <c r="A14" s="29">
        <v>4</v>
      </c>
      <c r="B14" s="85">
        <v>27400</v>
      </c>
      <c r="C14" s="85">
        <v>27460</v>
      </c>
      <c r="D14" s="85">
        <v>28310</v>
      </c>
      <c r="E14" s="85">
        <v>28190</v>
      </c>
      <c r="F14" s="85">
        <v>29030</v>
      </c>
      <c r="G14" s="85">
        <v>30250</v>
      </c>
      <c r="H14" s="85">
        <v>31140</v>
      </c>
      <c r="I14" s="85">
        <v>30550</v>
      </c>
      <c r="J14" s="85">
        <v>31460</v>
      </c>
      <c r="K14" s="85">
        <v>31070</v>
      </c>
      <c r="L14" s="85">
        <v>30820</v>
      </c>
      <c r="M14" s="85">
        <v>30580</v>
      </c>
      <c r="N14" s="85">
        <v>29780</v>
      </c>
      <c r="O14" s="85">
        <v>29820</v>
      </c>
      <c r="P14" s="85">
        <v>29880</v>
      </c>
      <c r="Q14" s="85">
        <v>30390</v>
      </c>
      <c r="R14" s="85">
        <v>30960</v>
      </c>
      <c r="S14" s="85">
        <v>31470</v>
      </c>
      <c r="T14" s="85">
        <v>31900</v>
      </c>
      <c r="U14" s="85">
        <v>32240</v>
      </c>
      <c r="V14" s="85">
        <v>32480</v>
      </c>
      <c r="W14" s="85">
        <v>32610</v>
      </c>
      <c r="X14" s="85">
        <v>32680</v>
      </c>
      <c r="Y14" s="85">
        <v>32680</v>
      </c>
      <c r="Z14" s="85">
        <v>32620</v>
      </c>
      <c r="AA14" s="85">
        <v>32510</v>
      </c>
      <c r="AB14" s="85">
        <v>32350</v>
      </c>
      <c r="AC14" s="85">
        <v>32160</v>
      </c>
      <c r="AD14" s="85">
        <v>31940</v>
      </c>
      <c r="AE14" s="85">
        <v>31700</v>
      </c>
      <c r="AF14" s="85">
        <v>31470</v>
      </c>
      <c r="AG14" s="85">
        <v>31260</v>
      </c>
      <c r="AH14" s="85">
        <v>31080</v>
      </c>
      <c r="AI14" s="85">
        <v>30940</v>
      </c>
      <c r="AJ14" s="85">
        <v>30850</v>
      </c>
      <c r="AK14" s="85">
        <v>30810</v>
      </c>
      <c r="AL14" s="85">
        <v>30810</v>
      </c>
      <c r="AM14" s="85">
        <v>30860</v>
      </c>
      <c r="AN14" s="85">
        <v>30930</v>
      </c>
      <c r="AO14" s="85">
        <v>31020</v>
      </c>
      <c r="AP14" s="85">
        <v>31110</v>
      </c>
      <c r="AQ14" s="85">
        <v>31210</v>
      </c>
      <c r="AR14" s="85">
        <v>31310</v>
      </c>
      <c r="AS14" s="85">
        <v>31400</v>
      </c>
      <c r="AT14" s="85">
        <v>31480</v>
      </c>
      <c r="AU14" s="85">
        <v>31560</v>
      </c>
      <c r="AV14" s="85">
        <v>31640</v>
      </c>
      <c r="AW14" s="85">
        <v>31720</v>
      </c>
      <c r="AX14" s="85">
        <v>31790</v>
      </c>
      <c r="AY14" s="85">
        <v>31870</v>
      </c>
      <c r="AZ14" s="85">
        <v>31940</v>
      </c>
      <c r="BA14" s="85">
        <v>32010</v>
      </c>
      <c r="BB14" s="85">
        <v>32070</v>
      </c>
      <c r="BC14" s="85">
        <v>32120</v>
      </c>
      <c r="BD14" s="85">
        <v>32160</v>
      </c>
      <c r="BE14" s="85">
        <v>32170</v>
      </c>
      <c r="BF14" s="85">
        <v>32170</v>
      </c>
      <c r="BG14" s="85">
        <v>32160</v>
      </c>
      <c r="BH14" s="85">
        <v>32120</v>
      </c>
      <c r="BI14" s="85">
        <v>32070</v>
      </c>
      <c r="BJ14" s="85">
        <v>32010</v>
      </c>
      <c r="BK14" s="85">
        <v>31940</v>
      </c>
      <c r="BL14" s="85">
        <v>31870</v>
      </c>
    </row>
    <row r="15" spans="1:64" x14ac:dyDescent="0.2">
      <c r="A15" s="29">
        <v>5</v>
      </c>
      <c r="B15" s="85">
        <v>28370</v>
      </c>
      <c r="C15" s="85">
        <v>27650</v>
      </c>
      <c r="D15" s="85">
        <v>27610</v>
      </c>
      <c r="E15" s="85">
        <v>28410</v>
      </c>
      <c r="F15" s="85">
        <v>28320</v>
      </c>
      <c r="G15" s="85">
        <v>29050</v>
      </c>
      <c r="H15" s="85">
        <v>30120</v>
      </c>
      <c r="I15" s="85">
        <v>31090</v>
      </c>
      <c r="J15" s="85">
        <v>30740</v>
      </c>
      <c r="K15" s="85">
        <v>31730</v>
      </c>
      <c r="L15" s="85">
        <v>31410</v>
      </c>
      <c r="M15" s="85">
        <v>31100</v>
      </c>
      <c r="N15" s="85">
        <v>30810</v>
      </c>
      <c r="O15" s="85">
        <v>29980</v>
      </c>
      <c r="P15" s="85">
        <v>29970</v>
      </c>
      <c r="Q15" s="85">
        <v>30000</v>
      </c>
      <c r="R15" s="85">
        <v>30460</v>
      </c>
      <c r="S15" s="85">
        <v>31030</v>
      </c>
      <c r="T15" s="85">
        <v>31540</v>
      </c>
      <c r="U15" s="85">
        <v>31970</v>
      </c>
      <c r="V15" s="85">
        <v>32310</v>
      </c>
      <c r="W15" s="85">
        <v>32540</v>
      </c>
      <c r="X15" s="85">
        <v>32680</v>
      </c>
      <c r="Y15" s="85">
        <v>32750</v>
      </c>
      <c r="Z15" s="85">
        <v>32750</v>
      </c>
      <c r="AA15" s="85">
        <v>32690</v>
      </c>
      <c r="AB15" s="85">
        <v>32580</v>
      </c>
      <c r="AC15" s="85">
        <v>32420</v>
      </c>
      <c r="AD15" s="85">
        <v>32230</v>
      </c>
      <c r="AE15" s="85">
        <v>32010</v>
      </c>
      <c r="AF15" s="85">
        <v>31770</v>
      </c>
      <c r="AG15" s="85">
        <v>31540</v>
      </c>
      <c r="AH15" s="85">
        <v>31330</v>
      </c>
      <c r="AI15" s="85">
        <v>31150</v>
      </c>
      <c r="AJ15" s="85">
        <v>31010</v>
      </c>
      <c r="AK15" s="85">
        <v>30920</v>
      </c>
      <c r="AL15" s="85">
        <v>30880</v>
      </c>
      <c r="AM15" s="85">
        <v>30880</v>
      </c>
      <c r="AN15" s="85">
        <v>30930</v>
      </c>
      <c r="AO15" s="85">
        <v>31000</v>
      </c>
      <c r="AP15" s="85">
        <v>31090</v>
      </c>
      <c r="AQ15" s="85">
        <v>31180</v>
      </c>
      <c r="AR15" s="85">
        <v>31280</v>
      </c>
      <c r="AS15" s="85">
        <v>31380</v>
      </c>
      <c r="AT15" s="85">
        <v>31470</v>
      </c>
      <c r="AU15" s="85">
        <v>31550</v>
      </c>
      <c r="AV15" s="85">
        <v>31630</v>
      </c>
      <c r="AW15" s="85">
        <v>31710</v>
      </c>
      <c r="AX15" s="85">
        <v>31790</v>
      </c>
      <c r="AY15" s="85">
        <v>31870</v>
      </c>
      <c r="AZ15" s="85">
        <v>31940</v>
      </c>
      <c r="BA15" s="85">
        <v>32010</v>
      </c>
      <c r="BB15" s="85">
        <v>32080</v>
      </c>
      <c r="BC15" s="85">
        <v>32140</v>
      </c>
      <c r="BD15" s="85">
        <v>32190</v>
      </c>
      <c r="BE15" s="85">
        <v>32230</v>
      </c>
      <c r="BF15" s="85">
        <v>32250</v>
      </c>
      <c r="BG15" s="85">
        <v>32250</v>
      </c>
      <c r="BH15" s="85">
        <v>32230</v>
      </c>
      <c r="BI15" s="85">
        <v>32190</v>
      </c>
      <c r="BJ15" s="85">
        <v>32140</v>
      </c>
      <c r="BK15" s="85">
        <v>32080</v>
      </c>
      <c r="BL15" s="85">
        <v>32010</v>
      </c>
    </row>
    <row r="16" spans="1:64" x14ac:dyDescent="0.2">
      <c r="A16" s="29">
        <v>6</v>
      </c>
      <c r="B16" s="85">
        <v>28910</v>
      </c>
      <c r="C16" s="85">
        <v>28620</v>
      </c>
      <c r="D16" s="85">
        <v>27860</v>
      </c>
      <c r="E16" s="85">
        <v>27770</v>
      </c>
      <c r="F16" s="85">
        <v>28550</v>
      </c>
      <c r="G16" s="85">
        <v>28290</v>
      </c>
      <c r="H16" s="85">
        <v>28900</v>
      </c>
      <c r="I16" s="85">
        <v>30050</v>
      </c>
      <c r="J16" s="85">
        <v>31230</v>
      </c>
      <c r="K16" s="85">
        <v>30920</v>
      </c>
      <c r="L16" s="85">
        <v>31980</v>
      </c>
      <c r="M16" s="85">
        <v>31660</v>
      </c>
      <c r="N16" s="85">
        <v>31310</v>
      </c>
      <c r="O16" s="85">
        <v>30980</v>
      </c>
      <c r="P16" s="85">
        <v>30110</v>
      </c>
      <c r="Q16" s="85">
        <v>30070</v>
      </c>
      <c r="R16" s="85">
        <v>30060</v>
      </c>
      <c r="S16" s="85">
        <v>30520</v>
      </c>
      <c r="T16" s="85">
        <v>31090</v>
      </c>
      <c r="U16" s="85">
        <v>31600</v>
      </c>
      <c r="V16" s="85">
        <v>32030</v>
      </c>
      <c r="W16" s="85">
        <v>32380</v>
      </c>
      <c r="X16" s="85">
        <v>32610</v>
      </c>
      <c r="Y16" s="85">
        <v>32740</v>
      </c>
      <c r="Z16" s="85">
        <v>32810</v>
      </c>
      <c r="AA16" s="85">
        <v>32810</v>
      </c>
      <c r="AB16" s="85">
        <v>32750</v>
      </c>
      <c r="AC16" s="85">
        <v>32640</v>
      </c>
      <c r="AD16" s="85">
        <v>32480</v>
      </c>
      <c r="AE16" s="85">
        <v>32290</v>
      </c>
      <c r="AF16" s="85">
        <v>32070</v>
      </c>
      <c r="AG16" s="85">
        <v>31840</v>
      </c>
      <c r="AH16" s="85">
        <v>31610</v>
      </c>
      <c r="AI16" s="85">
        <v>31390</v>
      </c>
      <c r="AJ16" s="85">
        <v>31210</v>
      </c>
      <c r="AK16" s="85">
        <v>31070</v>
      </c>
      <c r="AL16" s="85">
        <v>30980</v>
      </c>
      <c r="AM16" s="85">
        <v>30940</v>
      </c>
      <c r="AN16" s="85">
        <v>30940</v>
      </c>
      <c r="AO16" s="85">
        <v>30990</v>
      </c>
      <c r="AP16" s="85">
        <v>31060</v>
      </c>
      <c r="AQ16" s="85">
        <v>31150</v>
      </c>
      <c r="AR16" s="85">
        <v>31240</v>
      </c>
      <c r="AS16" s="85">
        <v>31340</v>
      </c>
      <c r="AT16" s="85">
        <v>31440</v>
      </c>
      <c r="AU16" s="85">
        <v>31530</v>
      </c>
      <c r="AV16" s="85">
        <v>31620</v>
      </c>
      <c r="AW16" s="85">
        <v>31700</v>
      </c>
      <c r="AX16" s="85">
        <v>31770</v>
      </c>
      <c r="AY16" s="85">
        <v>31850</v>
      </c>
      <c r="AZ16" s="85">
        <v>31930</v>
      </c>
      <c r="BA16" s="85">
        <v>32000</v>
      </c>
      <c r="BB16" s="85">
        <v>32080</v>
      </c>
      <c r="BC16" s="85">
        <v>32140</v>
      </c>
      <c r="BD16" s="85">
        <v>32200</v>
      </c>
      <c r="BE16" s="85">
        <v>32250</v>
      </c>
      <c r="BF16" s="85">
        <v>32290</v>
      </c>
      <c r="BG16" s="85">
        <v>32310</v>
      </c>
      <c r="BH16" s="85">
        <v>32310</v>
      </c>
      <c r="BI16" s="85">
        <v>32290</v>
      </c>
      <c r="BJ16" s="85">
        <v>32250</v>
      </c>
      <c r="BK16" s="85">
        <v>32200</v>
      </c>
      <c r="BL16" s="85">
        <v>32140</v>
      </c>
    </row>
    <row r="17" spans="1:64" x14ac:dyDescent="0.2">
      <c r="A17" s="29">
        <v>7</v>
      </c>
      <c r="B17" s="85">
        <v>27980</v>
      </c>
      <c r="C17" s="85">
        <v>29160</v>
      </c>
      <c r="D17" s="85">
        <v>28760</v>
      </c>
      <c r="E17" s="85">
        <v>27990</v>
      </c>
      <c r="F17" s="85">
        <v>27850</v>
      </c>
      <c r="G17" s="85">
        <v>28600</v>
      </c>
      <c r="H17" s="85">
        <v>28200</v>
      </c>
      <c r="I17" s="85">
        <v>28790</v>
      </c>
      <c r="J17" s="85">
        <v>30110</v>
      </c>
      <c r="K17" s="85">
        <v>31380</v>
      </c>
      <c r="L17" s="85">
        <v>31190</v>
      </c>
      <c r="M17" s="85">
        <v>32210</v>
      </c>
      <c r="N17" s="85">
        <v>31850</v>
      </c>
      <c r="O17" s="85">
        <v>31460</v>
      </c>
      <c r="P17" s="85">
        <v>31110</v>
      </c>
      <c r="Q17" s="85">
        <v>30200</v>
      </c>
      <c r="R17" s="85">
        <v>30120</v>
      </c>
      <c r="S17" s="85">
        <v>30110</v>
      </c>
      <c r="T17" s="85">
        <v>30570</v>
      </c>
      <c r="U17" s="85">
        <v>31140</v>
      </c>
      <c r="V17" s="85">
        <v>31650</v>
      </c>
      <c r="W17" s="85">
        <v>32090</v>
      </c>
      <c r="X17" s="85">
        <v>32430</v>
      </c>
      <c r="Y17" s="85">
        <v>32660</v>
      </c>
      <c r="Z17" s="85">
        <v>32800</v>
      </c>
      <c r="AA17" s="85">
        <v>32870</v>
      </c>
      <c r="AB17" s="85">
        <v>32870</v>
      </c>
      <c r="AC17" s="85">
        <v>32810</v>
      </c>
      <c r="AD17" s="85">
        <v>32690</v>
      </c>
      <c r="AE17" s="85">
        <v>32540</v>
      </c>
      <c r="AF17" s="85">
        <v>32340</v>
      </c>
      <c r="AG17" s="85">
        <v>32120</v>
      </c>
      <c r="AH17" s="85">
        <v>31890</v>
      </c>
      <c r="AI17" s="85">
        <v>31660</v>
      </c>
      <c r="AJ17" s="85">
        <v>31450</v>
      </c>
      <c r="AK17" s="85">
        <v>31260</v>
      </c>
      <c r="AL17" s="85">
        <v>31120</v>
      </c>
      <c r="AM17" s="85">
        <v>31030</v>
      </c>
      <c r="AN17" s="85">
        <v>30990</v>
      </c>
      <c r="AO17" s="85">
        <v>31000</v>
      </c>
      <c r="AP17" s="85">
        <v>31040</v>
      </c>
      <c r="AQ17" s="85">
        <v>31110</v>
      </c>
      <c r="AR17" s="85">
        <v>31200</v>
      </c>
      <c r="AS17" s="85">
        <v>31300</v>
      </c>
      <c r="AT17" s="85">
        <v>31400</v>
      </c>
      <c r="AU17" s="85">
        <v>31490</v>
      </c>
      <c r="AV17" s="85">
        <v>31580</v>
      </c>
      <c r="AW17" s="85">
        <v>31670</v>
      </c>
      <c r="AX17" s="85">
        <v>31750</v>
      </c>
      <c r="AY17" s="85">
        <v>31830</v>
      </c>
      <c r="AZ17" s="85">
        <v>31910</v>
      </c>
      <c r="BA17" s="85">
        <v>31980</v>
      </c>
      <c r="BB17" s="85">
        <v>32060</v>
      </c>
      <c r="BC17" s="85">
        <v>32130</v>
      </c>
      <c r="BD17" s="85">
        <v>32200</v>
      </c>
      <c r="BE17" s="85">
        <v>32260</v>
      </c>
      <c r="BF17" s="85">
        <v>32310</v>
      </c>
      <c r="BG17" s="85">
        <v>32340</v>
      </c>
      <c r="BH17" s="85">
        <v>32360</v>
      </c>
      <c r="BI17" s="85">
        <v>32360</v>
      </c>
      <c r="BJ17" s="85">
        <v>32340</v>
      </c>
      <c r="BK17" s="85">
        <v>32310</v>
      </c>
      <c r="BL17" s="85">
        <v>32260</v>
      </c>
    </row>
    <row r="18" spans="1:64" x14ac:dyDescent="0.2">
      <c r="A18" s="29">
        <v>8</v>
      </c>
      <c r="B18" s="85">
        <v>28620</v>
      </c>
      <c r="C18" s="85">
        <v>28230</v>
      </c>
      <c r="D18" s="85">
        <v>29340</v>
      </c>
      <c r="E18" s="85">
        <v>28950</v>
      </c>
      <c r="F18" s="85">
        <v>28120</v>
      </c>
      <c r="G18" s="85">
        <v>27910</v>
      </c>
      <c r="H18" s="85">
        <v>28490</v>
      </c>
      <c r="I18" s="85">
        <v>28140</v>
      </c>
      <c r="J18" s="85">
        <v>28910</v>
      </c>
      <c r="K18" s="85">
        <v>30260</v>
      </c>
      <c r="L18" s="85">
        <v>31620</v>
      </c>
      <c r="M18" s="85">
        <v>31400</v>
      </c>
      <c r="N18" s="85">
        <v>32380</v>
      </c>
      <c r="O18" s="85">
        <v>32000</v>
      </c>
      <c r="P18" s="85">
        <v>31580</v>
      </c>
      <c r="Q18" s="85">
        <v>31190</v>
      </c>
      <c r="R18" s="85">
        <v>30250</v>
      </c>
      <c r="S18" s="85">
        <v>30180</v>
      </c>
      <c r="T18" s="85">
        <v>30160</v>
      </c>
      <c r="U18" s="85">
        <v>30630</v>
      </c>
      <c r="V18" s="85">
        <v>31200</v>
      </c>
      <c r="W18" s="85">
        <v>31710</v>
      </c>
      <c r="X18" s="85">
        <v>32140</v>
      </c>
      <c r="Y18" s="85">
        <v>32480</v>
      </c>
      <c r="Z18" s="85">
        <v>32710</v>
      </c>
      <c r="AA18" s="85">
        <v>32850</v>
      </c>
      <c r="AB18" s="85">
        <v>32920</v>
      </c>
      <c r="AC18" s="85">
        <v>32920</v>
      </c>
      <c r="AD18" s="85">
        <v>32860</v>
      </c>
      <c r="AE18" s="85">
        <v>32750</v>
      </c>
      <c r="AF18" s="85">
        <v>32590</v>
      </c>
      <c r="AG18" s="85">
        <v>32390</v>
      </c>
      <c r="AH18" s="85">
        <v>32170</v>
      </c>
      <c r="AI18" s="85">
        <v>31940</v>
      </c>
      <c r="AJ18" s="85">
        <v>31710</v>
      </c>
      <c r="AK18" s="85">
        <v>31500</v>
      </c>
      <c r="AL18" s="85">
        <v>31320</v>
      </c>
      <c r="AM18" s="85">
        <v>31180</v>
      </c>
      <c r="AN18" s="85">
        <v>31090</v>
      </c>
      <c r="AO18" s="85">
        <v>31050</v>
      </c>
      <c r="AP18" s="85">
        <v>31050</v>
      </c>
      <c r="AQ18" s="85">
        <v>31100</v>
      </c>
      <c r="AR18" s="85">
        <v>31170</v>
      </c>
      <c r="AS18" s="85">
        <v>31260</v>
      </c>
      <c r="AT18" s="85">
        <v>31350</v>
      </c>
      <c r="AU18" s="85">
        <v>31450</v>
      </c>
      <c r="AV18" s="85">
        <v>31550</v>
      </c>
      <c r="AW18" s="85">
        <v>31640</v>
      </c>
      <c r="AX18" s="85">
        <v>31720</v>
      </c>
      <c r="AY18" s="85">
        <v>31800</v>
      </c>
      <c r="AZ18" s="85">
        <v>31880</v>
      </c>
      <c r="BA18" s="85">
        <v>31960</v>
      </c>
      <c r="BB18" s="85">
        <v>32040</v>
      </c>
      <c r="BC18" s="85">
        <v>32110</v>
      </c>
      <c r="BD18" s="85">
        <v>32180</v>
      </c>
      <c r="BE18" s="85">
        <v>32250</v>
      </c>
      <c r="BF18" s="85">
        <v>32310</v>
      </c>
      <c r="BG18" s="85">
        <v>32360</v>
      </c>
      <c r="BH18" s="85">
        <v>32400</v>
      </c>
      <c r="BI18" s="85">
        <v>32420</v>
      </c>
      <c r="BJ18" s="85">
        <v>32420</v>
      </c>
      <c r="BK18" s="85">
        <v>32400</v>
      </c>
      <c r="BL18" s="85">
        <v>32360</v>
      </c>
    </row>
    <row r="19" spans="1:64" x14ac:dyDescent="0.2">
      <c r="A19" s="29">
        <v>9</v>
      </c>
      <c r="B19" s="85">
        <v>28770</v>
      </c>
      <c r="C19" s="85">
        <v>28910</v>
      </c>
      <c r="D19" s="85">
        <v>28390</v>
      </c>
      <c r="E19" s="85">
        <v>29550</v>
      </c>
      <c r="F19" s="85">
        <v>29150</v>
      </c>
      <c r="G19" s="85">
        <v>28210</v>
      </c>
      <c r="H19" s="85">
        <v>27850</v>
      </c>
      <c r="I19" s="85">
        <v>28430</v>
      </c>
      <c r="J19" s="85">
        <v>28240</v>
      </c>
      <c r="K19" s="85">
        <v>29060</v>
      </c>
      <c r="L19" s="85">
        <v>30490</v>
      </c>
      <c r="M19" s="85">
        <v>31830</v>
      </c>
      <c r="N19" s="85">
        <v>31570</v>
      </c>
      <c r="O19" s="85">
        <v>32530</v>
      </c>
      <c r="P19" s="85">
        <v>32110</v>
      </c>
      <c r="Q19" s="85">
        <v>31660</v>
      </c>
      <c r="R19" s="85">
        <v>31250</v>
      </c>
      <c r="S19" s="85">
        <v>30310</v>
      </c>
      <c r="T19" s="85">
        <v>30230</v>
      </c>
      <c r="U19" s="85">
        <v>30220</v>
      </c>
      <c r="V19" s="85">
        <v>30680</v>
      </c>
      <c r="W19" s="85">
        <v>31250</v>
      </c>
      <c r="X19" s="85">
        <v>31760</v>
      </c>
      <c r="Y19" s="85">
        <v>32200</v>
      </c>
      <c r="Z19" s="85">
        <v>32540</v>
      </c>
      <c r="AA19" s="85">
        <v>32770</v>
      </c>
      <c r="AB19" s="85">
        <v>32910</v>
      </c>
      <c r="AC19" s="85">
        <v>32980</v>
      </c>
      <c r="AD19" s="85">
        <v>32980</v>
      </c>
      <c r="AE19" s="85">
        <v>32920</v>
      </c>
      <c r="AF19" s="85">
        <v>32800</v>
      </c>
      <c r="AG19" s="85">
        <v>32650</v>
      </c>
      <c r="AH19" s="85">
        <v>32450</v>
      </c>
      <c r="AI19" s="85">
        <v>32230</v>
      </c>
      <c r="AJ19" s="85">
        <v>32000</v>
      </c>
      <c r="AK19" s="85">
        <v>31770</v>
      </c>
      <c r="AL19" s="85">
        <v>31560</v>
      </c>
      <c r="AM19" s="85">
        <v>31380</v>
      </c>
      <c r="AN19" s="85">
        <v>31230</v>
      </c>
      <c r="AO19" s="85">
        <v>31140</v>
      </c>
      <c r="AP19" s="85">
        <v>31100</v>
      </c>
      <c r="AQ19" s="85">
        <v>31110</v>
      </c>
      <c r="AR19" s="85">
        <v>31150</v>
      </c>
      <c r="AS19" s="85">
        <v>31230</v>
      </c>
      <c r="AT19" s="85">
        <v>31310</v>
      </c>
      <c r="AU19" s="85">
        <v>31410</v>
      </c>
      <c r="AV19" s="85">
        <v>31510</v>
      </c>
      <c r="AW19" s="85">
        <v>31610</v>
      </c>
      <c r="AX19" s="85">
        <v>31700</v>
      </c>
      <c r="AY19" s="85">
        <v>31780</v>
      </c>
      <c r="AZ19" s="85">
        <v>31860</v>
      </c>
      <c r="BA19" s="85">
        <v>31940</v>
      </c>
      <c r="BB19" s="85">
        <v>32020</v>
      </c>
      <c r="BC19" s="85">
        <v>32090</v>
      </c>
      <c r="BD19" s="85">
        <v>32170</v>
      </c>
      <c r="BE19" s="85">
        <v>32240</v>
      </c>
      <c r="BF19" s="85">
        <v>32310</v>
      </c>
      <c r="BG19" s="85">
        <v>32370</v>
      </c>
      <c r="BH19" s="85">
        <v>32420</v>
      </c>
      <c r="BI19" s="85">
        <v>32460</v>
      </c>
      <c r="BJ19" s="85">
        <v>32480</v>
      </c>
      <c r="BK19" s="85">
        <v>32470</v>
      </c>
      <c r="BL19" s="85">
        <v>32460</v>
      </c>
    </row>
    <row r="20" spans="1:64" x14ac:dyDescent="0.2">
      <c r="A20" s="29">
        <v>10</v>
      </c>
      <c r="B20" s="85">
        <v>29250</v>
      </c>
      <c r="C20" s="85">
        <v>28990</v>
      </c>
      <c r="D20" s="85">
        <v>29090</v>
      </c>
      <c r="E20" s="85">
        <v>28550</v>
      </c>
      <c r="F20" s="85">
        <v>29770</v>
      </c>
      <c r="G20" s="85">
        <v>29310</v>
      </c>
      <c r="H20" s="85">
        <v>28210</v>
      </c>
      <c r="I20" s="85">
        <v>27900</v>
      </c>
      <c r="J20" s="85">
        <v>28490</v>
      </c>
      <c r="K20" s="85">
        <v>28410</v>
      </c>
      <c r="L20" s="85">
        <v>29270</v>
      </c>
      <c r="M20" s="85">
        <v>30690</v>
      </c>
      <c r="N20" s="85">
        <v>32000</v>
      </c>
      <c r="O20" s="85">
        <v>31720</v>
      </c>
      <c r="P20" s="85">
        <v>32650</v>
      </c>
      <c r="Q20" s="85">
        <v>32200</v>
      </c>
      <c r="R20" s="85">
        <v>31730</v>
      </c>
      <c r="S20" s="85">
        <v>31310</v>
      </c>
      <c r="T20" s="85">
        <v>30370</v>
      </c>
      <c r="U20" s="85">
        <v>30290</v>
      </c>
      <c r="V20" s="85">
        <v>30280</v>
      </c>
      <c r="W20" s="85">
        <v>30750</v>
      </c>
      <c r="X20" s="85">
        <v>31320</v>
      </c>
      <c r="Y20" s="85">
        <v>31830</v>
      </c>
      <c r="Z20" s="85">
        <v>32260</v>
      </c>
      <c r="AA20" s="85">
        <v>32600</v>
      </c>
      <c r="AB20" s="85">
        <v>32830</v>
      </c>
      <c r="AC20" s="85">
        <v>32970</v>
      </c>
      <c r="AD20" s="85">
        <v>33040</v>
      </c>
      <c r="AE20" s="85">
        <v>33040</v>
      </c>
      <c r="AF20" s="85">
        <v>32980</v>
      </c>
      <c r="AG20" s="85">
        <v>32870</v>
      </c>
      <c r="AH20" s="85">
        <v>32710</v>
      </c>
      <c r="AI20" s="85">
        <v>32520</v>
      </c>
      <c r="AJ20" s="85">
        <v>32300</v>
      </c>
      <c r="AK20" s="85">
        <v>32060</v>
      </c>
      <c r="AL20" s="85">
        <v>31830</v>
      </c>
      <c r="AM20" s="85">
        <v>31620</v>
      </c>
      <c r="AN20" s="85">
        <v>31440</v>
      </c>
      <c r="AO20" s="85">
        <v>31300</v>
      </c>
      <c r="AP20" s="85">
        <v>31210</v>
      </c>
      <c r="AQ20" s="85">
        <v>31170</v>
      </c>
      <c r="AR20" s="85">
        <v>31170</v>
      </c>
      <c r="AS20" s="85">
        <v>31220</v>
      </c>
      <c r="AT20" s="85">
        <v>31290</v>
      </c>
      <c r="AU20" s="85">
        <v>31380</v>
      </c>
      <c r="AV20" s="85">
        <v>31470</v>
      </c>
      <c r="AW20" s="85">
        <v>31570</v>
      </c>
      <c r="AX20" s="85">
        <v>31670</v>
      </c>
      <c r="AY20" s="85">
        <v>31760</v>
      </c>
      <c r="AZ20" s="85">
        <v>31850</v>
      </c>
      <c r="BA20" s="85">
        <v>31930</v>
      </c>
      <c r="BB20" s="85">
        <v>32000</v>
      </c>
      <c r="BC20" s="85">
        <v>32080</v>
      </c>
      <c r="BD20" s="85">
        <v>32160</v>
      </c>
      <c r="BE20" s="85">
        <v>32230</v>
      </c>
      <c r="BF20" s="85">
        <v>32310</v>
      </c>
      <c r="BG20" s="85">
        <v>32370</v>
      </c>
      <c r="BH20" s="85">
        <v>32430</v>
      </c>
      <c r="BI20" s="85">
        <v>32480</v>
      </c>
      <c r="BJ20" s="85">
        <v>32520</v>
      </c>
      <c r="BK20" s="85">
        <v>32540</v>
      </c>
      <c r="BL20" s="85">
        <v>32540</v>
      </c>
    </row>
    <row r="21" spans="1:64" x14ac:dyDescent="0.2">
      <c r="A21" s="29">
        <v>11</v>
      </c>
      <c r="B21" s="85">
        <v>29970</v>
      </c>
      <c r="C21" s="85">
        <v>29430</v>
      </c>
      <c r="D21" s="85">
        <v>29180</v>
      </c>
      <c r="E21" s="85">
        <v>29270</v>
      </c>
      <c r="F21" s="85">
        <v>28700</v>
      </c>
      <c r="G21" s="85">
        <v>29880</v>
      </c>
      <c r="H21" s="85">
        <v>29380</v>
      </c>
      <c r="I21" s="85">
        <v>28280</v>
      </c>
      <c r="J21" s="85">
        <v>27980</v>
      </c>
      <c r="K21" s="85">
        <v>28620</v>
      </c>
      <c r="L21" s="85">
        <v>28660</v>
      </c>
      <c r="M21" s="85">
        <v>29480</v>
      </c>
      <c r="N21" s="85">
        <v>30870</v>
      </c>
      <c r="O21" s="85">
        <v>32150</v>
      </c>
      <c r="P21" s="85">
        <v>31840</v>
      </c>
      <c r="Q21" s="85">
        <v>32750</v>
      </c>
      <c r="R21" s="85">
        <v>32270</v>
      </c>
      <c r="S21" s="85">
        <v>31790</v>
      </c>
      <c r="T21" s="85">
        <v>31380</v>
      </c>
      <c r="U21" s="85">
        <v>30440</v>
      </c>
      <c r="V21" s="85">
        <v>30360</v>
      </c>
      <c r="W21" s="85">
        <v>30350</v>
      </c>
      <c r="X21" s="85">
        <v>30820</v>
      </c>
      <c r="Y21" s="85">
        <v>31380</v>
      </c>
      <c r="Z21" s="85">
        <v>31890</v>
      </c>
      <c r="AA21" s="85">
        <v>32330</v>
      </c>
      <c r="AB21" s="85">
        <v>32670</v>
      </c>
      <c r="AC21" s="85">
        <v>32900</v>
      </c>
      <c r="AD21" s="85">
        <v>33040</v>
      </c>
      <c r="AE21" s="85">
        <v>33110</v>
      </c>
      <c r="AF21" s="85">
        <v>33110</v>
      </c>
      <c r="AG21" s="85">
        <v>33050</v>
      </c>
      <c r="AH21" s="85">
        <v>32940</v>
      </c>
      <c r="AI21" s="85">
        <v>32780</v>
      </c>
      <c r="AJ21" s="85">
        <v>32580</v>
      </c>
      <c r="AK21" s="85">
        <v>32370</v>
      </c>
      <c r="AL21" s="85">
        <v>32130</v>
      </c>
      <c r="AM21" s="85">
        <v>31900</v>
      </c>
      <c r="AN21" s="85">
        <v>31690</v>
      </c>
      <c r="AO21" s="85">
        <v>31510</v>
      </c>
      <c r="AP21" s="85">
        <v>31370</v>
      </c>
      <c r="AQ21" s="85">
        <v>31280</v>
      </c>
      <c r="AR21" s="85">
        <v>31240</v>
      </c>
      <c r="AS21" s="85">
        <v>31240</v>
      </c>
      <c r="AT21" s="85">
        <v>31290</v>
      </c>
      <c r="AU21" s="85">
        <v>31360</v>
      </c>
      <c r="AV21" s="85">
        <v>31450</v>
      </c>
      <c r="AW21" s="85">
        <v>31540</v>
      </c>
      <c r="AX21" s="85">
        <v>31640</v>
      </c>
      <c r="AY21" s="85">
        <v>31740</v>
      </c>
      <c r="AZ21" s="85">
        <v>31830</v>
      </c>
      <c r="BA21" s="85">
        <v>31920</v>
      </c>
      <c r="BB21" s="85">
        <v>32000</v>
      </c>
      <c r="BC21" s="85">
        <v>32070</v>
      </c>
      <c r="BD21" s="85">
        <v>32150</v>
      </c>
      <c r="BE21" s="85">
        <v>32230</v>
      </c>
      <c r="BF21" s="85">
        <v>32300</v>
      </c>
      <c r="BG21" s="85">
        <v>32380</v>
      </c>
      <c r="BH21" s="85">
        <v>32440</v>
      </c>
      <c r="BI21" s="85">
        <v>32510</v>
      </c>
      <c r="BJ21" s="85">
        <v>32550</v>
      </c>
      <c r="BK21" s="85">
        <v>32590</v>
      </c>
      <c r="BL21" s="85">
        <v>32610</v>
      </c>
    </row>
    <row r="22" spans="1:64" x14ac:dyDescent="0.2">
      <c r="A22" s="29">
        <v>12</v>
      </c>
      <c r="B22" s="85">
        <v>29990</v>
      </c>
      <c r="C22" s="85">
        <v>30090</v>
      </c>
      <c r="D22" s="85">
        <v>29510</v>
      </c>
      <c r="E22" s="85">
        <v>29370</v>
      </c>
      <c r="F22" s="85">
        <v>29520</v>
      </c>
      <c r="G22" s="85">
        <v>28870</v>
      </c>
      <c r="H22" s="85">
        <v>29910</v>
      </c>
      <c r="I22" s="85">
        <v>29480</v>
      </c>
      <c r="J22" s="85">
        <v>28340</v>
      </c>
      <c r="K22" s="85">
        <v>28170</v>
      </c>
      <c r="L22" s="85">
        <v>28850</v>
      </c>
      <c r="M22" s="85">
        <v>28860</v>
      </c>
      <c r="N22" s="85">
        <v>29650</v>
      </c>
      <c r="O22" s="85">
        <v>31020</v>
      </c>
      <c r="P22" s="85">
        <v>32280</v>
      </c>
      <c r="Q22" s="85">
        <v>31940</v>
      </c>
      <c r="R22" s="85">
        <v>32820</v>
      </c>
      <c r="S22" s="85">
        <v>32350</v>
      </c>
      <c r="T22" s="85">
        <v>31870</v>
      </c>
      <c r="U22" s="85">
        <v>31450</v>
      </c>
      <c r="V22" s="85">
        <v>30510</v>
      </c>
      <c r="W22" s="85">
        <v>30440</v>
      </c>
      <c r="X22" s="85">
        <v>30420</v>
      </c>
      <c r="Y22" s="85">
        <v>30890</v>
      </c>
      <c r="Z22" s="85">
        <v>31460</v>
      </c>
      <c r="AA22" s="85">
        <v>31970</v>
      </c>
      <c r="AB22" s="85">
        <v>32400</v>
      </c>
      <c r="AC22" s="85">
        <v>32740</v>
      </c>
      <c r="AD22" s="85">
        <v>32970</v>
      </c>
      <c r="AE22" s="85">
        <v>33110</v>
      </c>
      <c r="AF22" s="85">
        <v>33180</v>
      </c>
      <c r="AG22" s="85">
        <v>33180</v>
      </c>
      <c r="AH22" s="85">
        <v>33120</v>
      </c>
      <c r="AI22" s="85">
        <v>33010</v>
      </c>
      <c r="AJ22" s="85">
        <v>32850</v>
      </c>
      <c r="AK22" s="85">
        <v>32660</v>
      </c>
      <c r="AL22" s="85">
        <v>32440</v>
      </c>
      <c r="AM22" s="85">
        <v>32210</v>
      </c>
      <c r="AN22" s="85">
        <v>31980</v>
      </c>
      <c r="AO22" s="85">
        <v>31760</v>
      </c>
      <c r="AP22" s="85">
        <v>31580</v>
      </c>
      <c r="AQ22" s="85">
        <v>31440</v>
      </c>
      <c r="AR22" s="85">
        <v>31350</v>
      </c>
      <c r="AS22" s="85">
        <v>31310</v>
      </c>
      <c r="AT22" s="85">
        <v>31320</v>
      </c>
      <c r="AU22" s="85">
        <v>31360</v>
      </c>
      <c r="AV22" s="85">
        <v>31430</v>
      </c>
      <c r="AW22" s="85">
        <v>31520</v>
      </c>
      <c r="AX22" s="85">
        <v>31620</v>
      </c>
      <c r="AY22" s="85">
        <v>31720</v>
      </c>
      <c r="AZ22" s="85">
        <v>31810</v>
      </c>
      <c r="BA22" s="85">
        <v>31900</v>
      </c>
      <c r="BB22" s="85">
        <v>31990</v>
      </c>
      <c r="BC22" s="85">
        <v>32070</v>
      </c>
      <c r="BD22" s="85">
        <v>32150</v>
      </c>
      <c r="BE22" s="85">
        <v>32230</v>
      </c>
      <c r="BF22" s="85">
        <v>32300</v>
      </c>
      <c r="BG22" s="85">
        <v>32380</v>
      </c>
      <c r="BH22" s="85">
        <v>32450</v>
      </c>
      <c r="BI22" s="85">
        <v>32520</v>
      </c>
      <c r="BJ22" s="85">
        <v>32580</v>
      </c>
      <c r="BK22" s="85">
        <v>32630</v>
      </c>
      <c r="BL22" s="85">
        <v>32670</v>
      </c>
    </row>
    <row r="23" spans="1:64" x14ac:dyDescent="0.2">
      <c r="A23" s="29">
        <v>13</v>
      </c>
      <c r="B23" s="85">
        <v>30750</v>
      </c>
      <c r="C23" s="85">
        <v>30090</v>
      </c>
      <c r="D23" s="85">
        <v>30120</v>
      </c>
      <c r="E23" s="85">
        <v>29630</v>
      </c>
      <c r="F23" s="85">
        <v>29590</v>
      </c>
      <c r="G23" s="85">
        <v>29630</v>
      </c>
      <c r="H23" s="85">
        <v>28910</v>
      </c>
      <c r="I23" s="85">
        <v>29930</v>
      </c>
      <c r="J23" s="85">
        <v>29550</v>
      </c>
      <c r="K23" s="85">
        <v>28500</v>
      </c>
      <c r="L23" s="85">
        <v>28370</v>
      </c>
      <c r="M23" s="85">
        <v>29050</v>
      </c>
      <c r="N23" s="85">
        <v>29040</v>
      </c>
      <c r="O23" s="85">
        <v>29810</v>
      </c>
      <c r="P23" s="85">
        <v>31150</v>
      </c>
      <c r="Q23" s="85">
        <v>32380</v>
      </c>
      <c r="R23" s="85">
        <v>32020</v>
      </c>
      <c r="S23" s="85">
        <v>32900</v>
      </c>
      <c r="T23" s="85">
        <v>32420</v>
      </c>
      <c r="U23" s="85">
        <v>31950</v>
      </c>
      <c r="V23" s="85">
        <v>31530</v>
      </c>
      <c r="W23" s="85">
        <v>30590</v>
      </c>
      <c r="X23" s="85">
        <v>30520</v>
      </c>
      <c r="Y23" s="85">
        <v>30500</v>
      </c>
      <c r="Z23" s="85">
        <v>30970</v>
      </c>
      <c r="AA23" s="85">
        <v>31540</v>
      </c>
      <c r="AB23" s="85">
        <v>32050</v>
      </c>
      <c r="AC23" s="85">
        <v>32480</v>
      </c>
      <c r="AD23" s="85">
        <v>32820</v>
      </c>
      <c r="AE23" s="85">
        <v>33050</v>
      </c>
      <c r="AF23" s="85">
        <v>33190</v>
      </c>
      <c r="AG23" s="85">
        <v>33260</v>
      </c>
      <c r="AH23" s="85">
        <v>33260</v>
      </c>
      <c r="AI23" s="85">
        <v>33200</v>
      </c>
      <c r="AJ23" s="85">
        <v>33090</v>
      </c>
      <c r="AK23" s="85">
        <v>32930</v>
      </c>
      <c r="AL23" s="85">
        <v>32740</v>
      </c>
      <c r="AM23" s="85">
        <v>32520</v>
      </c>
      <c r="AN23" s="85">
        <v>32290</v>
      </c>
      <c r="AO23" s="85">
        <v>32060</v>
      </c>
      <c r="AP23" s="85">
        <v>31840</v>
      </c>
      <c r="AQ23" s="85">
        <v>31660</v>
      </c>
      <c r="AR23" s="85">
        <v>31520</v>
      </c>
      <c r="AS23" s="85">
        <v>31430</v>
      </c>
      <c r="AT23" s="85">
        <v>31390</v>
      </c>
      <c r="AU23" s="85">
        <v>31400</v>
      </c>
      <c r="AV23" s="85">
        <v>31440</v>
      </c>
      <c r="AW23" s="85">
        <v>31510</v>
      </c>
      <c r="AX23" s="85">
        <v>31600</v>
      </c>
      <c r="AY23" s="85">
        <v>31700</v>
      </c>
      <c r="AZ23" s="85">
        <v>31800</v>
      </c>
      <c r="BA23" s="85">
        <v>31890</v>
      </c>
      <c r="BB23" s="85">
        <v>31980</v>
      </c>
      <c r="BC23" s="85">
        <v>32070</v>
      </c>
      <c r="BD23" s="85">
        <v>32150</v>
      </c>
      <c r="BE23" s="85">
        <v>32230</v>
      </c>
      <c r="BF23" s="85">
        <v>32310</v>
      </c>
      <c r="BG23" s="85">
        <v>32380</v>
      </c>
      <c r="BH23" s="85">
        <v>32460</v>
      </c>
      <c r="BI23" s="85">
        <v>32530</v>
      </c>
      <c r="BJ23" s="85">
        <v>32600</v>
      </c>
      <c r="BK23" s="85">
        <v>32660</v>
      </c>
      <c r="BL23" s="85">
        <v>32710</v>
      </c>
    </row>
    <row r="24" spans="1:64" x14ac:dyDescent="0.2">
      <c r="A24" s="29">
        <v>14</v>
      </c>
      <c r="B24" s="85">
        <v>30960</v>
      </c>
      <c r="C24" s="85">
        <v>30780</v>
      </c>
      <c r="D24" s="85">
        <v>30110</v>
      </c>
      <c r="E24" s="85">
        <v>30170</v>
      </c>
      <c r="F24" s="85">
        <v>29830</v>
      </c>
      <c r="G24" s="85">
        <v>29790</v>
      </c>
      <c r="H24" s="85">
        <v>29700</v>
      </c>
      <c r="I24" s="85">
        <v>29000</v>
      </c>
      <c r="J24" s="85">
        <v>30010</v>
      </c>
      <c r="K24" s="85">
        <v>29690</v>
      </c>
      <c r="L24" s="85">
        <v>28690</v>
      </c>
      <c r="M24" s="85">
        <v>28610</v>
      </c>
      <c r="N24" s="85">
        <v>29260</v>
      </c>
      <c r="O24" s="85">
        <v>29220</v>
      </c>
      <c r="P24" s="85">
        <v>29960</v>
      </c>
      <c r="Q24" s="85">
        <v>31280</v>
      </c>
      <c r="R24" s="85">
        <v>32490</v>
      </c>
      <c r="S24" s="85">
        <v>32130</v>
      </c>
      <c r="T24" s="85">
        <v>33000</v>
      </c>
      <c r="U24" s="85">
        <v>32530</v>
      </c>
      <c r="V24" s="85">
        <v>32050</v>
      </c>
      <c r="W24" s="85">
        <v>31640</v>
      </c>
      <c r="X24" s="85">
        <v>30700</v>
      </c>
      <c r="Y24" s="85">
        <v>30620</v>
      </c>
      <c r="Z24" s="85">
        <v>30610</v>
      </c>
      <c r="AA24" s="85">
        <v>31080</v>
      </c>
      <c r="AB24" s="85">
        <v>31640</v>
      </c>
      <c r="AC24" s="85">
        <v>32150</v>
      </c>
      <c r="AD24" s="85">
        <v>32590</v>
      </c>
      <c r="AE24" s="85">
        <v>32930</v>
      </c>
      <c r="AF24" s="85">
        <v>33160</v>
      </c>
      <c r="AG24" s="85">
        <v>33300</v>
      </c>
      <c r="AH24" s="85">
        <v>33370</v>
      </c>
      <c r="AI24" s="85">
        <v>33370</v>
      </c>
      <c r="AJ24" s="85">
        <v>33310</v>
      </c>
      <c r="AK24" s="85">
        <v>33200</v>
      </c>
      <c r="AL24" s="85">
        <v>33040</v>
      </c>
      <c r="AM24" s="85">
        <v>32850</v>
      </c>
      <c r="AN24" s="85">
        <v>32630</v>
      </c>
      <c r="AO24" s="85">
        <v>32400</v>
      </c>
      <c r="AP24" s="85">
        <v>32170</v>
      </c>
      <c r="AQ24" s="85">
        <v>31950</v>
      </c>
      <c r="AR24" s="85">
        <v>31770</v>
      </c>
      <c r="AS24" s="85">
        <v>31630</v>
      </c>
      <c r="AT24" s="85">
        <v>31540</v>
      </c>
      <c r="AU24" s="85">
        <v>31500</v>
      </c>
      <c r="AV24" s="85">
        <v>31510</v>
      </c>
      <c r="AW24" s="85">
        <v>31550</v>
      </c>
      <c r="AX24" s="85">
        <v>31620</v>
      </c>
      <c r="AY24" s="85">
        <v>31710</v>
      </c>
      <c r="AZ24" s="85">
        <v>31810</v>
      </c>
      <c r="BA24" s="85">
        <v>31910</v>
      </c>
      <c r="BB24" s="85">
        <v>32000</v>
      </c>
      <c r="BC24" s="85">
        <v>32090</v>
      </c>
      <c r="BD24" s="85">
        <v>32180</v>
      </c>
      <c r="BE24" s="85">
        <v>32260</v>
      </c>
      <c r="BF24" s="85">
        <v>32340</v>
      </c>
      <c r="BG24" s="85">
        <v>32420</v>
      </c>
      <c r="BH24" s="85">
        <v>32490</v>
      </c>
      <c r="BI24" s="85">
        <v>32570</v>
      </c>
      <c r="BJ24" s="85">
        <v>32640</v>
      </c>
      <c r="BK24" s="85">
        <v>32710</v>
      </c>
      <c r="BL24" s="85">
        <v>32770</v>
      </c>
    </row>
    <row r="25" spans="1:64" x14ac:dyDescent="0.2">
      <c r="A25" s="29">
        <v>15</v>
      </c>
      <c r="B25" s="85">
        <v>32030</v>
      </c>
      <c r="C25" s="85">
        <v>31100</v>
      </c>
      <c r="D25" s="85">
        <v>30870</v>
      </c>
      <c r="E25" s="85">
        <v>30230</v>
      </c>
      <c r="F25" s="85">
        <v>30410</v>
      </c>
      <c r="G25" s="85">
        <v>29940</v>
      </c>
      <c r="H25" s="85">
        <v>30020</v>
      </c>
      <c r="I25" s="85">
        <v>29930</v>
      </c>
      <c r="J25" s="85">
        <v>29180</v>
      </c>
      <c r="K25" s="85">
        <v>30280</v>
      </c>
      <c r="L25" s="85">
        <v>30080</v>
      </c>
      <c r="M25" s="85">
        <v>29040</v>
      </c>
      <c r="N25" s="85">
        <v>28920</v>
      </c>
      <c r="O25" s="85">
        <v>29540</v>
      </c>
      <c r="P25" s="85">
        <v>29480</v>
      </c>
      <c r="Q25" s="85">
        <v>30190</v>
      </c>
      <c r="R25" s="85">
        <v>31480</v>
      </c>
      <c r="S25" s="85">
        <v>32680</v>
      </c>
      <c r="T25" s="85">
        <v>32320</v>
      </c>
      <c r="U25" s="85">
        <v>33200</v>
      </c>
      <c r="V25" s="85">
        <v>32730</v>
      </c>
      <c r="W25" s="85">
        <v>32250</v>
      </c>
      <c r="X25" s="85">
        <v>31830</v>
      </c>
      <c r="Y25" s="85">
        <v>30890</v>
      </c>
      <c r="Z25" s="85">
        <v>30820</v>
      </c>
      <c r="AA25" s="85">
        <v>30810</v>
      </c>
      <c r="AB25" s="85">
        <v>31270</v>
      </c>
      <c r="AC25" s="85">
        <v>31840</v>
      </c>
      <c r="AD25" s="85">
        <v>32350</v>
      </c>
      <c r="AE25" s="85">
        <v>32780</v>
      </c>
      <c r="AF25" s="85">
        <v>33130</v>
      </c>
      <c r="AG25" s="85">
        <v>33360</v>
      </c>
      <c r="AH25" s="85">
        <v>33500</v>
      </c>
      <c r="AI25" s="85">
        <v>33560</v>
      </c>
      <c r="AJ25" s="85">
        <v>33570</v>
      </c>
      <c r="AK25" s="85">
        <v>33510</v>
      </c>
      <c r="AL25" s="85">
        <v>33390</v>
      </c>
      <c r="AM25" s="85">
        <v>33240</v>
      </c>
      <c r="AN25" s="85">
        <v>33040</v>
      </c>
      <c r="AO25" s="85">
        <v>32820</v>
      </c>
      <c r="AP25" s="85">
        <v>32590</v>
      </c>
      <c r="AQ25" s="85">
        <v>32360</v>
      </c>
      <c r="AR25" s="85">
        <v>32150</v>
      </c>
      <c r="AS25" s="85">
        <v>31970</v>
      </c>
      <c r="AT25" s="85">
        <v>31830</v>
      </c>
      <c r="AU25" s="85">
        <v>31740</v>
      </c>
      <c r="AV25" s="85">
        <v>31700</v>
      </c>
      <c r="AW25" s="85">
        <v>31700</v>
      </c>
      <c r="AX25" s="85">
        <v>31750</v>
      </c>
      <c r="AY25" s="85">
        <v>31820</v>
      </c>
      <c r="AZ25" s="85">
        <v>31910</v>
      </c>
      <c r="BA25" s="85">
        <v>32010</v>
      </c>
      <c r="BB25" s="85">
        <v>32100</v>
      </c>
      <c r="BC25" s="85">
        <v>32200</v>
      </c>
      <c r="BD25" s="85">
        <v>32290</v>
      </c>
      <c r="BE25" s="85">
        <v>32380</v>
      </c>
      <c r="BF25" s="85">
        <v>32460</v>
      </c>
      <c r="BG25" s="85">
        <v>32540</v>
      </c>
      <c r="BH25" s="85">
        <v>32610</v>
      </c>
      <c r="BI25" s="85">
        <v>32690</v>
      </c>
      <c r="BJ25" s="85">
        <v>32770</v>
      </c>
      <c r="BK25" s="85">
        <v>32840</v>
      </c>
      <c r="BL25" s="85">
        <v>32910</v>
      </c>
    </row>
    <row r="26" spans="1:64" x14ac:dyDescent="0.2">
      <c r="A26" s="29">
        <v>16</v>
      </c>
      <c r="B26" s="85">
        <v>31990</v>
      </c>
      <c r="C26" s="85">
        <v>32170</v>
      </c>
      <c r="D26" s="85">
        <v>31150</v>
      </c>
      <c r="E26" s="85">
        <v>31080</v>
      </c>
      <c r="F26" s="85">
        <v>30550</v>
      </c>
      <c r="G26" s="85">
        <v>30730</v>
      </c>
      <c r="H26" s="85">
        <v>30160</v>
      </c>
      <c r="I26" s="85">
        <v>30350</v>
      </c>
      <c r="J26" s="85">
        <v>30280</v>
      </c>
      <c r="K26" s="85">
        <v>29630</v>
      </c>
      <c r="L26" s="85">
        <v>30850</v>
      </c>
      <c r="M26" s="85">
        <v>30530</v>
      </c>
      <c r="N26" s="85">
        <v>29460</v>
      </c>
      <c r="O26" s="85">
        <v>29310</v>
      </c>
      <c r="P26" s="85">
        <v>29900</v>
      </c>
      <c r="Q26" s="85">
        <v>29800</v>
      </c>
      <c r="R26" s="85">
        <v>30480</v>
      </c>
      <c r="S26" s="85">
        <v>31770</v>
      </c>
      <c r="T26" s="85">
        <v>32970</v>
      </c>
      <c r="U26" s="85">
        <v>32610</v>
      </c>
      <c r="V26" s="85">
        <v>33490</v>
      </c>
      <c r="W26" s="85">
        <v>33020</v>
      </c>
      <c r="X26" s="85">
        <v>32540</v>
      </c>
      <c r="Y26" s="85">
        <v>32120</v>
      </c>
      <c r="Z26" s="85">
        <v>31190</v>
      </c>
      <c r="AA26" s="85">
        <v>31110</v>
      </c>
      <c r="AB26" s="85">
        <v>31100</v>
      </c>
      <c r="AC26" s="85">
        <v>31560</v>
      </c>
      <c r="AD26" s="85">
        <v>32130</v>
      </c>
      <c r="AE26" s="85">
        <v>32640</v>
      </c>
      <c r="AF26" s="85">
        <v>33080</v>
      </c>
      <c r="AG26" s="85">
        <v>33420</v>
      </c>
      <c r="AH26" s="85">
        <v>33650</v>
      </c>
      <c r="AI26" s="85">
        <v>33790</v>
      </c>
      <c r="AJ26" s="85">
        <v>33860</v>
      </c>
      <c r="AK26" s="85">
        <v>33860</v>
      </c>
      <c r="AL26" s="85">
        <v>33800</v>
      </c>
      <c r="AM26" s="85">
        <v>33690</v>
      </c>
      <c r="AN26" s="85">
        <v>33530</v>
      </c>
      <c r="AO26" s="85">
        <v>33340</v>
      </c>
      <c r="AP26" s="85">
        <v>33120</v>
      </c>
      <c r="AQ26" s="85">
        <v>32890</v>
      </c>
      <c r="AR26" s="85">
        <v>32660</v>
      </c>
      <c r="AS26" s="85">
        <v>32440</v>
      </c>
      <c r="AT26" s="85">
        <v>32260</v>
      </c>
      <c r="AU26" s="85">
        <v>32120</v>
      </c>
      <c r="AV26" s="85">
        <v>32030</v>
      </c>
      <c r="AW26" s="85">
        <v>31990</v>
      </c>
      <c r="AX26" s="85">
        <v>32000</v>
      </c>
      <c r="AY26" s="85">
        <v>32040</v>
      </c>
      <c r="AZ26" s="85">
        <v>32120</v>
      </c>
      <c r="BA26" s="85">
        <v>32200</v>
      </c>
      <c r="BB26" s="85">
        <v>32300</v>
      </c>
      <c r="BC26" s="85">
        <v>32400</v>
      </c>
      <c r="BD26" s="85">
        <v>32500</v>
      </c>
      <c r="BE26" s="85">
        <v>32590</v>
      </c>
      <c r="BF26" s="85">
        <v>32670</v>
      </c>
      <c r="BG26" s="85">
        <v>32750</v>
      </c>
      <c r="BH26" s="85">
        <v>32830</v>
      </c>
      <c r="BI26" s="85">
        <v>32910</v>
      </c>
      <c r="BJ26" s="85">
        <v>32990</v>
      </c>
      <c r="BK26" s="85">
        <v>33060</v>
      </c>
      <c r="BL26" s="85">
        <v>33140</v>
      </c>
    </row>
    <row r="27" spans="1:64" x14ac:dyDescent="0.2">
      <c r="A27" s="29">
        <v>17</v>
      </c>
      <c r="B27" s="85">
        <v>30880</v>
      </c>
      <c r="C27" s="85">
        <v>32080</v>
      </c>
      <c r="D27" s="85">
        <v>32330</v>
      </c>
      <c r="E27" s="85">
        <v>31430</v>
      </c>
      <c r="F27" s="85">
        <v>31420</v>
      </c>
      <c r="G27" s="85">
        <v>30830</v>
      </c>
      <c r="H27" s="85">
        <v>30890</v>
      </c>
      <c r="I27" s="85">
        <v>30440</v>
      </c>
      <c r="J27" s="85">
        <v>30720</v>
      </c>
      <c r="K27" s="85">
        <v>30750</v>
      </c>
      <c r="L27" s="85">
        <v>30110</v>
      </c>
      <c r="M27" s="85">
        <v>31340</v>
      </c>
      <c r="N27" s="85">
        <v>30980</v>
      </c>
      <c r="O27" s="85">
        <v>29870</v>
      </c>
      <c r="P27" s="85">
        <v>29690</v>
      </c>
      <c r="Q27" s="85">
        <v>30240</v>
      </c>
      <c r="R27" s="85">
        <v>30110</v>
      </c>
      <c r="S27" s="85">
        <v>30790</v>
      </c>
      <c r="T27" s="85">
        <v>32080</v>
      </c>
      <c r="U27" s="85">
        <v>33280</v>
      </c>
      <c r="V27" s="85">
        <v>32920</v>
      </c>
      <c r="W27" s="85">
        <v>33800</v>
      </c>
      <c r="X27" s="85">
        <v>33330</v>
      </c>
      <c r="Y27" s="85">
        <v>32850</v>
      </c>
      <c r="Z27" s="85">
        <v>32430</v>
      </c>
      <c r="AA27" s="85">
        <v>31500</v>
      </c>
      <c r="AB27" s="85">
        <v>31420</v>
      </c>
      <c r="AC27" s="85">
        <v>31410</v>
      </c>
      <c r="AD27" s="85">
        <v>31880</v>
      </c>
      <c r="AE27" s="85">
        <v>32440</v>
      </c>
      <c r="AF27" s="85">
        <v>32950</v>
      </c>
      <c r="AG27" s="85">
        <v>33390</v>
      </c>
      <c r="AH27" s="85">
        <v>33730</v>
      </c>
      <c r="AI27" s="85">
        <v>33960</v>
      </c>
      <c r="AJ27" s="85">
        <v>34100</v>
      </c>
      <c r="AK27" s="85">
        <v>34170</v>
      </c>
      <c r="AL27" s="85">
        <v>34170</v>
      </c>
      <c r="AM27" s="85">
        <v>34110</v>
      </c>
      <c r="AN27" s="85">
        <v>34000</v>
      </c>
      <c r="AO27" s="85">
        <v>33840</v>
      </c>
      <c r="AP27" s="85">
        <v>33650</v>
      </c>
      <c r="AQ27" s="85">
        <v>33430</v>
      </c>
      <c r="AR27" s="85">
        <v>33200</v>
      </c>
      <c r="AS27" s="85">
        <v>32970</v>
      </c>
      <c r="AT27" s="85">
        <v>32760</v>
      </c>
      <c r="AU27" s="85">
        <v>32580</v>
      </c>
      <c r="AV27" s="85">
        <v>32440</v>
      </c>
      <c r="AW27" s="85">
        <v>32350</v>
      </c>
      <c r="AX27" s="85">
        <v>32310</v>
      </c>
      <c r="AY27" s="85">
        <v>32310</v>
      </c>
      <c r="AZ27" s="85">
        <v>32360</v>
      </c>
      <c r="BA27" s="85">
        <v>32430</v>
      </c>
      <c r="BB27" s="85">
        <v>32520</v>
      </c>
      <c r="BC27" s="85">
        <v>32610</v>
      </c>
      <c r="BD27" s="85">
        <v>32710</v>
      </c>
      <c r="BE27" s="85">
        <v>32810</v>
      </c>
      <c r="BF27" s="85">
        <v>32900</v>
      </c>
      <c r="BG27" s="85">
        <v>32990</v>
      </c>
      <c r="BH27" s="85">
        <v>33070</v>
      </c>
      <c r="BI27" s="85">
        <v>33150</v>
      </c>
      <c r="BJ27" s="85">
        <v>33220</v>
      </c>
      <c r="BK27" s="85">
        <v>33300</v>
      </c>
      <c r="BL27" s="85">
        <v>33380</v>
      </c>
    </row>
    <row r="28" spans="1:64" x14ac:dyDescent="0.2">
      <c r="A28" s="29">
        <v>18</v>
      </c>
      <c r="B28" s="85">
        <v>30180</v>
      </c>
      <c r="C28" s="85">
        <v>30570</v>
      </c>
      <c r="D28" s="85">
        <v>31740</v>
      </c>
      <c r="E28" s="85">
        <v>32180</v>
      </c>
      <c r="F28" s="85">
        <v>31390</v>
      </c>
      <c r="G28" s="85">
        <v>31250</v>
      </c>
      <c r="H28" s="85">
        <v>30590</v>
      </c>
      <c r="I28" s="85">
        <v>30770</v>
      </c>
      <c r="J28" s="85">
        <v>30600</v>
      </c>
      <c r="K28" s="85">
        <v>31160</v>
      </c>
      <c r="L28" s="85">
        <v>31170</v>
      </c>
      <c r="M28" s="85">
        <v>30760</v>
      </c>
      <c r="N28" s="85">
        <v>31910</v>
      </c>
      <c r="O28" s="85">
        <v>31490</v>
      </c>
      <c r="P28" s="85">
        <v>30310</v>
      </c>
      <c r="Q28" s="85">
        <v>30060</v>
      </c>
      <c r="R28" s="85">
        <v>30540</v>
      </c>
      <c r="S28" s="85">
        <v>30410</v>
      </c>
      <c r="T28" s="85">
        <v>31090</v>
      </c>
      <c r="U28" s="85">
        <v>32380</v>
      </c>
      <c r="V28" s="85">
        <v>33590</v>
      </c>
      <c r="W28" s="85">
        <v>33230</v>
      </c>
      <c r="X28" s="85">
        <v>34100</v>
      </c>
      <c r="Y28" s="85">
        <v>33630</v>
      </c>
      <c r="Z28" s="85">
        <v>33150</v>
      </c>
      <c r="AA28" s="85">
        <v>32740</v>
      </c>
      <c r="AB28" s="85">
        <v>31800</v>
      </c>
      <c r="AC28" s="85">
        <v>31730</v>
      </c>
      <c r="AD28" s="85">
        <v>31710</v>
      </c>
      <c r="AE28" s="85">
        <v>32180</v>
      </c>
      <c r="AF28" s="85">
        <v>32750</v>
      </c>
      <c r="AG28" s="85">
        <v>33260</v>
      </c>
      <c r="AH28" s="85">
        <v>33690</v>
      </c>
      <c r="AI28" s="85">
        <v>34030</v>
      </c>
      <c r="AJ28" s="85">
        <v>34270</v>
      </c>
      <c r="AK28" s="85">
        <v>34400</v>
      </c>
      <c r="AL28" s="85">
        <v>34470</v>
      </c>
      <c r="AM28" s="85">
        <v>34480</v>
      </c>
      <c r="AN28" s="85">
        <v>34420</v>
      </c>
      <c r="AO28" s="85">
        <v>34310</v>
      </c>
      <c r="AP28" s="85">
        <v>34150</v>
      </c>
      <c r="AQ28" s="85">
        <v>33950</v>
      </c>
      <c r="AR28" s="85">
        <v>33740</v>
      </c>
      <c r="AS28" s="85">
        <v>33500</v>
      </c>
      <c r="AT28" s="85">
        <v>33270</v>
      </c>
      <c r="AU28" s="85">
        <v>33060</v>
      </c>
      <c r="AV28" s="85">
        <v>32880</v>
      </c>
      <c r="AW28" s="85">
        <v>32740</v>
      </c>
      <c r="AX28" s="85">
        <v>32650</v>
      </c>
      <c r="AY28" s="85">
        <v>32610</v>
      </c>
      <c r="AZ28" s="85">
        <v>32620</v>
      </c>
      <c r="BA28" s="85">
        <v>32660</v>
      </c>
      <c r="BB28" s="85">
        <v>32740</v>
      </c>
      <c r="BC28" s="85">
        <v>32820</v>
      </c>
      <c r="BD28" s="85">
        <v>32920</v>
      </c>
      <c r="BE28" s="85">
        <v>33020</v>
      </c>
      <c r="BF28" s="85">
        <v>33120</v>
      </c>
      <c r="BG28" s="85">
        <v>33210</v>
      </c>
      <c r="BH28" s="85">
        <v>33290</v>
      </c>
      <c r="BI28" s="85">
        <v>33380</v>
      </c>
      <c r="BJ28" s="85">
        <v>33450</v>
      </c>
      <c r="BK28" s="85">
        <v>33530</v>
      </c>
      <c r="BL28" s="85">
        <v>33610</v>
      </c>
    </row>
    <row r="29" spans="1:64" x14ac:dyDescent="0.2">
      <c r="A29" s="29">
        <v>19</v>
      </c>
      <c r="B29" s="85">
        <v>29070</v>
      </c>
      <c r="C29" s="85">
        <v>30050</v>
      </c>
      <c r="D29" s="85">
        <v>30440</v>
      </c>
      <c r="E29" s="85">
        <v>31800</v>
      </c>
      <c r="F29" s="85">
        <v>32490</v>
      </c>
      <c r="G29" s="85">
        <v>31470</v>
      </c>
      <c r="H29" s="85">
        <v>31340</v>
      </c>
      <c r="I29" s="85">
        <v>30840</v>
      </c>
      <c r="J29" s="85">
        <v>31350</v>
      </c>
      <c r="K29" s="85">
        <v>31520</v>
      </c>
      <c r="L29" s="85">
        <v>32320</v>
      </c>
      <c r="M29" s="85">
        <v>31950</v>
      </c>
      <c r="N29" s="85">
        <v>31440</v>
      </c>
      <c r="O29" s="85">
        <v>32490</v>
      </c>
      <c r="P29" s="85">
        <v>31960</v>
      </c>
      <c r="Q29" s="85">
        <v>30670</v>
      </c>
      <c r="R29" s="85">
        <v>30310</v>
      </c>
      <c r="S29" s="85">
        <v>30800</v>
      </c>
      <c r="T29" s="85">
        <v>30670</v>
      </c>
      <c r="U29" s="85">
        <v>31350</v>
      </c>
      <c r="V29" s="85">
        <v>32630</v>
      </c>
      <c r="W29" s="85">
        <v>33840</v>
      </c>
      <c r="X29" s="85">
        <v>33480</v>
      </c>
      <c r="Y29" s="85">
        <v>34360</v>
      </c>
      <c r="Z29" s="85">
        <v>33880</v>
      </c>
      <c r="AA29" s="85">
        <v>33410</v>
      </c>
      <c r="AB29" s="85">
        <v>32990</v>
      </c>
      <c r="AC29" s="85">
        <v>32060</v>
      </c>
      <c r="AD29" s="85">
        <v>31980</v>
      </c>
      <c r="AE29" s="85">
        <v>31970</v>
      </c>
      <c r="AF29" s="85">
        <v>32430</v>
      </c>
      <c r="AG29" s="85">
        <v>33000</v>
      </c>
      <c r="AH29" s="85">
        <v>33510</v>
      </c>
      <c r="AI29" s="85">
        <v>33950</v>
      </c>
      <c r="AJ29" s="85">
        <v>34290</v>
      </c>
      <c r="AK29" s="85">
        <v>34520</v>
      </c>
      <c r="AL29" s="85">
        <v>34660</v>
      </c>
      <c r="AM29" s="85">
        <v>34730</v>
      </c>
      <c r="AN29" s="85">
        <v>34730</v>
      </c>
      <c r="AO29" s="85">
        <v>34670</v>
      </c>
      <c r="AP29" s="85">
        <v>34560</v>
      </c>
      <c r="AQ29" s="85">
        <v>34400</v>
      </c>
      <c r="AR29" s="85">
        <v>34210</v>
      </c>
      <c r="AS29" s="85">
        <v>33990</v>
      </c>
      <c r="AT29" s="85">
        <v>33760</v>
      </c>
      <c r="AU29" s="85">
        <v>33530</v>
      </c>
      <c r="AV29" s="85">
        <v>33320</v>
      </c>
      <c r="AW29" s="85">
        <v>33140</v>
      </c>
      <c r="AX29" s="85">
        <v>33000</v>
      </c>
      <c r="AY29" s="85">
        <v>32910</v>
      </c>
      <c r="AZ29" s="85">
        <v>32870</v>
      </c>
      <c r="BA29" s="85">
        <v>32880</v>
      </c>
      <c r="BB29" s="85">
        <v>32920</v>
      </c>
      <c r="BC29" s="85">
        <v>32990</v>
      </c>
      <c r="BD29" s="85">
        <v>33080</v>
      </c>
      <c r="BE29" s="85">
        <v>33180</v>
      </c>
      <c r="BF29" s="85">
        <v>33280</v>
      </c>
      <c r="BG29" s="85">
        <v>33370</v>
      </c>
      <c r="BH29" s="85">
        <v>33470</v>
      </c>
      <c r="BI29" s="85">
        <v>33550</v>
      </c>
      <c r="BJ29" s="85">
        <v>33630</v>
      </c>
      <c r="BK29" s="85">
        <v>33710</v>
      </c>
      <c r="BL29" s="85">
        <v>33790</v>
      </c>
    </row>
    <row r="30" spans="1:64" x14ac:dyDescent="0.2">
      <c r="A30" s="29">
        <v>20</v>
      </c>
      <c r="B30" s="85">
        <v>29720</v>
      </c>
      <c r="C30" s="85">
        <v>29030</v>
      </c>
      <c r="D30" s="85">
        <v>30070</v>
      </c>
      <c r="E30" s="85">
        <v>30550</v>
      </c>
      <c r="F30" s="85">
        <v>32200</v>
      </c>
      <c r="G30" s="85">
        <v>32780</v>
      </c>
      <c r="H30" s="85">
        <v>31580</v>
      </c>
      <c r="I30" s="85">
        <v>31590</v>
      </c>
      <c r="J30" s="85">
        <v>31450</v>
      </c>
      <c r="K30" s="85">
        <v>32100</v>
      </c>
      <c r="L30" s="85">
        <v>32500</v>
      </c>
      <c r="M30" s="85">
        <v>33080</v>
      </c>
      <c r="N30" s="85">
        <v>32600</v>
      </c>
      <c r="O30" s="85">
        <v>31960</v>
      </c>
      <c r="P30" s="85">
        <v>32890</v>
      </c>
      <c r="Q30" s="85">
        <v>32240</v>
      </c>
      <c r="R30" s="85">
        <v>30840</v>
      </c>
      <c r="S30" s="85">
        <v>30480</v>
      </c>
      <c r="T30" s="85">
        <v>30960</v>
      </c>
      <c r="U30" s="85">
        <v>30830</v>
      </c>
      <c r="V30" s="85">
        <v>31510</v>
      </c>
      <c r="W30" s="85">
        <v>32800</v>
      </c>
      <c r="X30" s="85">
        <v>34010</v>
      </c>
      <c r="Y30" s="85">
        <v>33650</v>
      </c>
      <c r="Z30" s="85">
        <v>34520</v>
      </c>
      <c r="AA30" s="85">
        <v>34050</v>
      </c>
      <c r="AB30" s="85">
        <v>33570</v>
      </c>
      <c r="AC30" s="85">
        <v>33160</v>
      </c>
      <c r="AD30" s="85">
        <v>32220</v>
      </c>
      <c r="AE30" s="85">
        <v>32150</v>
      </c>
      <c r="AF30" s="85">
        <v>32140</v>
      </c>
      <c r="AG30" s="85">
        <v>32600</v>
      </c>
      <c r="AH30" s="85">
        <v>33170</v>
      </c>
      <c r="AI30" s="85">
        <v>33680</v>
      </c>
      <c r="AJ30" s="85">
        <v>34120</v>
      </c>
      <c r="AK30" s="85">
        <v>34460</v>
      </c>
      <c r="AL30" s="85">
        <v>34690</v>
      </c>
      <c r="AM30" s="85">
        <v>34830</v>
      </c>
      <c r="AN30" s="85">
        <v>34900</v>
      </c>
      <c r="AO30" s="85">
        <v>34900</v>
      </c>
      <c r="AP30" s="85">
        <v>34840</v>
      </c>
      <c r="AQ30" s="85">
        <v>34730</v>
      </c>
      <c r="AR30" s="85">
        <v>34570</v>
      </c>
      <c r="AS30" s="85">
        <v>34380</v>
      </c>
      <c r="AT30" s="85">
        <v>34160</v>
      </c>
      <c r="AU30" s="85">
        <v>33930</v>
      </c>
      <c r="AV30" s="85">
        <v>33700</v>
      </c>
      <c r="AW30" s="85">
        <v>33490</v>
      </c>
      <c r="AX30" s="85">
        <v>33310</v>
      </c>
      <c r="AY30" s="85">
        <v>33170</v>
      </c>
      <c r="AZ30" s="85">
        <v>33080</v>
      </c>
      <c r="BA30" s="85">
        <v>33040</v>
      </c>
      <c r="BB30" s="85">
        <v>33050</v>
      </c>
      <c r="BC30" s="85">
        <v>33090</v>
      </c>
      <c r="BD30" s="85">
        <v>33170</v>
      </c>
      <c r="BE30" s="85">
        <v>33250</v>
      </c>
      <c r="BF30" s="85">
        <v>33350</v>
      </c>
      <c r="BG30" s="85">
        <v>33450</v>
      </c>
      <c r="BH30" s="85">
        <v>33550</v>
      </c>
      <c r="BI30" s="85">
        <v>33640</v>
      </c>
      <c r="BJ30" s="85">
        <v>33720</v>
      </c>
      <c r="BK30" s="85">
        <v>33810</v>
      </c>
      <c r="BL30" s="85">
        <v>33880</v>
      </c>
    </row>
    <row r="31" spans="1:64" x14ac:dyDescent="0.2">
      <c r="A31" s="29">
        <v>21</v>
      </c>
      <c r="B31" s="85">
        <v>29650</v>
      </c>
      <c r="C31" s="85">
        <v>29360</v>
      </c>
      <c r="D31" s="85">
        <v>28760</v>
      </c>
      <c r="E31" s="85">
        <v>29990</v>
      </c>
      <c r="F31" s="85">
        <v>30640</v>
      </c>
      <c r="G31" s="85">
        <v>32110</v>
      </c>
      <c r="H31" s="85">
        <v>32450</v>
      </c>
      <c r="I31" s="85">
        <v>31430</v>
      </c>
      <c r="J31" s="85">
        <v>31920</v>
      </c>
      <c r="K31" s="85">
        <v>32040</v>
      </c>
      <c r="L31" s="85">
        <v>32970</v>
      </c>
      <c r="M31" s="85">
        <v>33110</v>
      </c>
      <c r="N31" s="85">
        <v>33570</v>
      </c>
      <c r="O31" s="85">
        <v>32950</v>
      </c>
      <c r="P31" s="85">
        <v>32190</v>
      </c>
      <c r="Q31" s="85">
        <v>32990</v>
      </c>
      <c r="R31" s="85">
        <v>32210</v>
      </c>
      <c r="S31" s="85">
        <v>30800</v>
      </c>
      <c r="T31" s="85">
        <v>30450</v>
      </c>
      <c r="U31" s="85">
        <v>30930</v>
      </c>
      <c r="V31" s="85">
        <v>30800</v>
      </c>
      <c r="W31" s="85">
        <v>31480</v>
      </c>
      <c r="X31" s="85">
        <v>32760</v>
      </c>
      <c r="Y31" s="85">
        <v>33970</v>
      </c>
      <c r="Z31" s="85">
        <v>33610</v>
      </c>
      <c r="AA31" s="85">
        <v>34490</v>
      </c>
      <c r="AB31" s="85">
        <v>34020</v>
      </c>
      <c r="AC31" s="85">
        <v>33540</v>
      </c>
      <c r="AD31" s="85">
        <v>33120</v>
      </c>
      <c r="AE31" s="85">
        <v>32190</v>
      </c>
      <c r="AF31" s="85">
        <v>32120</v>
      </c>
      <c r="AG31" s="85">
        <v>32100</v>
      </c>
      <c r="AH31" s="85">
        <v>32570</v>
      </c>
      <c r="AI31" s="85">
        <v>33140</v>
      </c>
      <c r="AJ31" s="85">
        <v>33650</v>
      </c>
      <c r="AK31" s="85">
        <v>34080</v>
      </c>
      <c r="AL31" s="85">
        <v>34430</v>
      </c>
      <c r="AM31" s="85">
        <v>34660</v>
      </c>
      <c r="AN31" s="85">
        <v>34800</v>
      </c>
      <c r="AO31" s="85">
        <v>34870</v>
      </c>
      <c r="AP31" s="85">
        <v>34870</v>
      </c>
      <c r="AQ31" s="85">
        <v>34810</v>
      </c>
      <c r="AR31" s="85">
        <v>34700</v>
      </c>
      <c r="AS31" s="85">
        <v>34540</v>
      </c>
      <c r="AT31" s="85">
        <v>34350</v>
      </c>
      <c r="AU31" s="85">
        <v>34130</v>
      </c>
      <c r="AV31" s="85">
        <v>33900</v>
      </c>
      <c r="AW31" s="85">
        <v>33670</v>
      </c>
      <c r="AX31" s="85">
        <v>33460</v>
      </c>
      <c r="AY31" s="85">
        <v>33280</v>
      </c>
      <c r="AZ31" s="85">
        <v>33140</v>
      </c>
      <c r="BA31" s="85">
        <v>33050</v>
      </c>
      <c r="BB31" s="85">
        <v>33010</v>
      </c>
      <c r="BC31" s="85">
        <v>33020</v>
      </c>
      <c r="BD31" s="85">
        <v>33060</v>
      </c>
      <c r="BE31" s="85">
        <v>33130</v>
      </c>
      <c r="BF31" s="85">
        <v>33220</v>
      </c>
      <c r="BG31" s="85">
        <v>33320</v>
      </c>
      <c r="BH31" s="85">
        <v>33420</v>
      </c>
      <c r="BI31" s="85">
        <v>33520</v>
      </c>
      <c r="BJ31" s="85">
        <v>33610</v>
      </c>
      <c r="BK31" s="85">
        <v>33690</v>
      </c>
      <c r="BL31" s="85">
        <v>33780</v>
      </c>
    </row>
    <row r="32" spans="1:64" x14ac:dyDescent="0.2">
      <c r="A32" s="29">
        <v>22</v>
      </c>
      <c r="B32" s="85">
        <v>29240</v>
      </c>
      <c r="C32" s="85">
        <v>29060</v>
      </c>
      <c r="D32" s="85">
        <v>28760</v>
      </c>
      <c r="E32" s="85">
        <v>28500</v>
      </c>
      <c r="F32" s="85">
        <v>29830</v>
      </c>
      <c r="G32" s="85">
        <v>30220</v>
      </c>
      <c r="H32" s="85">
        <v>31400</v>
      </c>
      <c r="I32" s="85">
        <v>32070</v>
      </c>
      <c r="J32" s="85">
        <v>31670</v>
      </c>
      <c r="K32" s="85">
        <v>32500</v>
      </c>
      <c r="L32" s="85">
        <v>32920</v>
      </c>
      <c r="M32" s="85">
        <v>33620</v>
      </c>
      <c r="N32" s="85">
        <v>33580</v>
      </c>
      <c r="O32" s="85">
        <v>33850</v>
      </c>
      <c r="P32" s="85">
        <v>33050</v>
      </c>
      <c r="Q32" s="85">
        <v>32110</v>
      </c>
      <c r="R32" s="85">
        <v>32720</v>
      </c>
      <c r="S32" s="85">
        <v>31940</v>
      </c>
      <c r="T32" s="85">
        <v>30540</v>
      </c>
      <c r="U32" s="85">
        <v>30180</v>
      </c>
      <c r="V32" s="85">
        <v>30660</v>
      </c>
      <c r="W32" s="85">
        <v>30530</v>
      </c>
      <c r="X32" s="85">
        <v>31210</v>
      </c>
      <c r="Y32" s="85">
        <v>32500</v>
      </c>
      <c r="Z32" s="85">
        <v>33710</v>
      </c>
      <c r="AA32" s="85">
        <v>33350</v>
      </c>
      <c r="AB32" s="85">
        <v>34220</v>
      </c>
      <c r="AC32" s="85">
        <v>33750</v>
      </c>
      <c r="AD32" s="85">
        <v>33280</v>
      </c>
      <c r="AE32" s="85">
        <v>32860</v>
      </c>
      <c r="AF32" s="85">
        <v>31930</v>
      </c>
      <c r="AG32" s="85">
        <v>31850</v>
      </c>
      <c r="AH32" s="85">
        <v>31840</v>
      </c>
      <c r="AI32" s="85">
        <v>32310</v>
      </c>
      <c r="AJ32" s="85">
        <v>32880</v>
      </c>
      <c r="AK32" s="85">
        <v>33390</v>
      </c>
      <c r="AL32" s="85">
        <v>33820</v>
      </c>
      <c r="AM32" s="85">
        <v>34160</v>
      </c>
      <c r="AN32" s="85">
        <v>34400</v>
      </c>
      <c r="AO32" s="85">
        <v>34530</v>
      </c>
      <c r="AP32" s="85">
        <v>34600</v>
      </c>
      <c r="AQ32" s="85">
        <v>34610</v>
      </c>
      <c r="AR32" s="85">
        <v>34550</v>
      </c>
      <c r="AS32" s="85">
        <v>34440</v>
      </c>
      <c r="AT32" s="85">
        <v>34280</v>
      </c>
      <c r="AU32" s="85">
        <v>34090</v>
      </c>
      <c r="AV32" s="85">
        <v>33870</v>
      </c>
      <c r="AW32" s="85">
        <v>33640</v>
      </c>
      <c r="AX32" s="85">
        <v>33410</v>
      </c>
      <c r="AY32" s="85">
        <v>33200</v>
      </c>
      <c r="AZ32" s="85">
        <v>33020</v>
      </c>
      <c r="BA32" s="85">
        <v>32880</v>
      </c>
      <c r="BB32" s="85">
        <v>32790</v>
      </c>
      <c r="BC32" s="85">
        <v>32750</v>
      </c>
      <c r="BD32" s="85">
        <v>32760</v>
      </c>
      <c r="BE32" s="85">
        <v>32800</v>
      </c>
      <c r="BF32" s="85">
        <v>32870</v>
      </c>
      <c r="BG32" s="85">
        <v>32960</v>
      </c>
      <c r="BH32" s="85">
        <v>33060</v>
      </c>
      <c r="BI32" s="85">
        <v>33160</v>
      </c>
      <c r="BJ32" s="85">
        <v>33260</v>
      </c>
      <c r="BK32" s="85">
        <v>33350</v>
      </c>
      <c r="BL32" s="85">
        <v>33430</v>
      </c>
    </row>
    <row r="33" spans="1:64" x14ac:dyDescent="0.2">
      <c r="A33" s="29">
        <v>23</v>
      </c>
      <c r="B33" s="85">
        <v>28880</v>
      </c>
      <c r="C33" s="85">
        <v>28650</v>
      </c>
      <c r="D33" s="85">
        <v>28520</v>
      </c>
      <c r="E33" s="85">
        <v>28380</v>
      </c>
      <c r="F33" s="85">
        <v>28400</v>
      </c>
      <c r="G33" s="85">
        <v>29440</v>
      </c>
      <c r="H33" s="85">
        <v>29730</v>
      </c>
      <c r="I33" s="85">
        <v>31030</v>
      </c>
      <c r="J33" s="85">
        <v>32570</v>
      </c>
      <c r="K33" s="85">
        <v>32790</v>
      </c>
      <c r="L33" s="85">
        <v>33920</v>
      </c>
      <c r="M33" s="85">
        <v>33830</v>
      </c>
      <c r="N33" s="85">
        <v>34300</v>
      </c>
      <c r="O33" s="85">
        <v>34020</v>
      </c>
      <c r="P33" s="85">
        <v>34060</v>
      </c>
      <c r="Q33" s="85">
        <v>33030</v>
      </c>
      <c r="R33" s="85">
        <v>31840</v>
      </c>
      <c r="S33" s="85">
        <v>32460</v>
      </c>
      <c r="T33" s="85">
        <v>31680</v>
      </c>
      <c r="U33" s="85">
        <v>30280</v>
      </c>
      <c r="V33" s="85">
        <v>29920</v>
      </c>
      <c r="W33" s="85">
        <v>30400</v>
      </c>
      <c r="X33" s="85">
        <v>30270</v>
      </c>
      <c r="Y33" s="85">
        <v>30950</v>
      </c>
      <c r="Z33" s="85">
        <v>32240</v>
      </c>
      <c r="AA33" s="85">
        <v>33440</v>
      </c>
      <c r="AB33" s="85">
        <v>33090</v>
      </c>
      <c r="AC33" s="85">
        <v>33960</v>
      </c>
      <c r="AD33" s="85">
        <v>33490</v>
      </c>
      <c r="AE33" s="85">
        <v>33020</v>
      </c>
      <c r="AF33" s="85">
        <v>32600</v>
      </c>
      <c r="AG33" s="85">
        <v>31670</v>
      </c>
      <c r="AH33" s="85">
        <v>31590</v>
      </c>
      <c r="AI33" s="85">
        <v>31580</v>
      </c>
      <c r="AJ33" s="85">
        <v>32050</v>
      </c>
      <c r="AK33" s="85">
        <v>32620</v>
      </c>
      <c r="AL33" s="85">
        <v>33130</v>
      </c>
      <c r="AM33" s="85">
        <v>33560</v>
      </c>
      <c r="AN33" s="85">
        <v>33900</v>
      </c>
      <c r="AO33" s="85">
        <v>34140</v>
      </c>
      <c r="AP33" s="85">
        <v>34270</v>
      </c>
      <c r="AQ33" s="85">
        <v>34340</v>
      </c>
      <c r="AR33" s="85">
        <v>34350</v>
      </c>
      <c r="AS33" s="85">
        <v>34290</v>
      </c>
      <c r="AT33" s="85">
        <v>34180</v>
      </c>
      <c r="AU33" s="85">
        <v>34020</v>
      </c>
      <c r="AV33" s="85">
        <v>33830</v>
      </c>
      <c r="AW33" s="85">
        <v>33610</v>
      </c>
      <c r="AX33" s="85">
        <v>33380</v>
      </c>
      <c r="AY33" s="85">
        <v>33150</v>
      </c>
      <c r="AZ33" s="85">
        <v>32940</v>
      </c>
      <c r="BA33" s="85">
        <v>32760</v>
      </c>
      <c r="BB33" s="85">
        <v>32620</v>
      </c>
      <c r="BC33" s="85">
        <v>32530</v>
      </c>
      <c r="BD33" s="85">
        <v>32490</v>
      </c>
      <c r="BE33" s="85">
        <v>32500</v>
      </c>
      <c r="BF33" s="85">
        <v>32540</v>
      </c>
      <c r="BG33" s="85">
        <v>32620</v>
      </c>
      <c r="BH33" s="85">
        <v>32700</v>
      </c>
      <c r="BI33" s="85">
        <v>32800</v>
      </c>
      <c r="BJ33" s="85">
        <v>32900</v>
      </c>
      <c r="BK33" s="85">
        <v>33000</v>
      </c>
      <c r="BL33" s="85">
        <v>33090</v>
      </c>
    </row>
    <row r="34" spans="1:64" x14ac:dyDescent="0.2">
      <c r="A34" s="29">
        <v>24</v>
      </c>
      <c r="B34" s="85">
        <v>27860</v>
      </c>
      <c r="C34" s="85">
        <v>28440</v>
      </c>
      <c r="D34" s="85">
        <v>28250</v>
      </c>
      <c r="E34" s="85">
        <v>28310</v>
      </c>
      <c r="F34" s="85">
        <v>28250</v>
      </c>
      <c r="G34" s="85">
        <v>28180</v>
      </c>
      <c r="H34" s="85">
        <v>29140</v>
      </c>
      <c r="I34" s="85">
        <v>29620</v>
      </c>
      <c r="J34" s="85">
        <v>31710</v>
      </c>
      <c r="K34" s="85">
        <v>33770</v>
      </c>
      <c r="L34" s="85">
        <v>34330</v>
      </c>
      <c r="M34" s="85">
        <v>35080</v>
      </c>
      <c r="N34" s="85">
        <v>34740</v>
      </c>
      <c r="O34" s="85">
        <v>34970</v>
      </c>
      <c r="P34" s="85">
        <v>34440</v>
      </c>
      <c r="Q34" s="85">
        <v>34230</v>
      </c>
      <c r="R34" s="85">
        <v>32950</v>
      </c>
      <c r="S34" s="85">
        <v>31770</v>
      </c>
      <c r="T34" s="85">
        <v>32380</v>
      </c>
      <c r="U34" s="85">
        <v>31600</v>
      </c>
      <c r="V34" s="85">
        <v>30200</v>
      </c>
      <c r="W34" s="85">
        <v>29840</v>
      </c>
      <c r="X34" s="85">
        <v>30330</v>
      </c>
      <c r="Y34" s="85">
        <v>30200</v>
      </c>
      <c r="Z34" s="85">
        <v>30880</v>
      </c>
      <c r="AA34" s="85">
        <v>32160</v>
      </c>
      <c r="AB34" s="85">
        <v>33370</v>
      </c>
      <c r="AC34" s="85">
        <v>33010</v>
      </c>
      <c r="AD34" s="85">
        <v>33880</v>
      </c>
      <c r="AE34" s="85">
        <v>33410</v>
      </c>
      <c r="AF34" s="85">
        <v>32940</v>
      </c>
      <c r="AG34" s="85">
        <v>32520</v>
      </c>
      <c r="AH34" s="85">
        <v>31590</v>
      </c>
      <c r="AI34" s="85">
        <v>31520</v>
      </c>
      <c r="AJ34" s="85">
        <v>31510</v>
      </c>
      <c r="AK34" s="85">
        <v>31970</v>
      </c>
      <c r="AL34" s="85">
        <v>32540</v>
      </c>
      <c r="AM34" s="85">
        <v>33050</v>
      </c>
      <c r="AN34" s="85">
        <v>33490</v>
      </c>
      <c r="AO34" s="85">
        <v>33830</v>
      </c>
      <c r="AP34" s="85">
        <v>34060</v>
      </c>
      <c r="AQ34" s="85">
        <v>34200</v>
      </c>
      <c r="AR34" s="85">
        <v>34270</v>
      </c>
      <c r="AS34" s="85">
        <v>34270</v>
      </c>
      <c r="AT34" s="85">
        <v>34210</v>
      </c>
      <c r="AU34" s="85">
        <v>34100</v>
      </c>
      <c r="AV34" s="85">
        <v>33950</v>
      </c>
      <c r="AW34" s="85">
        <v>33750</v>
      </c>
      <c r="AX34" s="85">
        <v>33540</v>
      </c>
      <c r="AY34" s="85">
        <v>33310</v>
      </c>
      <c r="AZ34" s="85">
        <v>33080</v>
      </c>
      <c r="BA34" s="85">
        <v>32870</v>
      </c>
      <c r="BB34" s="85">
        <v>32690</v>
      </c>
      <c r="BC34" s="85">
        <v>32550</v>
      </c>
      <c r="BD34" s="85">
        <v>32460</v>
      </c>
      <c r="BE34" s="85">
        <v>32420</v>
      </c>
      <c r="BF34" s="85">
        <v>32420</v>
      </c>
      <c r="BG34" s="85">
        <v>32470</v>
      </c>
      <c r="BH34" s="85">
        <v>32540</v>
      </c>
      <c r="BI34" s="85">
        <v>32630</v>
      </c>
      <c r="BJ34" s="85">
        <v>32730</v>
      </c>
      <c r="BK34" s="85">
        <v>32830</v>
      </c>
      <c r="BL34" s="85">
        <v>32930</v>
      </c>
    </row>
    <row r="35" spans="1:64" x14ac:dyDescent="0.2">
      <c r="A35" s="29">
        <v>25</v>
      </c>
      <c r="B35" s="85">
        <v>27140</v>
      </c>
      <c r="C35" s="85">
        <v>27660</v>
      </c>
      <c r="D35" s="85">
        <v>28050</v>
      </c>
      <c r="E35" s="85">
        <v>28170</v>
      </c>
      <c r="F35" s="85">
        <v>28260</v>
      </c>
      <c r="G35" s="85">
        <v>28120</v>
      </c>
      <c r="H35" s="85">
        <v>28030</v>
      </c>
      <c r="I35" s="85">
        <v>29240</v>
      </c>
      <c r="J35" s="85">
        <v>30420</v>
      </c>
      <c r="K35" s="85">
        <v>32930</v>
      </c>
      <c r="L35" s="85">
        <v>35480</v>
      </c>
      <c r="M35" s="85">
        <v>35670</v>
      </c>
      <c r="N35" s="85">
        <v>36180</v>
      </c>
      <c r="O35" s="85">
        <v>35600</v>
      </c>
      <c r="P35" s="85">
        <v>35570</v>
      </c>
      <c r="Q35" s="85">
        <v>34800</v>
      </c>
      <c r="R35" s="85">
        <v>34340</v>
      </c>
      <c r="S35" s="85">
        <v>33060</v>
      </c>
      <c r="T35" s="85">
        <v>31880</v>
      </c>
      <c r="U35" s="85">
        <v>32490</v>
      </c>
      <c r="V35" s="85">
        <v>31720</v>
      </c>
      <c r="W35" s="85">
        <v>30310</v>
      </c>
      <c r="X35" s="85">
        <v>29960</v>
      </c>
      <c r="Y35" s="85">
        <v>30440</v>
      </c>
      <c r="Z35" s="85">
        <v>30310</v>
      </c>
      <c r="AA35" s="85">
        <v>30990</v>
      </c>
      <c r="AB35" s="85">
        <v>32280</v>
      </c>
      <c r="AC35" s="85">
        <v>33480</v>
      </c>
      <c r="AD35" s="85">
        <v>33130</v>
      </c>
      <c r="AE35" s="85">
        <v>34000</v>
      </c>
      <c r="AF35" s="85">
        <v>33530</v>
      </c>
      <c r="AG35" s="85">
        <v>33060</v>
      </c>
      <c r="AH35" s="85">
        <v>32640</v>
      </c>
      <c r="AI35" s="85">
        <v>31710</v>
      </c>
      <c r="AJ35" s="85">
        <v>31630</v>
      </c>
      <c r="AK35" s="85">
        <v>31620</v>
      </c>
      <c r="AL35" s="85">
        <v>32090</v>
      </c>
      <c r="AM35" s="85">
        <v>32660</v>
      </c>
      <c r="AN35" s="85">
        <v>33170</v>
      </c>
      <c r="AO35" s="85">
        <v>33600</v>
      </c>
      <c r="AP35" s="85">
        <v>33950</v>
      </c>
      <c r="AQ35" s="85">
        <v>34180</v>
      </c>
      <c r="AR35" s="85">
        <v>34320</v>
      </c>
      <c r="AS35" s="85">
        <v>34390</v>
      </c>
      <c r="AT35" s="85">
        <v>34390</v>
      </c>
      <c r="AU35" s="85">
        <v>34330</v>
      </c>
      <c r="AV35" s="85">
        <v>34220</v>
      </c>
      <c r="AW35" s="85">
        <v>34070</v>
      </c>
      <c r="AX35" s="85">
        <v>33870</v>
      </c>
      <c r="AY35" s="85">
        <v>33660</v>
      </c>
      <c r="AZ35" s="85">
        <v>33420</v>
      </c>
      <c r="BA35" s="85">
        <v>33200</v>
      </c>
      <c r="BB35" s="85">
        <v>32990</v>
      </c>
      <c r="BC35" s="85">
        <v>32800</v>
      </c>
      <c r="BD35" s="85">
        <v>32670</v>
      </c>
      <c r="BE35" s="85">
        <v>32580</v>
      </c>
      <c r="BF35" s="85">
        <v>32540</v>
      </c>
      <c r="BG35" s="85">
        <v>32540</v>
      </c>
      <c r="BH35" s="85">
        <v>32590</v>
      </c>
      <c r="BI35" s="85">
        <v>32660</v>
      </c>
      <c r="BJ35" s="85">
        <v>32750</v>
      </c>
      <c r="BK35" s="85">
        <v>32850</v>
      </c>
      <c r="BL35" s="85">
        <v>32950</v>
      </c>
    </row>
    <row r="36" spans="1:64" x14ac:dyDescent="0.2">
      <c r="A36" s="29">
        <v>26</v>
      </c>
      <c r="B36" s="85">
        <v>26810</v>
      </c>
      <c r="C36" s="85">
        <v>27200</v>
      </c>
      <c r="D36" s="85">
        <v>27510</v>
      </c>
      <c r="E36" s="85">
        <v>28030</v>
      </c>
      <c r="F36" s="85">
        <v>28290</v>
      </c>
      <c r="G36" s="85">
        <v>28060</v>
      </c>
      <c r="H36" s="85">
        <v>27980</v>
      </c>
      <c r="I36" s="85">
        <v>28240</v>
      </c>
      <c r="J36" s="85">
        <v>30220</v>
      </c>
      <c r="K36" s="85">
        <v>31810</v>
      </c>
      <c r="L36" s="85">
        <v>34670</v>
      </c>
      <c r="M36" s="85">
        <v>36840</v>
      </c>
      <c r="N36" s="85">
        <v>36810</v>
      </c>
      <c r="O36" s="85">
        <v>37100</v>
      </c>
      <c r="P36" s="85">
        <v>36300</v>
      </c>
      <c r="Q36" s="85">
        <v>36060</v>
      </c>
      <c r="R36" s="85">
        <v>35070</v>
      </c>
      <c r="S36" s="85">
        <v>34610</v>
      </c>
      <c r="T36" s="85">
        <v>33330</v>
      </c>
      <c r="U36" s="85">
        <v>32150</v>
      </c>
      <c r="V36" s="85">
        <v>32760</v>
      </c>
      <c r="W36" s="85">
        <v>31980</v>
      </c>
      <c r="X36" s="85">
        <v>30580</v>
      </c>
      <c r="Y36" s="85">
        <v>30230</v>
      </c>
      <c r="Z36" s="85">
        <v>30710</v>
      </c>
      <c r="AA36" s="85">
        <v>30580</v>
      </c>
      <c r="AB36" s="85">
        <v>31260</v>
      </c>
      <c r="AC36" s="85">
        <v>32550</v>
      </c>
      <c r="AD36" s="85">
        <v>33750</v>
      </c>
      <c r="AE36" s="85">
        <v>33390</v>
      </c>
      <c r="AF36" s="85">
        <v>34270</v>
      </c>
      <c r="AG36" s="85">
        <v>33800</v>
      </c>
      <c r="AH36" s="85">
        <v>33330</v>
      </c>
      <c r="AI36" s="85">
        <v>32910</v>
      </c>
      <c r="AJ36" s="85">
        <v>31980</v>
      </c>
      <c r="AK36" s="85">
        <v>31910</v>
      </c>
      <c r="AL36" s="85">
        <v>31890</v>
      </c>
      <c r="AM36" s="85">
        <v>32360</v>
      </c>
      <c r="AN36" s="85">
        <v>32930</v>
      </c>
      <c r="AO36" s="85">
        <v>33440</v>
      </c>
      <c r="AP36" s="85">
        <v>33870</v>
      </c>
      <c r="AQ36" s="85">
        <v>34220</v>
      </c>
      <c r="AR36" s="85">
        <v>34450</v>
      </c>
      <c r="AS36" s="85">
        <v>34590</v>
      </c>
      <c r="AT36" s="85">
        <v>34660</v>
      </c>
      <c r="AU36" s="85">
        <v>34660</v>
      </c>
      <c r="AV36" s="85">
        <v>34600</v>
      </c>
      <c r="AW36" s="85">
        <v>34490</v>
      </c>
      <c r="AX36" s="85">
        <v>34340</v>
      </c>
      <c r="AY36" s="85">
        <v>34150</v>
      </c>
      <c r="AZ36" s="85">
        <v>33930</v>
      </c>
      <c r="BA36" s="85">
        <v>33700</v>
      </c>
      <c r="BB36" s="85">
        <v>33470</v>
      </c>
      <c r="BC36" s="85">
        <v>33260</v>
      </c>
      <c r="BD36" s="85">
        <v>33080</v>
      </c>
      <c r="BE36" s="85">
        <v>32940</v>
      </c>
      <c r="BF36" s="85">
        <v>32850</v>
      </c>
      <c r="BG36" s="85">
        <v>32810</v>
      </c>
      <c r="BH36" s="85">
        <v>32820</v>
      </c>
      <c r="BI36" s="85">
        <v>32860</v>
      </c>
      <c r="BJ36" s="85">
        <v>32940</v>
      </c>
      <c r="BK36" s="85">
        <v>33020</v>
      </c>
      <c r="BL36" s="85">
        <v>33120</v>
      </c>
    </row>
    <row r="37" spans="1:64" x14ac:dyDescent="0.2">
      <c r="A37" s="29">
        <v>27</v>
      </c>
      <c r="B37" s="85">
        <v>26790</v>
      </c>
      <c r="C37" s="85">
        <v>26970</v>
      </c>
      <c r="D37" s="85">
        <v>27250</v>
      </c>
      <c r="E37" s="85">
        <v>27710</v>
      </c>
      <c r="F37" s="85">
        <v>28270</v>
      </c>
      <c r="G37" s="85">
        <v>28130</v>
      </c>
      <c r="H37" s="85">
        <v>28050</v>
      </c>
      <c r="I37" s="85">
        <v>28080</v>
      </c>
      <c r="J37" s="85">
        <v>29170</v>
      </c>
      <c r="K37" s="85">
        <v>31530</v>
      </c>
      <c r="L37" s="85">
        <v>33300</v>
      </c>
      <c r="M37" s="85">
        <v>35960</v>
      </c>
      <c r="N37" s="85">
        <v>37940</v>
      </c>
      <c r="O37" s="85">
        <v>37730</v>
      </c>
      <c r="P37" s="85">
        <v>37830</v>
      </c>
      <c r="Q37" s="85">
        <v>36840</v>
      </c>
      <c r="R37" s="85">
        <v>36410</v>
      </c>
      <c r="S37" s="85">
        <v>35420</v>
      </c>
      <c r="T37" s="85">
        <v>34970</v>
      </c>
      <c r="U37" s="85">
        <v>33680</v>
      </c>
      <c r="V37" s="85">
        <v>32500</v>
      </c>
      <c r="W37" s="85">
        <v>33120</v>
      </c>
      <c r="X37" s="85">
        <v>32340</v>
      </c>
      <c r="Y37" s="85">
        <v>30940</v>
      </c>
      <c r="Z37" s="85">
        <v>30590</v>
      </c>
      <c r="AA37" s="85">
        <v>31070</v>
      </c>
      <c r="AB37" s="85">
        <v>30940</v>
      </c>
      <c r="AC37" s="85">
        <v>31620</v>
      </c>
      <c r="AD37" s="85">
        <v>32900</v>
      </c>
      <c r="AE37" s="85">
        <v>34110</v>
      </c>
      <c r="AF37" s="85">
        <v>33750</v>
      </c>
      <c r="AG37" s="85">
        <v>34630</v>
      </c>
      <c r="AH37" s="85">
        <v>34160</v>
      </c>
      <c r="AI37" s="85">
        <v>33680</v>
      </c>
      <c r="AJ37" s="85">
        <v>33270</v>
      </c>
      <c r="AK37" s="85">
        <v>32340</v>
      </c>
      <c r="AL37" s="85">
        <v>32260</v>
      </c>
      <c r="AM37" s="85">
        <v>32250</v>
      </c>
      <c r="AN37" s="85">
        <v>32720</v>
      </c>
      <c r="AO37" s="85">
        <v>33290</v>
      </c>
      <c r="AP37" s="85">
        <v>33800</v>
      </c>
      <c r="AQ37" s="85">
        <v>34230</v>
      </c>
      <c r="AR37" s="85">
        <v>34580</v>
      </c>
      <c r="AS37" s="85">
        <v>34810</v>
      </c>
      <c r="AT37" s="85">
        <v>34950</v>
      </c>
      <c r="AU37" s="85">
        <v>35020</v>
      </c>
      <c r="AV37" s="85">
        <v>35020</v>
      </c>
      <c r="AW37" s="85">
        <v>34960</v>
      </c>
      <c r="AX37" s="85">
        <v>34850</v>
      </c>
      <c r="AY37" s="85">
        <v>34700</v>
      </c>
      <c r="AZ37" s="85">
        <v>34510</v>
      </c>
      <c r="BA37" s="85">
        <v>34290</v>
      </c>
      <c r="BB37" s="85">
        <v>34060</v>
      </c>
      <c r="BC37" s="85">
        <v>33830</v>
      </c>
      <c r="BD37" s="85">
        <v>33620</v>
      </c>
      <c r="BE37" s="85">
        <v>33440</v>
      </c>
      <c r="BF37" s="85">
        <v>33300</v>
      </c>
      <c r="BG37" s="85">
        <v>33210</v>
      </c>
      <c r="BH37" s="85">
        <v>33170</v>
      </c>
      <c r="BI37" s="85">
        <v>33180</v>
      </c>
      <c r="BJ37" s="85">
        <v>33220</v>
      </c>
      <c r="BK37" s="85">
        <v>33300</v>
      </c>
      <c r="BL37" s="85">
        <v>33390</v>
      </c>
    </row>
    <row r="38" spans="1:64" x14ac:dyDescent="0.2">
      <c r="A38" s="29">
        <v>28</v>
      </c>
      <c r="B38" s="85">
        <v>26050</v>
      </c>
      <c r="C38" s="85">
        <v>27100</v>
      </c>
      <c r="D38" s="85">
        <v>27180</v>
      </c>
      <c r="E38" s="85">
        <v>27540</v>
      </c>
      <c r="F38" s="85">
        <v>27920</v>
      </c>
      <c r="G38" s="85">
        <v>28350</v>
      </c>
      <c r="H38" s="85">
        <v>28130</v>
      </c>
      <c r="I38" s="85">
        <v>28290</v>
      </c>
      <c r="J38" s="85">
        <v>28870</v>
      </c>
      <c r="K38" s="85">
        <v>30450</v>
      </c>
      <c r="L38" s="85">
        <v>33160</v>
      </c>
      <c r="M38" s="85">
        <v>34540</v>
      </c>
      <c r="N38" s="85">
        <v>37030</v>
      </c>
      <c r="O38" s="85">
        <v>38850</v>
      </c>
      <c r="P38" s="85">
        <v>38480</v>
      </c>
      <c r="Q38" s="85">
        <v>38420</v>
      </c>
      <c r="R38" s="85">
        <v>37270</v>
      </c>
      <c r="S38" s="85">
        <v>36850</v>
      </c>
      <c r="T38" s="85">
        <v>35860</v>
      </c>
      <c r="U38" s="85">
        <v>35400</v>
      </c>
      <c r="V38" s="85">
        <v>34120</v>
      </c>
      <c r="W38" s="85">
        <v>32940</v>
      </c>
      <c r="X38" s="85">
        <v>33550</v>
      </c>
      <c r="Y38" s="85">
        <v>32770</v>
      </c>
      <c r="Z38" s="85">
        <v>31380</v>
      </c>
      <c r="AA38" s="85">
        <v>31020</v>
      </c>
      <c r="AB38" s="85">
        <v>31500</v>
      </c>
      <c r="AC38" s="85">
        <v>31380</v>
      </c>
      <c r="AD38" s="85">
        <v>32050</v>
      </c>
      <c r="AE38" s="85">
        <v>33340</v>
      </c>
      <c r="AF38" s="85">
        <v>34550</v>
      </c>
      <c r="AG38" s="85">
        <v>34190</v>
      </c>
      <c r="AH38" s="85">
        <v>35060</v>
      </c>
      <c r="AI38" s="85">
        <v>34590</v>
      </c>
      <c r="AJ38" s="85">
        <v>34120</v>
      </c>
      <c r="AK38" s="85">
        <v>33710</v>
      </c>
      <c r="AL38" s="85">
        <v>32770</v>
      </c>
      <c r="AM38" s="85">
        <v>32700</v>
      </c>
      <c r="AN38" s="85">
        <v>32690</v>
      </c>
      <c r="AO38" s="85">
        <v>33160</v>
      </c>
      <c r="AP38" s="85">
        <v>33720</v>
      </c>
      <c r="AQ38" s="85">
        <v>34240</v>
      </c>
      <c r="AR38" s="85">
        <v>34670</v>
      </c>
      <c r="AS38" s="85">
        <v>35010</v>
      </c>
      <c r="AT38" s="85">
        <v>35250</v>
      </c>
      <c r="AU38" s="85">
        <v>35380</v>
      </c>
      <c r="AV38" s="85">
        <v>35460</v>
      </c>
      <c r="AW38" s="85">
        <v>35460</v>
      </c>
      <c r="AX38" s="85">
        <v>35400</v>
      </c>
      <c r="AY38" s="85">
        <v>35290</v>
      </c>
      <c r="AZ38" s="85">
        <v>35130</v>
      </c>
      <c r="BA38" s="85">
        <v>34940</v>
      </c>
      <c r="BB38" s="85">
        <v>34730</v>
      </c>
      <c r="BC38" s="85">
        <v>34490</v>
      </c>
      <c r="BD38" s="85">
        <v>34270</v>
      </c>
      <c r="BE38" s="85">
        <v>34060</v>
      </c>
      <c r="BF38" s="85">
        <v>33880</v>
      </c>
      <c r="BG38" s="85">
        <v>33740</v>
      </c>
      <c r="BH38" s="85">
        <v>33650</v>
      </c>
      <c r="BI38" s="85">
        <v>33610</v>
      </c>
      <c r="BJ38" s="85">
        <v>33620</v>
      </c>
      <c r="BK38" s="85">
        <v>33660</v>
      </c>
      <c r="BL38" s="85">
        <v>33740</v>
      </c>
    </row>
    <row r="39" spans="1:64" x14ac:dyDescent="0.2">
      <c r="A39" s="29">
        <v>29</v>
      </c>
      <c r="B39" s="85">
        <v>26810</v>
      </c>
      <c r="C39" s="85">
        <v>26550</v>
      </c>
      <c r="D39" s="85">
        <v>27440</v>
      </c>
      <c r="E39" s="85">
        <v>27550</v>
      </c>
      <c r="F39" s="85">
        <v>27810</v>
      </c>
      <c r="G39" s="85">
        <v>28140</v>
      </c>
      <c r="H39" s="85">
        <v>28370</v>
      </c>
      <c r="I39" s="85">
        <v>28300</v>
      </c>
      <c r="J39" s="85">
        <v>29190</v>
      </c>
      <c r="K39" s="85">
        <v>30040</v>
      </c>
      <c r="L39" s="85">
        <v>31800</v>
      </c>
      <c r="M39" s="85">
        <v>34330</v>
      </c>
      <c r="N39" s="85">
        <v>35570</v>
      </c>
      <c r="O39" s="85">
        <v>37930</v>
      </c>
      <c r="P39" s="85">
        <v>39620</v>
      </c>
      <c r="Q39" s="85">
        <v>39110</v>
      </c>
      <c r="R39" s="85">
        <v>38920</v>
      </c>
      <c r="S39" s="85">
        <v>37770</v>
      </c>
      <c r="T39" s="85">
        <v>37340</v>
      </c>
      <c r="U39" s="85">
        <v>36350</v>
      </c>
      <c r="V39" s="85">
        <v>35890</v>
      </c>
      <c r="W39" s="85">
        <v>34610</v>
      </c>
      <c r="X39" s="85">
        <v>33440</v>
      </c>
      <c r="Y39" s="85">
        <v>34050</v>
      </c>
      <c r="Z39" s="85">
        <v>33270</v>
      </c>
      <c r="AA39" s="85">
        <v>31870</v>
      </c>
      <c r="AB39" s="85">
        <v>31520</v>
      </c>
      <c r="AC39" s="85">
        <v>32000</v>
      </c>
      <c r="AD39" s="85">
        <v>31870</v>
      </c>
      <c r="AE39" s="85">
        <v>32550</v>
      </c>
      <c r="AF39" s="85">
        <v>33840</v>
      </c>
      <c r="AG39" s="85">
        <v>35040</v>
      </c>
      <c r="AH39" s="85">
        <v>34690</v>
      </c>
      <c r="AI39" s="85">
        <v>35560</v>
      </c>
      <c r="AJ39" s="85">
        <v>35090</v>
      </c>
      <c r="AK39" s="85">
        <v>34620</v>
      </c>
      <c r="AL39" s="85">
        <v>34200</v>
      </c>
      <c r="AM39" s="85">
        <v>33270</v>
      </c>
      <c r="AN39" s="85">
        <v>33200</v>
      </c>
      <c r="AO39" s="85">
        <v>33190</v>
      </c>
      <c r="AP39" s="85">
        <v>33650</v>
      </c>
      <c r="AQ39" s="85">
        <v>34220</v>
      </c>
      <c r="AR39" s="85">
        <v>34730</v>
      </c>
      <c r="AS39" s="85">
        <v>35170</v>
      </c>
      <c r="AT39" s="85">
        <v>35510</v>
      </c>
      <c r="AU39" s="85">
        <v>35740</v>
      </c>
      <c r="AV39" s="85">
        <v>35880</v>
      </c>
      <c r="AW39" s="85">
        <v>35950</v>
      </c>
      <c r="AX39" s="85">
        <v>35960</v>
      </c>
      <c r="AY39" s="85">
        <v>35900</v>
      </c>
      <c r="AZ39" s="85">
        <v>35790</v>
      </c>
      <c r="BA39" s="85">
        <v>35630</v>
      </c>
      <c r="BB39" s="85">
        <v>35440</v>
      </c>
      <c r="BC39" s="85">
        <v>35230</v>
      </c>
      <c r="BD39" s="85">
        <v>34990</v>
      </c>
      <c r="BE39" s="85">
        <v>34770</v>
      </c>
      <c r="BF39" s="85">
        <v>34560</v>
      </c>
      <c r="BG39" s="85">
        <v>34380</v>
      </c>
      <c r="BH39" s="85">
        <v>34240</v>
      </c>
      <c r="BI39" s="85">
        <v>34150</v>
      </c>
      <c r="BJ39" s="85">
        <v>34110</v>
      </c>
      <c r="BK39" s="85">
        <v>34120</v>
      </c>
      <c r="BL39" s="85">
        <v>34160</v>
      </c>
    </row>
    <row r="40" spans="1:64" x14ac:dyDescent="0.2">
      <c r="A40" s="29">
        <v>30</v>
      </c>
      <c r="B40" s="85">
        <v>27080</v>
      </c>
      <c r="C40" s="85">
        <v>27260</v>
      </c>
      <c r="D40" s="85">
        <v>26940</v>
      </c>
      <c r="E40" s="85">
        <v>27910</v>
      </c>
      <c r="F40" s="85">
        <v>28010</v>
      </c>
      <c r="G40" s="85">
        <v>27920</v>
      </c>
      <c r="H40" s="85">
        <v>28260</v>
      </c>
      <c r="I40" s="85">
        <v>28630</v>
      </c>
      <c r="J40" s="85">
        <v>29130</v>
      </c>
      <c r="K40" s="85">
        <v>30240</v>
      </c>
      <c r="L40" s="85">
        <v>31340</v>
      </c>
      <c r="M40" s="85">
        <v>32850</v>
      </c>
      <c r="N40" s="85">
        <v>35250</v>
      </c>
      <c r="O40" s="85">
        <v>36380</v>
      </c>
      <c r="P40" s="85">
        <v>38610</v>
      </c>
      <c r="Q40" s="85">
        <v>40180</v>
      </c>
      <c r="R40" s="85">
        <v>39560</v>
      </c>
      <c r="S40" s="85">
        <v>39360</v>
      </c>
      <c r="T40" s="85">
        <v>38210</v>
      </c>
      <c r="U40" s="85">
        <v>37790</v>
      </c>
      <c r="V40" s="85">
        <v>36800</v>
      </c>
      <c r="W40" s="85">
        <v>36340</v>
      </c>
      <c r="X40" s="85">
        <v>35060</v>
      </c>
      <c r="Y40" s="85">
        <v>33880</v>
      </c>
      <c r="Z40" s="85">
        <v>34500</v>
      </c>
      <c r="AA40" s="85">
        <v>33720</v>
      </c>
      <c r="AB40" s="85">
        <v>32320</v>
      </c>
      <c r="AC40" s="85">
        <v>31970</v>
      </c>
      <c r="AD40" s="85">
        <v>32450</v>
      </c>
      <c r="AE40" s="85">
        <v>32320</v>
      </c>
      <c r="AF40" s="85">
        <v>33000</v>
      </c>
      <c r="AG40" s="85">
        <v>34280</v>
      </c>
      <c r="AH40" s="85">
        <v>35490</v>
      </c>
      <c r="AI40" s="85">
        <v>35130</v>
      </c>
      <c r="AJ40" s="85">
        <v>36010</v>
      </c>
      <c r="AK40" s="85">
        <v>35540</v>
      </c>
      <c r="AL40" s="85">
        <v>35070</v>
      </c>
      <c r="AM40" s="85">
        <v>34650</v>
      </c>
      <c r="AN40" s="85">
        <v>33720</v>
      </c>
      <c r="AO40" s="85">
        <v>33650</v>
      </c>
      <c r="AP40" s="85">
        <v>33640</v>
      </c>
      <c r="AQ40" s="85">
        <v>34100</v>
      </c>
      <c r="AR40" s="85">
        <v>34670</v>
      </c>
      <c r="AS40" s="85">
        <v>35180</v>
      </c>
      <c r="AT40" s="85">
        <v>35620</v>
      </c>
      <c r="AU40" s="85">
        <v>35960</v>
      </c>
      <c r="AV40" s="85">
        <v>36190</v>
      </c>
      <c r="AW40" s="85">
        <v>36330</v>
      </c>
      <c r="AX40" s="85">
        <v>36400</v>
      </c>
      <c r="AY40" s="85">
        <v>36410</v>
      </c>
      <c r="AZ40" s="85">
        <v>36350</v>
      </c>
      <c r="BA40" s="85">
        <v>36240</v>
      </c>
      <c r="BB40" s="85">
        <v>36080</v>
      </c>
      <c r="BC40" s="85">
        <v>35890</v>
      </c>
      <c r="BD40" s="85">
        <v>35680</v>
      </c>
      <c r="BE40" s="85">
        <v>35440</v>
      </c>
      <c r="BF40" s="85">
        <v>35220</v>
      </c>
      <c r="BG40" s="85">
        <v>35010</v>
      </c>
      <c r="BH40" s="85">
        <v>34830</v>
      </c>
      <c r="BI40" s="85">
        <v>34690</v>
      </c>
      <c r="BJ40" s="85">
        <v>34600</v>
      </c>
      <c r="BK40" s="85">
        <v>34560</v>
      </c>
      <c r="BL40" s="85">
        <v>34570</v>
      </c>
    </row>
    <row r="41" spans="1:64" x14ac:dyDescent="0.2">
      <c r="A41" s="29">
        <v>31</v>
      </c>
      <c r="B41" s="85">
        <v>28670</v>
      </c>
      <c r="C41" s="85">
        <v>27610</v>
      </c>
      <c r="D41" s="85">
        <v>27590</v>
      </c>
      <c r="E41" s="85">
        <v>27380</v>
      </c>
      <c r="F41" s="85">
        <v>28230</v>
      </c>
      <c r="G41" s="85">
        <v>28200</v>
      </c>
      <c r="H41" s="85">
        <v>28030</v>
      </c>
      <c r="I41" s="85">
        <v>28510</v>
      </c>
      <c r="J41" s="85">
        <v>29290</v>
      </c>
      <c r="K41" s="85">
        <v>30040</v>
      </c>
      <c r="L41" s="85">
        <v>31460</v>
      </c>
      <c r="M41" s="85">
        <v>32280</v>
      </c>
      <c r="N41" s="85">
        <v>33680</v>
      </c>
      <c r="O41" s="85">
        <v>35960</v>
      </c>
      <c r="P41" s="85">
        <v>36970</v>
      </c>
      <c r="Q41" s="85">
        <v>39090</v>
      </c>
      <c r="R41" s="85">
        <v>40540</v>
      </c>
      <c r="S41" s="85">
        <v>39920</v>
      </c>
      <c r="T41" s="85">
        <v>39720</v>
      </c>
      <c r="U41" s="85">
        <v>38580</v>
      </c>
      <c r="V41" s="85">
        <v>38150</v>
      </c>
      <c r="W41" s="85">
        <v>37160</v>
      </c>
      <c r="X41" s="85">
        <v>36700</v>
      </c>
      <c r="Y41" s="85">
        <v>35420</v>
      </c>
      <c r="Z41" s="85">
        <v>34250</v>
      </c>
      <c r="AA41" s="85">
        <v>34860</v>
      </c>
      <c r="AB41" s="85">
        <v>34080</v>
      </c>
      <c r="AC41" s="85">
        <v>32690</v>
      </c>
      <c r="AD41" s="85">
        <v>32330</v>
      </c>
      <c r="AE41" s="85">
        <v>32820</v>
      </c>
      <c r="AF41" s="85">
        <v>32690</v>
      </c>
      <c r="AG41" s="85">
        <v>33370</v>
      </c>
      <c r="AH41" s="85">
        <v>34650</v>
      </c>
      <c r="AI41" s="85">
        <v>35860</v>
      </c>
      <c r="AJ41" s="85">
        <v>35500</v>
      </c>
      <c r="AK41" s="85">
        <v>36380</v>
      </c>
      <c r="AL41" s="85">
        <v>35910</v>
      </c>
      <c r="AM41" s="85">
        <v>35430</v>
      </c>
      <c r="AN41" s="85">
        <v>35020</v>
      </c>
      <c r="AO41" s="85">
        <v>34090</v>
      </c>
      <c r="AP41" s="85">
        <v>34020</v>
      </c>
      <c r="AQ41" s="85">
        <v>34000</v>
      </c>
      <c r="AR41" s="85">
        <v>34470</v>
      </c>
      <c r="AS41" s="85">
        <v>35040</v>
      </c>
      <c r="AT41" s="85">
        <v>35550</v>
      </c>
      <c r="AU41" s="85">
        <v>35990</v>
      </c>
      <c r="AV41" s="85">
        <v>36330</v>
      </c>
      <c r="AW41" s="85">
        <v>36560</v>
      </c>
      <c r="AX41" s="85">
        <v>36700</v>
      </c>
      <c r="AY41" s="85">
        <v>36770</v>
      </c>
      <c r="AZ41" s="85">
        <v>36780</v>
      </c>
      <c r="BA41" s="85">
        <v>36720</v>
      </c>
      <c r="BB41" s="85">
        <v>36610</v>
      </c>
      <c r="BC41" s="85">
        <v>36450</v>
      </c>
      <c r="BD41" s="85">
        <v>36260</v>
      </c>
      <c r="BE41" s="85">
        <v>36040</v>
      </c>
      <c r="BF41" s="85">
        <v>35810</v>
      </c>
      <c r="BG41" s="85">
        <v>35590</v>
      </c>
      <c r="BH41" s="85">
        <v>35380</v>
      </c>
      <c r="BI41" s="85">
        <v>35200</v>
      </c>
      <c r="BJ41" s="85">
        <v>35060</v>
      </c>
      <c r="BK41" s="85">
        <v>34970</v>
      </c>
      <c r="BL41" s="85">
        <v>34930</v>
      </c>
    </row>
    <row r="42" spans="1:64" x14ac:dyDescent="0.2">
      <c r="A42" s="29">
        <v>32</v>
      </c>
      <c r="B42" s="85">
        <v>29960</v>
      </c>
      <c r="C42" s="85">
        <v>28990</v>
      </c>
      <c r="D42" s="85">
        <v>27810</v>
      </c>
      <c r="E42" s="85">
        <v>27780</v>
      </c>
      <c r="F42" s="85">
        <v>27520</v>
      </c>
      <c r="G42" s="85">
        <v>28300</v>
      </c>
      <c r="H42" s="85">
        <v>28140</v>
      </c>
      <c r="I42" s="85">
        <v>28010</v>
      </c>
      <c r="J42" s="85">
        <v>28940</v>
      </c>
      <c r="K42" s="85">
        <v>29850</v>
      </c>
      <c r="L42" s="85">
        <v>30830</v>
      </c>
      <c r="M42" s="85">
        <v>32210</v>
      </c>
      <c r="N42" s="85">
        <v>32930</v>
      </c>
      <c r="O42" s="85">
        <v>34220</v>
      </c>
      <c r="P42" s="85">
        <v>36400</v>
      </c>
      <c r="Q42" s="85">
        <v>37310</v>
      </c>
      <c r="R42" s="85">
        <v>39330</v>
      </c>
      <c r="S42" s="85">
        <v>40780</v>
      </c>
      <c r="T42" s="85">
        <v>40160</v>
      </c>
      <c r="U42" s="85">
        <v>39960</v>
      </c>
      <c r="V42" s="85">
        <v>38820</v>
      </c>
      <c r="W42" s="85">
        <v>38390</v>
      </c>
      <c r="X42" s="85">
        <v>37400</v>
      </c>
      <c r="Y42" s="85">
        <v>36950</v>
      </c>
      <c r="Z42" s="85">
        <v>35670</v>
      </c>
      <c r="AA42" s="85">
        <v>34490</v>
      </c>
      <c r="AB42" s="85">
        <v>35100</v>
      </c>
      <c r="AC42" s="85">
        <v>34330</v>
      </c>
      <c r="AD42" s="85">
        <v>32930</v>
      </c>
      <c r="AE42" s="85">
        <v>32580</v>
      </c>
      <c r="AF42" s="85">
        <v>33060</v>
      </c>
      <c r="AG42" s="85">
        <v>32930</v>
      </c>
      <c r="AH42" s="85">
        <v>33610</v>
      </c>
      <c r="AI42" s="85">
        <v>34890</v>
      </c>
      <c r="AJ42" s="85">
        <v>36100</v>
      </c>
      <c r="AK42" s="85">
        <v>35740</v>
      </c>
      <c r="AL42" s="85">
        <v>36620</v>
      </c>
      <c r="AM42" s="85">
        <v>36150</v>
      </c>
      <c r="AN42" s="85">
        <v>35680</v>
      </c>
      <c r="AO42" s="85">
        <v>35260</v>
      </c>
      <c r="AP42" s="85">
        <v>34330</v>
      </c>
      <c r="AQ42" s="85">
        <v>34260</v>
      </c>
      <c r="AR42" s="85">
        <v>34250</v>
      </c>
      <c r="AS42" s="85">
        <v>34720</v>
      </c>
      <c r="AT42" s="85">
        <v>35290</v>
      </c>
      <c r="AU42" s="85">
        <v>35800</v>
      </c>
      <c r="AV42" s="85">
        <v>36230</v>
      </c>
      <c r="AW42" s="85">
        <v>36570</v>
      </c>
      <c r="AX42" s="85">
        <v>36810</v>
      </c>
      <c r="AY42" s="85">
        <v>36950</v>
      </c>
      <c r="AZ42" s="85">
        <v>37020</v>
      </c>
      <c r="BA42" s="85">
        <v>37020</v>
      </c>
      <c r="BB42" s="85">
        <v>36960</v>
      </c>
      <c r="BC42" s="85">
        <v>36850</v>
      </c>
      <c r="BD42" s="85">
        <v>36700</v>
      </c>
      <c r="BE42" s="85">
        <v>36510</v>
      </c>
      <c r="BF42" s="85">
        <v>36290</v>
      </c>
      <c r="BG42" s="85">
        <v>36060</v>
      </c>
      <c r="BH42" s="85">
        <v>35830</v>
      </c>
      <c r="BI42" s="85">
        <v>35620</v>
      </c>
      <c r="BJ42" s="85">
        <v>35440</v>
      </c>
      <c r="BK42" s="85">
        <v>35310</v>
      </c>
      <c r="BL42" s="85">
        <v>35220</v>
      </c>
    </row>
    <row r="43" spans="1:64" x14ac:dyDescent="0.2">
      <c r="A43" s="29">
        <v>33</v>
      </c>
      <c r="B43" s="85">
        <v>31240</v>
      </c>
      <c r="C43" s="85">
        <v>30280</v>
      </c>
      <c r="D43" s="85">
        <v>29200</v>
      </c>
      <c r="E43" s="85">
        <v>27960</v>
      </c>
      <c r="F43" s="85">
        <v>27980</v>
      </c>
      <c r="G43" s="85">
        <v>27550</v>
      </c>
      <c r="H43" s="85">
        <v>28290</v>
      </c>
      <c r="I43" s="85">
        <v>28140</v>
      </c>
      <c r="J43" s="85">
        <v>28390</v>
      </c>
      <c r="K43" s="85">
        <v>29500</v>
      </c>
      <c r="L43" s="85">
        <v>30490</v>
      </c>
      <c r="M43" s="85">
        <v>31400</v>
      </c>
      <c r="N43" s="85">
        <v>32700</v>
      </c>
      <c r="O43" s="85">
        <v>33340</v>
      </c>
      <c r="P43" s="85">
        <v>34550</v>
      </c>
      <c r="Q43" s="85">
        <v>36650</v>
      </c>
      <c r="R43" s="85">
        <v>37480</v>
      </c>
      <c r="S43" s="85">
        <v>39500</v>
      </c>
      <c r="T43" s="85">
        <v>40940</v>
      </c>
      <c r="U43" s="85">
        <v>40320</v>
      </c>
      <c r="V43" s="85">
        <v>40130</v>
      </c>
      <c r="W43" s="85">
        <v>38980</v>
      </c>
      <c r="X43" s="85">
        <v>38560</v>
      </c>
      <c r="Y43" s="85">
        <v>37570</v>
      </c>
      <c r="Z43" s="85">
        <v>37110</v>
      </c>
      <c r="AA43" s="85">
        <v>35830</v>
      </c>
      <c r="AB43" s="85">
        <v>34660</v>
      </c>
      <c r="AC43" s="85">
        <v>35270</v>
      </c>
      <c r="AD43" s="85">
        <v>34500</v>
      </c>
      <c r="AE43" s="85">
        <v>33100</v>
      </c>
      <c r="AF43" s="85">
        <v>32740</v>
      </c>
      <c r="AG43" s="85">
        <v>33230</v>
      </c>
      <c r="AH43" s="85">
        <v>33100</v>
      </c>
      <c r="AI43" s="85">
        <v>33780</v>
      </c>
      <c r="AJ43" s="85">
        <v>35060</v>
      </c>
      <c r="AK43" s="85">
        <v>36270</v>
      </c>
      <c r="AL43" s="85">
        <v>35910</v>
      </c>
      <c r="AM43" s="85">
        <v>36790</v>
      </c>
      <c r="AN43" s="85">
        <v>36320</v>
      </c>
      <c r="AO43" s="85">
        <v>35850</v>
      </c>
      <c r="AP43" s="85">
        <v>35430</v>
      </c>
      <c r="AQ43" s="85">
        <v>34500</v>
      </c>
      <c r="AR43" s="85">
        <v>34430</v>
      </c>
      <c r="AS43" s="85">
        <v>34420</v>
      </c>
      <c r="AT43" s="85">
        <v>34890</v>
      </c>
      <c r="AU43" s="85">
        <v>35460</v>
      </c>
      <c r="AV43" s="85">
        <v>35970</v>
      </c>
      <c r="AW43" s="85">
        <v>36400</v>
      </c>
      <c r="AX43" s="85">
        <v>36750</v>
      </c>
      <c r="AY43" s="85">
        <v>36980</v>
      </c>
      <c r="AZ43" s="85">
        <v>37120</v>
      </c>
      <c r="BA43" s="85">
        <v>37190</v>
      </c>
      <c r="BB43" s="85">
        <v>37190</v>
      </c>
      <c r="BC43" s="85">
        <v>37140</v>
      </c>
      <c r="BD43" s="85">
        <v>37030</v>
      </c>
      <c r="BE43" s="85">
        <v>36870</v>
      </c>
      <c r="BF43" s="85">
        <v>36680</v>
      </c>
      <c r="BG43" s="85">
        <v>36460</v>
      </c>
      <c r="BH43" s="85">
        <v>36230</v>
      </c>
      <c r="BI43" s="85">
        <v>36010</v>
      </c>
      <c r="BJ43" s="85">
        <v>35800</v>
      </c>
      <c r="BK43" s="85">
        <v>35620</v>
      </c>
      <c r="BL43" s="85">
        <v>35480</v>
      </c>
    </row>
    <row r="44" spans="1:64" x14ac:dyDescent="0.2">
      <c r="A44" s="29">
        <v>34</v>
      </c>
      <c r="B44" s="85">
        <v>32740</v>
      </c>
      <c r="C44" s="85">
        <v>31520</v>
      </c>
      <c r="D44" s="85">
        <v>30510</v>
      </c>
      <c r="E44" s="85">
        <v>29420</v>
      </c>
      <c r="F44" s="85">
        <v>28160</v>
      </c>
      <c r="G44" s="85">
        <v>28030</v>
      </c>
      <c r="H44" s="85">
        <v>27560</v>
      </c>
      <c r="I44" s="85">
        <v>28290</v>
      </c>
      <c r="J44" s="85">
        <v>28410</v>
      </c>
      <c r="K44" s="85">
        <v>28850</v>
      </c>
      <c r="L44" s="85">
        <v>30060</v>
      </c>
      <c r="M44" s="85">
        <v>31010</v>
      </c>
      <c r="N44" s="85">
        <v>31850</v>
      </c>
      <c r="O44" s="85">
        <v>33070</v>
      </c>
      <c r="P44" s="85">
        <v>33640</v>
      </c>
      <c r="Q44" s="85">
        <v>34780</v>
      </c>
      <c r="R44" s="85">
        <v>36810</v>
      </c>
      <c r="S44" s="85">
        <v>37640</v>
      </c>
      <c r="T44" s="85">
        <v>39660</v>
      </c>
      <c r="U44" s="85">
        <v>41100</v>
      </c>
      <c r="V44" s="85">
        <v>40480</v>
      </c>
      <c r="W44" s="85">
        <v>40290</v>
      </c>
      <c r="X44" s="85">
        <v>39140</v>
      </c>
      <c r="Y44" s="85">
        <v>38720</v>
      </c>
      <c r="Z44" s="85">
        <v>37730</v>
      </c>
      <c r="AA44" s="85">
        <v>37280</v>
      </c>
      <c r="AB44" s="85">
        <v>36000</v>
      </c>
      <c r="AC44" s="85">
        <v>34820</v>
      </c>
      <c r="AD44" s="85">
        <v>35440</v>
      </c>
      <c r="AE44" s="85">
        <v>34660</v>
      </c>
      <c r="AF44" s="85">
        <v>33270</v>
      </c>
      <c r="AG44" s="85">
        <v>32910</v>
      </c>
      <c r="AH44" s="85">
        <v>33400</v>
      </c>
      <c r="AI44" s="85">
        <v>33270</v>
      </c>
      <c r="AJ44" s="85">
        <v>33950</v>
      </c>
      <c r="AK44" s="85">
        <v>35230</v>
      </c>
      <c r="AL44" s="85">
        <v>36440</v>
      </c>
      <c r="AM44" s="85">
        <v>36080</v>
      </c>
      <c r="AN44" s="85">
        <v>36960</v>
      </c>
      <c r="AO44" s="85">
        <v>36490</v>
      </c>
      <c r="AP44" s="85">
        <v>36020</v>
      </c>
      <c r="AQ44" s="85">
        <v>35600</v>
      </c>
      <c r="AR44" s="85">
        <v>34670</v>
      </c>
      <c r="AS44" s="85">
        <v>34600</v>
      </c>
      <c r="AT44" s="85">
        <v>34590</v>
      </c>
      <c r="AU44" s="85">
        <v>35060</v>
      </c>
      <c r="AV44" s="85">
        <v>35630</v>
      </c>
      <c r="AW44" s="85">
        <v>36140</v>
      </c>
      <c r="AX44" s="85">
        <v>36570</v>
      </c>
      <c r="AY44" s="85">
        <v>36910</v>
      </c>
      <c r="AZ44" s="85">
        <v>37150</v>
      </c>
      <c r="BA44" s="85">
        <v>37290</v>
      </c>
      <c r="BB44" s="85">
        <v>37360</v>
      </c>
      <c r="BC44" s="85">
        <v>37360</v>
      </c>
      <c r="BD44" s="85">
        <v>37310</v>
      </c>
      <c r="BE44" s="85">
        <v>37200</v>
      </c>
      <c r="BF44" s="85">
        <v>37040</v>
      </c>
      <c r="BG44" s="85">
        <v>36850</v>
      </c>
      <c r="BH44" s="85">
        <v>36630</v>
      </c>
      <c r="BI44" s="85">
        <v>36400</v>
      </c>
      <c r="BJ44" s="85">
        <v>36180</v>
      </c>
      <c r="BK44" s="85">
        <v>35970</v>
      </c>
      <c r="BL44" s="85">
        <v>35790</v>
      </c>
    </row>
    <row r="45" spans="1:64" x14ac:dyDescent="0.2">
      <c r="A45" s="29">
        <v>35</v>
      </c>
      <c r="B45" s="85">
        <v>33360</v>
      </c>
      <c r="C45" s="85">
        <v>33040</v>
      </c>
      <c r="D45" s="85">
        <v>31710</v>
      </c>
      <c r="E45" s="85">
        <v>30800</v>
      </c>
      <c r="F45" s="85">
        <v>29620</v>
      </c>
      <c r="G45" s="85">
        <v>28240</v>
      </c>
      <c r="H45" s="85">
        <v>28000</v>
      </c>
      <c r="I45" s="85">
        <v>27630</v>
      </c>
      <c r="J45" s="85">
        <v>28590</v>
      </c>
      <c r="K45" s="85">
        <v>28760</v>
      </c>
      <c r="L45" s="85">
        <v>29350</v>
      </c>
      <c r="M45" s="85">
        <v>30520</v>
      </c>
      <c r="N45" s="85">
        <v>31410</v>
      </c>
      <c r="O45" s="85">
        <v>32180</v>
      </c>
      <c r="P45" s="85">
        <v>33350</v>
      </c>
      <c r="Q45" s="85">
        <v>33860</v>
      </c>
      <c r="R45" s="85">
        <v>34940</v>
      </c>
      <c r="S45" s="85">
        <v>36960</v>
      </c>
      <c r="T45" s="85">
        <v>37790</v>
      </c>
      <c r="U45" s="85">
        <v>39810</v>
      </c>
      <c r="V45" s="85">
        <v>41260</v>
      </c>
      <c r="W45" s="85">
        <v>40640</v>
      </c>
      <c r="X45" s="85">
        <v>40440</v>
      </c>
      <c r="Y45" s="85">
        <v>39300</v>
      </c>
      <c r="Z45" s="85">
        <v>38870</v>
      </c>
      <c r="AA45" s="85">
        <v>37890</v>
      </c>
      <c r="AB45" s="85">
        <v>37430</v>
      </c>
      <c r="AC45" s="85">
        <v>36160</v>
      </c>
      <c r="AD45" s="85">
        <v>34980</v>
      </c>
      <c r="AE45" s="85">
        <v>35590</v>
      </c>
      <c r="AF45" s="85">
        <v>34820</v>
      </c>
      <c r="AG45" s="85">
        <v>33420</v>
      </c>
      <c r="AH45" s="85">
        <v>33070</v>
      </c>
      <c r="AI45" s="85">
        <v>33550</v>
      </c>
      <c r="AJ45" s="85">
        <v>33430</v>
      </c>
      <c r="AK45" s="85">
        <v>34110</v>
      </c>
      <c r="AL45" s="85">
        <v>35390</v>
      </c>
      <c r="AM45" s="85">
        <v>36590</v>
      </c>
      <c r="AN45" s="85">
        <v>36240</v>
      </c>
      <c r="AO45" s="85">
        <v>37110</v>
      </c>
      <c r="AP45" s="85">
        <v>36650</v>
      </c>
      <c r="AQ45" s="85">
        <v>36170</v>
      </c>
      <c r="AR45" s="85">
        <v>35760</v>
      </c>
      <c r="AS45" s="85">
        <v>34830</v>
      </c>
      <c r="AT45" s="85">
        <v>34760</v>
      </c>
      <c r="AU45" s="85">
        <v>34750</v>
      </c>
      <c r="AV45" s="85">
        <v>35220</v>
      </c>
      <c r="AW45" s="85">
        <v>35790</v>
      </c>
      <c r="AX45" s="85">
        <v>36300</v>
      </c>
      <c r="AY45" s="85">
        <v>36730</v>
      </c>
      <c r="AZ45" s="85">
        <v>37080</v>
      </c>
      <c r="BA45" s="85">
        <v>37310</v>
      </c>
      <c r="BB45" s="85">
        <v>37450</v>
      </c>
      <c r="BC45" s="85">
        <v>37520</v>
      </c>
      <c r="BD45" s="85">
        <v>37520</v>
      </c>
      <c r="BE45" s="85">
        <v>37470</v>
      </c>
      <c r="BF45" s="85">
        <v>37360</v>
      </c>
      <c r="BG45" s="85">
        <v>37200</v>
      </c>
      <c r="BH45" s="85">
        <v>37010</v>
      </c>
      <c r="BI45" s="85">
        <v>36800</v>
      </c>
      <c r="BJ45" s="85">
        <v>36570</v>
      </c>
      <c r="BK45" s="85">
        <v>36340</v>
      </c>
      <c r="BL45" s="85">
        <v>36130</v>
      </c>
    </row>
    <row r="46" spans="1:64" x14ac:dyDescent="0.2">
      <c r="A46" s="29">
        <v>36</v>
      </c>
      <c r="B46" s="85">
        <v>32520</v>
      </c>
      <c r="C46" s="85">
        <v>33680</v>
      </c>
      <c r="D46" s="85">
        <v>33230</v>
      </c>
      <c r="E46" s="85">
        <v>31930</v>
      </c>
      <c r="F46" s="85">
        <v>30980</v>
      </c>
      <c r="G46" s="85">
        <v>29690</v>
      </c>
      <c r="H46" s="85">
        <v>28210</v>
      </c>
      <c r="I46" s="85">
        <v>28060</v>
      </c>
      <c r="J46" s="85">
        <v>27840</v>
      </c>
      <c r="K46" s="85">
        <v>28890</v>
      </c>
      <c r="L46" s="85">
        <v>29220</v>
      </c>
      <c r="M46" s="85">
        <v>29760</v>
      </c>
      <c r="N46" s="85">
        <v>30880</v>
      </c>
      <c r="O46" s="85">
        <v>31710</v>
      </c>
      <c r="P46" s="85">
        <v>32430</v>
      </c>
      <c r="Q46" s="85">
        <v>33540</v>
      </c>
      <c r="R46" s="85">
        <v>34000</v>
      </c>
      <c r="S46" s="85">
        <v>35070</v>
      </c>
      <c r="T46" s="85">
        <v>37100</v>
      </c>
      <c r="U46" s="85">
        <v>37930</v>
      </c>
      <c r="V46" s="85">
        <v>39950</v>
      </c>
      <c r="W46" s="85">
        <v>41390</v>
      </c>
      <c r="X46" s="85">
        <v>40770</v>
      </c>
      <c r="Y46" s="85">
        <v>40580</v>
      </c>
      <c r="Z46" s="85">
        <v>39440</v>
      </c>
      <c r="AA46" s="85">
        <v>39010</v>
      </c>
      <c r="AB46" s="85">
        <v>38020</v>
      </c>
      <c r="AC46" s="85">
        <v>37570</v>
      </c>
      <c r="AD46" s="85">
        <v>36300</v>
      </c>
      <c r="AE46" s="85">
        <v>35120</v>
      </c>
      <c r="AF46" s="85">
        <v>35740</v>
      </c>
      <c r="AG46" s="85">
        <v>34960</v>
      </c>
      <c r="AH46" s="85">
        <v>33570</v>
      </c>
      <c r="AI46" s="85">
        <v>33210</v>
      </c>
      <c r="AJ46" s="85">
        <v>33700</v>
      </c>
      <c r="AK46" s="85">
        <v>33570</v>
      </c>
      <c r="AL46" s="85">
        <v>34250</v>
      </c>
      <c r="AM46" s="85">
        <v>35530</v>
      </c>
      <c r="AN46" s="85">
        <v>36740</v>
      </c>
      <c r="AO46" s="85">
        <v>36380</v>
      </c>
      <c r="AP46" s="85">
        <v>37260</v>
      </c>
      <c r="AQ46" s="85">
        <v>36790</v>
      </c>
      <c r="AR46" s="85">
        <v>36320</v>
      </c>
      <c r="AS46" s="85">
        <v>35910</v>
      </c>
      <c r="AT46" s="85">
        <v>34980</v>
      </c>
      <c r="AU46" s="85">
        <v>34900</v>
      </c>
      <c r="AV46" s="85">
        <v>34900</v>
      </c>
      <c r="AW46" s="85">
        <v>35360</v>
      </c>
      <c r="AX46" s="85">
        <v>35930</v>
      </c>
      <c r="AY46" s="85">
        <v>36440</v>
      </c>
      <c r="AZ46" s="85">
        <v>36880</v>
      </c>
      <c r="BA46" s="85">
        <v>37220</v>
      </c>
      <c r="BB46" s="85">
        <v>37450</v>
      </c>
      <c r="BC46" s="85">
        <v>37590</v>
      </c>
      <c r="BD46" s="85">
        <v>37670</v>
      </c>
      <c r="BE46" s="85">
        <v>37670</v>
      </c>
      <c r="BF46" s="85">
        <v>37610</v>
      </c>
      <c r="BG46" s="85">
        <v>37500</v>
      </c>
      <c r="BH46" s="85">
        <v>37350</v>
      </c>
      <c r="BI46" s="85">
        <v>37160</v>
      </c>
      <c r="BJ46" s="85">
        <v>36940</v>
      </c>
      <c r="BK46" s="85">
        <v>36710</v>
      </c>
      <c r="BL46" s="85">
        <v>36490</v>
      </c>
    </row>
    <row r="47" spans="1:64" x14ac:dyDescent="0.2">
      <c r="A47" s="29">
        <v>37</v>
      </c>
      <c r="B47" s="85">
        <v>32870</v>
      </c>
      <c r="C47" s="85">
        <v>32750</v>
      </c>
      <c r="D47" s="85">
        <v>33850</v>
      </c>
      <c r="E47" s="85">
        <v>33430</v>
      </c>
      <c r="F47" s="85">
        <v>32100</v>
      </c>
      <c r="G47" s="85">
        <v>30990</v>
      </c>
      <c r="H47" s="85">
        <v>29700</v>
      </c>
      <c r="I47" s="85">
        <v>28300</v>
      </c>
      <c r="J47" s="85">
        <v>28270</v>
      </c>
      <c r="K47" s="85">
        <v>28050</v>
      </c>
      <c r="L47" s="85">
        <v>29290</v>
      </c>
      <c r="M47" s="85">
        <v>29590</v>
      </c>
      <c r="N47" s="85">
        <v>30090</v>
      </c>
      <c r="O47" s="85">
        <v>31160</v>
      </c>
      <c r="P47" s="85">
        <v>31930</v>
      </c>
      <c r="Q47" s="85">
        <v>32600</v>
      </c>
      <c r="R47" s="85">
        <v>33660</v>
      </c>
      <c r="S47" s="85">
        <v>34120</v>
      </c>
      <c r="T47" s="85">
        <v>35190</v>
      </c>
      <c r="U47" s="85">
        <v>37220</v>
      </c>
      <c r="V47" s="85">
        <v>38050</v>
      </c>
      <c r="W47" s="85">
        <v>40060</v>
      </c>
      <c r="X47" s="85">
        <v>41510</v>
      </c>
      <c r="Y47" s="85">
        <v>40890</v>
      </c>
      <c r="Z47" s="85">
        <v>40700</v>
      </c>
      <c r="AA47" s="85">
        <v>39560</v>
      </c>
      <c r="AB47" s="85">
        <v>39130</v>
      </c>
      <c r="AC47" s="85">
        <v>38150</v>
      </c>
      <c r="AD47" s="85">
        <v>37690</v>
      </c>
      <c r="AE47" s="85">
        <v>36420</v>
      </c>
      <c r="AF47" s="85">
        <v>35240</v>
      </c>
      <c r="AG47" s="85">
        <v>35860</v>
      </c>
      <c r="AH47" s="85">
        <v>35090</v>
      </c>
      <c r="AI47" s="85">
        <v>33690</v>
      </c>
      <c r="AJ47" s="85">
        <v>33340</v>
      </c>
      <c r="AK47" s="85">
        <v>33820</v>
      </c>
      <c r="AL47" s="85">
        <v>33700</v>
      </c>
      <c r="AM47" s="85">
        <v>34370</v>
      </c>
      <c r="AN47" s="85">
        <v>35660</v>
      </c>
      <c r="AO47" s="85">
        <v>36860</v>
      </c>
      <c r="AP47" s="85">
        <v>36510</v>
      </c>
      <c r="AQ47" s="85">
        <v>37380</v>
      </c>
      <c r="AR47" s="85">
        <v>36920</v>
      </c>
      <c r="AS47" s="85">
        <v>36440</v>
      </c>
      <c r="AT47" s="85">
        <v>36030</v>
      </c>
      <c r="AU47" s="85">
        <v>35100</v>
      </c>
      <c r="AV47" s="85">
        <v>35030</v>
      </c>
      <c r="AW47" s="85">
        <v>35020</v>
      </c>
      <c r="AX47" s="85">
        <v>35490</v>
      </c>
      <c r="AY47" s="85">
        <v>36060</v>
      </c>
      <c r="AZ47" s="85">
        <v>36570</v>
      </c>
      <c r="BA47" s="85">
        <v>37010</v>
      </c>
      <c r="BB47" s="85">
        <v>37350</v>
      </c>
      <c r="BC47" s="85">
        <v>37580</v>
      </c>
      <c r="BD47" s="85">
        <v>37720</v>
      </c>
      <c r="BE47" s="85">
        <v>37790</v>
      </c>
      <c r="BF47" s="85">
        <v>37800</v>
      </c>
      <c r="BG47" s="85">
        <v>37740</v>
      </c>
      <c r="BH47" s="85">
        <v>37630</v>
      </c>
      <c r="BI47" s="85">
        <v>37480</v>
      </c>
      <c r="BJ47" s="85">
        <v>37290</v>
      </c>
      <c r="BK47" s="85">
        <v>37070</v>
      </c>
      <c r="BL47" s="85">
        <v>36840</v>
      </c>
    </row>
    <row r="48" spans="1:64" x14ac:dyDescent="0.2">
      <c r="A48" s="29">
        <v>38</v>
      </c>
      <c r="B48" s="85">
        <v>32450</v>
      </c>
      <c r="C48" s="85">
        <v>33080</v>
      </c>
      <c r="D48" s="85">
        <v>32830</v>
      </c>
      <c r="E48" s="85">
        <v>34000</v>
      </c>
      <c r="F48" s="85">
        <v>33580</v>
      </c>
      <c r="G48" s="85">
        <v>32190</v>
      </c>
      <c r="H48" s="85">
        <v>30960</v>
      </c>
      <c r="I48" s="85">
        <v>29790</v>
      </c>
      <c r="J48" s="85">
        <v>28420</v>
      </c>
      <c r="K48" s="85">
        <v>28590</v>
      </c>
      <c r="L48" s="85">
        <v>28390</v>
      </c>
      <c r="M48" s="85">
        <v>29620</v>
      </c>
      <c r="N48" s="85">
        <v>29880</v>
      </c>
      <c r="O48" s="85">
        <v>30330</v>
      </c>
      <c r="P48" s="85">
        <v>31350</v>
      </c>
      <c r="Q48" s="85">
        <v>32080</v>
      </c>
      <c r="R48" s="85">
        <v>32710</v>
      </c>
      <c r="S48" s="85">
        <v>33770</v>
      </c>
      <c r="T48" s="85">
        <v>34220</v>
      </c>
      <c r="U48" s="85">
        <v>35300</v>
      </c>
      <c r="V48" s="85">
        <v>37320</v>
      </c>
      <c r="W48" s="85">
        <v>38150</v>
      </c>
      <c r="X48" s="85">
        <v>40170</v>
      </c>
      <c r="Y48" s="85">
        <v>41610</v>
      </c>
      <c r="Z48" s="85">
        <v>40990</v>
      </c>
      <c r="AA48" s="85">
        <v>40800</v>
      </c>
      <c r="AB48" s="85">
        <v>39660</v>
      </c>
      <c r="AC48" s="85">
        <v>39240</v>
      </c>
      <c r="AD48" s="85">
        <v>38250</v>
      </c>
      <c r="AE48" s="85">
        <v>37800</v>
      </c>
      <c r="AF48" s="85">
        <v>36520</v>
      </c>
      <c r="AG48" s="85">
        <v>35350</v>
      </c>
      <c r="AH48" s="85">
        <v>35970</v>
      </c>
      <c r="AI48" s="85">
        <v>35190</v>
      </c>
      <c r="AJ48" s="85">
        <v>33800</v>
      </c>
      <c r="AK48" s="85">
        <v>33450</v>
      </c>
      <c r="AL48" s="85">
        <v>33930</v>
      </c>
      <c r="AM48" s="85">
        <v>33800</v>
      </c>
      <c r="AN48" s="85">
        <v>34480</v>
      </c>
      <c r="AO48" s="85">
        <v>35770</v>
      </c>
      <c r="AP48" s="85">
        <v>36970</v>
      </c>
      <c r="AQ48" s="85">
        <v>36620</v>
      </c>
      <c r="AR48" s="85">
        <v>37490</v>
      </c>
      <c r="AS48" s="85">
        <v>37030</v>
      </c>
      <c r="AT48" s="85">
        <v>36550</v>
      </c>
      <c r="AU48" s="85">
        <v>36140</v>
      </c>
      <c r="AV48" s="85">
        <v>35210</v>
      </c>
      <c r="AW48" s="85">
        <v>35140</v>
      </c>
      <c r="AX48" s="85">
        <v>35130</v>
      </c>
      <c r="AY48" s="85">
        <v>35600</v>
      </c>
      <c r="AZ48" s="85">
        <v>36170</v>
      </c>
      <c r="BA48" s="85">
        <v>36680</v>
      </c>
      <c r="BB48" s="85">
        <v>37120</v>
      </c>
      <c r="BC48" s="85">
        <v>37460</v>
      </c>
      <c r="BD48" s="85">
        <v>37690</v>
      </c>
      <c r="BE48" s="85">
        <v>37830</v>
      </c>
      <c r="BF48" s="85">
        <v>37910</v>
      </c>
      <c r="BG48" s="85">
        <v>37910</v>
      </c>
      <c r="BH48" s="85">
        <v>37850</v>
      </c>
      <c r="BI48" s="85">
        <v>37750</v>
      </c>
      <c r="BJ48" s="85">
        <v>37590</v>
      </c>
      <c r="BK48" s="85">
        <v>37400</v>
      </c>
      <c r="BL48" s="85">
        <v>37190</v>
      </c>
    </row>
    <row r="49" spans="1:64" x14ac:dyDescent="0.2">
      <c r="A49" s="29">
        <v>39</v>
      </c>
      <c r="B49" s="85">
        <v>32220</v>
      </c>
      <c r="C49" s="85">
        <v>32560</v>
      </c>
      <c r="D49" s="85">
        <v>33200</v>
      </c>
      <c r="E49" s="85">
        <v>32960</v>
      </c>
      <c r="F49" s="85">
        <v>34140</v>
      </c>
      <c r="G49" s="85">
        <v>33600</v>
      </c>
      <c r="H49" s="85">
        <v>32280</v>
      </c>
      <c r="I49" s="85">
        <v>31070</v>
      </c>
      <c r="J49" s="85">
        <v>29910</v>
      </c>
      <c r="K49" s="85">
        <v>28640</v>
      </c>
      <c r="L49" s="85">
        <v>28910</v>
      </c>
      <c r="M49" s="85">
        <v>28690</v>
      </c>
      <c r="N49" s="85">
        <v>29880</v>
      </c>
      <c r="O49" s="85">
        <v>30100</v>
      </c>
      <c r="P49" s="85">
        <v>30500</v>
      </c>
      <c r="Q49" s="85">
        <v>31480</v>
      </c>
      <c r="R49" s="85">
        <v>32170</v>
      </c>
      <c r="S49" s="85">
        <v>32790</v>
      </c>
      <c r="T49" s="85">
        <v>33850</v>
      </c>
      <c r="U49" s="85">
        <v>34310</v>
      </c>
      <c r="V49" s="85">
        <v>35380</v>
      </c>
      <c r="W49" s="85">
        <v>37410</v>
      </c>
      <c r="X49" s="85">
        <v>38240</v>
      </c>
      <c r="Y49" s="85">
        <v>40250</v>
      </c>
      <c r="Z49" s="85">
        <v>41700</v>
      </c>
      <c r="AA49" s="85">
        <v>41080</v>
      </c>
      <c r="AB49" s="85">
        <v>40890</v>
      </c>
      <c r="AC49" s="85">
        <v>39750</v>
      </c>
      <c r="AD49" s="85">
        <v>39320</v>
      </c>
      <c r="AE49" s="85">
        <v>38340</v>
      </c>
      <c r="AF49" s="85">
        <v>37890</v>
      </c>
      <c r="AG49" s="85">
        <v>36610</v>
      </c>
      <c r="AH49" s="85">
        <v>35440</v>
      </c>
      <c r="AI49" s="85">
        <v>36060</v>
      </c>
      <c r="AJ49" s="85">
        <v>35280</v>
      </c>
      <c r="AK49" s="85">
        <v>33890</v>
      </c>
      <c r="AL49" s="85">
        <v>33540</v>
      </c>
      <c r="AM49" s="85">
        <v>34020</v>
      </c>
      <c r="AN49" s="85">
        <v>33900</v>
      </c>
      <c r="AO49" s="85">
        <v>34580</v>
      </c>
      <c r="AP49" s="85">
        <v>35860</v>
      </c>
      <c r="AQ49" s="85">
        <v>37060</v>
      </c>
      <c r="AR49" s="85">
        <v>36710</v>
      </c>
      <c r="AS49" s="85">
        <v>37580</v>
      </c>
      <c r="AT49" s="85">
        <v>37120</v>
      </c>
      <c r="AU49" s="85">
        <v>36650</v>
      </c>
      <c r="AV49" s="85">
        <v>36240</v>
      </c>
      <c r="AW49" s="85">
        <v>35310</v>
      </c>
      <c r="AX49" s="85">
        <v>35240</v>
      </c>
      <c r="AY49" s="85">
        <v>35230</v>
      </c>
      <c r="AZ49" s="85">
        <v>35700</v>
      </c>
      <c r="BA49" s="85">
        <v>36270</v>
      </c>
      <c r="BB49" s="85">
        <v>36780</v>
      </c>
      <c r="BC49" s="85">
        <v>37210</v>
      </c>
      <c r="BD49" s="85">
        <v>37560</v>
      </c>
      <c r="BE49" s="85">
        <v>37790</v>
      </c>
      <c r="BF49" s="85">
        <v>37930</v>
      </c>
      <c r="BG49" s="85">
        <v>38000</v>
      </c>
      <c r="BH49" s="85">
        <v>38010</v>
      </c>
      <c r="BI49" s="85">
        <v>37950</v>
      </c>
      <c r="BJ49" s="85">
        <v>37840</v>
      </c>
      <c r="BK49" s="85">
        <v>37690</v>
      </c>
      <c r="BL49" s="85">
        <v>37500</v>
      </c>
    </row>
    <row r="50" spans="1:64" x14ac:dyDescent="0.2">
      <c r="A50" s="29">
        <v>40</v>
      </c>
      <c r="B50" s="85">
        <v>32020</v>
      </c>
      <c r="C50" s="85">
        <v>32380</v>
      </c>
      <c r="D50" s="85">
        <v>32680</v>
      </c>
      <c r="E50" s="85">
        <v>33300</v>
      </c>
      <c r="F50" s="85">
        <v>33100</v>
      </c>
      <c r="G50" s="85">
        <v>34190</v>
      </c>
      <c r="H50" s="85">
        <v>33550</v>
      </c>
      <c r="I50" s="85">
        <v>32360</v>
      </c>
      <c r="J50" s="85">
        <v>31240</v>
      </c>
      <c r="K50" s="85">
        <v>30130</v>
      </c>
      <c r="L50" s="85">
        <v>28870</v>
      </c>
      <c r="M50" s="85">
        <v>29180</v>
      </c>
      <c r="N50" s="85">
        <v>28920</v>
      </c>
      <c r="O50" s="85">
        <v>30070</v>
      </c>
      <c r="P50" s="85">
        <v>30240</v>
      </c>
      <c r="Q50" s="85">
        <v>30610</v>
      </c>
      <c r="R50" s="85">
        <v>31550</v>
      </c>
      <c r="S50" s="85">
        <v>32240</v>
      </c>
      <c r="T50" s="85">
        <v>32860</v>
      </c>
      <c r="U50" s="85">
        <v>33920</v>
      </c>
      <c r="V50" s="85">
        <v>34380</v>
      </c>
      <c r="W50" s="85">
        <v>35450</v>
      </c>
      <c r="X50" s="85">
        <v>37480</v>
      </c>
      <c r="Y50" s="85">
        <v>38310</v>
      </c>
      <c r="Z50" s="85">
        <v>40320</v>
      </c>
      <c r="AA50" s="85">
        <v>41760</v>
      </c>
      <c r="AB50" s="85">
        <v>41150</v>
      </c>
      <c r="AC50" s="85">
        <v>40950</v>
      </c>
      <c r="AD50" s="85">
        <v>39810</v>
      </c>
      <c r="AE50" s="85">
        <v>39390</v>
      </c>
      <c r="AF50" s="85">
        <v>38410</v>
      </c>
      <c r="AG50" s="85">
        <v>37960</v>
      </c>
      <c r="AH50" s="85">
        <v>36690</v>
      </c>
      <c r="AI50" s="85">
        <v>35520</v>
      </c>
      <c r="AJ50" s="85">
        <v>36130</v>
      </c>
      <c r="AK50" s="85">
        <v>35360</v>
      </c>
      <c r="AL50" s="85">
        <v>33970</v>
      </c>
      <c r="AM50" s="85">
        <v>33620</v>
      </c>
      <c r="AN50" s="85">
        <v>34100</v>
      </c>
      <c r="AO50" s="85">
        <v>33970</v>
      </c>
      <c r="AP50" s="85">
        <v>34650</v>
      </c>
      <c r="AQ50" s="85">
        <v>35930</v>
      </c>
      <c r="AR50" s="85">
        <v>37140</v>
      </c>
      <c r="AS50" s="85">
        <v>36790</v>
      </c>
      <c r="AT50" s="85">
        <v>37660</v>
      </c>
      <c r="AU50" s="85">
        <v>37200</v>
      </c>
      <c r="AV50" s="85">
        <v>36720</v>
      </c>
      <c r="AW50" s="85">
        <v>36310</v>
      </c>
      <c r="AX50" s="85">
        <v>35390</v>
      </c>
      <c r="AY50" s="85">
        <v>35320</v>
      </c>
      <c r="AZ50" s="85">
        <v>35310</v>
      </c>
      <c r="BA50" s="85">
        <v>35770</v>
      </c>
      <c r="BB50" s="85">
        <v>36340</v>
      </c>
      <c r="BC50" s="85">
        <v>36850</v>
      </c>
      <c r="BD50" s="85">
        <v>37290</v>
      </c>
      <c r="BE50" s="85">
        <v>37630</v>
      </c>
      <c r="BF50" s="85">
        <v>37870</v>
      </c>
      <c r="BG50" s="85">
        <v>38010</v>
      </c>
      <c r="BH50" s="85">
        <v>38080</v>
      </c>
      <c r="BI50" s="85">
        <v>38090</v>
      </c>
      <c r="BJ50" s="85">
        <v>38030</v>
      </c>
      <c r="BK50" s="85">
        <v>37920</v>
      </c>
      <c r="BL50" s="85">
        <v>37770</v>
      </c>
    </row>
    <row r="51" spans="1:64" x14ac:dyDescent="0.2">
      <c r="A51" s="29">
        <v>41</v>
      </c>
      <c r="B51" s="85">
        <v>32420</v>
      </c>
      <c r="C51" s="85">
        <v>32110</v>
      </c>
      <c r="D51" s="85">
        <v>32440</v>
      </c>
      <c r="E51" s="85">
        <v>32740</v>
      </c>
      <c r="F51" s="85">
        <v>33370</v>
      </c>
      <c r="G51" s="85">
        <v>33100</v>
      </c>
      <c r="H51" s="85">
        <v>34190</v>
      </c>
      <c r="I51" s="85">
        <v>33550</v>
      </c>
      <c r="J51" s="85">
        <v>32450</v>
      </c>
      <c r="K51" s="85">
        <v>31430</v>
      </c>
      <c r="L51" s="85">
        <v>30390</v>
      </c>
      <c r="M51" s="85">
        <v>29110</v>
      </c>
      <c r="N51" s="85">
        <v>29380</v>
      </c>
      <c r="O51" s="85">
        <v>29080</v>
      </c>
      <c r="P51" s="85">
        <v>30190</v>
      </c>
      <c r="Q51" s="85">
        <v>30330</v>
      </c>
      <c r="R51" s="85">
        <v>30660</v>
      </c>
      <c r="S51" s="85">
        <v>31600</v>
      </c>
      <c r="T51" s="85">
        <v>32290</v>
      </c>
      <c r="U51" s="85">
        <v>32920</v>
      </c>
      <c r="V51" s="85">
        <v>33980</v>
      </c>
      <c r="W51" s="85">
        <v>34430</v>
      </c>
      <c r="X51" s="85">
        <v>35510</v>
      </c>
      <c r="Y51" s="85">
        <v>37530</v>
      </c>
      <c r="Z51" s="85">
        <v>38360</v>
      </c>
      <c r="AA51" s="85">
        <v>40370</v>
      </c>
      <c r="AB51" s="85">
        <v>41810</v>
      </c>
      <c r="AC51" s="85">
        <v>41200</v>
      </c>
      <c r="AD51" s="85">
        <v>41010</v>
      </c>
      <c r="AE51" s="85">
        <v>39870</v>
      </c>
      <c r="AF51" s="85">
        <v>39450</v>
      </c>
      <c r="AG51" s="85">
        <v>38460</v>
      </c>
      <c r="AH51" s="85">
        <v>38010</v>
      </c>
      <c r="AI51" s="85">
        <v>36740</v>
      </c>
      <c r="AJ51" s="85">
        <v>35570</v>
      </c>
      <c r="AK51" s="85">
        <v>36190</v>
      </c>
      <c r="AL51" s="85">
        <v>35420</v>
      </c>
      <c r="AM51" s="85">
        <v>34030</v>
      </c>
      <c r="AN51" s="85">
        <v>33680</v>
      </c>
      <c r="AO51" s="85">
        <v>34160</v>
      </c>
      <c r="AP51" s="85">
        <v>34030</v>
      </c>
      <c r="AQ51" s="85">
        <v>34710</v>
      </c>
      <c r="AR51" s="85">
        <v>35990</v>
      </c>
      <c r="AS51" s="85">
        <v>37200</v>
      </c>
      <c r="AT51" s="85">
        <v>36850</v>
      </c>
      <c r="AU51" s="85">
        <v>37720</v>
      </c>
      <c r="AV51" s="85">
        <v>37260</v>
      </c>
      <c r="AW51" s="85">
        <v>36790</v>
      </c>
      <c r="AX51" s="85">
        <v>36380</v>
      </c>
      <c r="AY51" s="85">
        <v>35450</v>
      </c>
      <c r="AZ51" s="85">
        <v>35380</v>
      </c>
      <c r="BA51" s="85">
        <v>35370</v>
      </c>
      <c r="BB51" s="85">
        <v>35840</v>
      </c>
      <c r="BC51" s="85">
        <v>36410</v>
      </c>
      <c r="BD51" s="85">
        <v>36920</v>
      </c>
      <c r="BE51" s="85">
        <v>37350</v>
      </c>
      <c r="BF51" s="85">
        <v>37700</v>
      </c>
      <c r="BG51" s="85">
        <v>37930</v>
      </c>
      <c r="BH51" s="85">
        <v>38070</v>
      </c>
      <c r="BI51" s="85">
        <v>38150</v>
      </c>
      <c r="BJ51" s="85">
        <v>38150</v>
      </c>
      <c r="BK51" s="85">
        <v>38100</v>
      </c>
      <c r="BL51" s="85">
        <v>37990</v>
      </c>
    </row>
    <row r="52" spans="1:64" x14ac:dyDescent="0.2">
      <c r="A52" s="29">
        <v>42</v>
      </c>
      <c r="B52" s="85">
        <v>33510</v>
      </c>
      <c r="C52" s="85">
        <v>32510</v>
      </c>
      <c r="D52" s="85">
        <v>32160</v>
      </c>
      <c r="E52" s="85">
        <v>32460</v>
      </c>
      <c r="F52" s="85">
        <v>32800</v>
      </c>
      <c r="G52" s="85">
        <v>33360</v>
      </c>
      <c r="H52" s="85">
        <v>33050</v>
      </c>
      <c r="I52" s="85">
        <v>34240</v>
      </c>
      <c r="J52" s="85">
        <v>33630</v>
      </c>
      <c r="K52" s="85">
        <v>32610</v>
      </c>
      <c r="L52" s="85">
        <v>31660</v>
      </c>
      <c r="M52" s="85">
        <v>30590</v>
      </c>
      <c r="N52" s="85">
        <v>29280</v>
      </c>
      <c r="O52" s="85">
        <v>29520</v>
      </c>
      <c r="P52" s="85">
        <v>29190</v>
      </c>
      <c r="Q52" s="85">
        <v>30270</v>
      </c>
      <c r="R52" s="85">
        <v>30370</v>
      </c>
      <c r="S52" s="85">
        <v>30700</v>
      </c>
      <c r="T52" s="85">
        <v>31640</v>
      </c>
      <c r="U52" s="85">
        <v>32330</v>
      </c>
      <c r="V52" s="85">
        <v>32960</v>
      </c>
      <c r="W52" s="85">
        <v>34020</v>
      </c>
      <c r="X52" s="85">
        <v>34470</v>
      </c>
      <c r="Y52" s="85">
        <v>35550</v>
      </c>
      <c r="Z52" s="85">
        <v>37570</v>
      </c>
      <c r="AA52" s="85">
        <v>38400</v>
      </c>
      <c r="AB52" s="85">
        <v>40410</v>
      </c>
      <c r="AC52" s="85">
        <v>41850</v>
      </c>
      <c r="AD52" s="85">
        <v>41240</v>
      </c>
      <c r="AE52" s="85">
        <v>41050</v>
      </c>
      <c r="AF52" s="85">
        <v>39910</v>
      </c>
      <c r="AG52" s="85">
        <v>39490</v>
      </c>
      <c r="AH52" s="85">
        <v>38510</v>
      </c>
      <c r="AI52" s="85">
        <v>38060</v>
      </c>
      <c r="AJ52" s="85">
        <v>36790</v>
      </c>
      <c r="AK52" s="85">
        <v>35620</v>
      </c>
      <c r="AL52" s="85">
        <v>36230</v>
      </c>
      <c r="AM52" s="85">
        <v>35460</v>
      </c>
      <c r="AN52" s="85">
        <v>34080</v>
      </c>
      <c r="AO52" s="85">
        <v>33720</v>
      </c>
      <c r="AP52" s="85">
        <v>34210</v>
      </c>
      <c r="AQ52" s="85">
        <v>34080</v>
      </c>
      <c r="AR52" s="85">
        <v>34760</v>
      </c>
      <c r="AS52" s="85">
        <v>36040</v>
      </c>
      <c r="AT52" s="85">
        <v>37250</v>
      </c>
      <c r="AU52" s="85">
        <v>36890</v>
      </c>
      <c r="AV52" s="85">
        <v>37770</v>
      </c>
      <c r="AW52" s="85">
        <v>37310</v>
      </c>
      <c r="AX52" s="85">
        <v>36840</v>
      </c>
      <c r="AY52" s="85">
        <v>36430</v>
      </c>
      <c r="AZ52" s="85">
        <v>35500</v>
      </c>
      <c r="BA52" s="85">
        <v>35430</v>
      </c>
      <c r="BB52" s="85">
        <v>35420</v>
      </c>
      <c r="BC52" s="85">
        <v>35890</v>
      </c>
      <c r="BD52" s="85">
        <v>36460</v>
      </c>
      <c r="BE52" s="85">
        <v>36970</v>
      </c>
      <c r="BF52" s="85">
        <v>37410</v>
      </c>
      <c r="BG52" s="85">
        <v>37750</v>
      </c>
      <c r="BH52" s="85">
        <v>37980</v>
      </c>
      <c r="BI52" s="85">
        <v>38130</v>
      </c>
      <c r="BJ52" s="85">
        <v>38200</v>
      </c>
      <c r="BK52" s="85">
        <v>38200</v>
      </c>
      <c r="BL52" s="85">
        <v>38150</v>
      </c>
    </row>
    <row r="53" spans="1:64" x14ac:dyDescent="0.2">
      <c r="A53" s="29">
        <v>43</v>
      </c>
      <c r="B53" s="85">
        <v>34420</v>
      </c>
      <c r="C53" s="85">
        <v>33610</v>
      </c>
      <c r="D53" s="85">
        <v>32450</v>
      </c>
      <c r="E53" s="85">
        <v>32140</v>
      </c>
      <c r="F53" s="85">
        <v>32540</v>
      </c>
      <c r="G53" s="85">
        <v>32750</v>
      </c>
      <c r="H53" s="85">
        <v>33270</v>
      </c>
      <c r="I53" s="85">
        <v>33070</v>
      </c>
      <c r="J53" s="85">
        <v>34320</v>
      </c>
      <c r="K53" s="85">
        <v>33720</v>
      </c>
      <c r="L53" s="85">
        <v>32820</v>
      </c>
      <c r="M53" s="85">
        <v>31830</v>
      </c>
      <c r="N53" s="85">
        <v>30740</v>
      </c>
      <c r="O53" s="85">
        <v>29400</v>
      </c>
      <c r="P53" s="85">
        <v>29610</v>
      </c>
      <c r="Q53" s="85">
        <v>29240</v>
      </c>
      <c r="R53" s="85">
        <v>30290</v>
      </c>
      <c r="S53" s="85">
        <v>30400</v>
      </c>
      <c r="T53" s="85">
        <v>30730</v>
      </c>
      <c r="U53" s="85">
        <v>31670</v>
      </c>
      <c r="V53" s="85">
        <v>32360</v>
      </c>
      <c r="W53" s="85">
        <v>32980</v>
      </c>
      <c r="X53" s="85">
        <v>34040</v>
      </c>
      <c r="Y53" s="85">
        <v>34500</v>
      </c>
      <c r="Z53" s="85">
        <v>35570</v>
      </c>
      <c r="AA53" s="85">
        <v>37590</v>
      </c>
      <c r="AB53" s="85">
        <v>38420</v>
      </c>
      <c r="AC53" s="85">
        <v>40430</v>
      </c>
      <c r="AD53" s="85">
        <v>41870</v>
      </c>
      <c r="AE53" s="85">
        <v>41260</v>
      </c>
      <c r="AF53" s="85">
        <v>41070</v>
      </c>
      <c r="AG53" s="85">
        <v>39940</v>
      </c>
      <c r="AH53" s="85">
        <v>39520</v>
      </c>
      <c r="AI53" s="85">
        <v>38540</v>
      </c>
      <c r="AJ53" s="85">
        <v>38090</v>
      </c>
      <c r="AK53" s="85">
        <v>36820</v>
      </c>
      <c r="AL53" s="85">
        <v>35650</v>
      </c>
      <c r="AM53" s="85">
        <v>36270</v>
      </c>
      <c r="AN53" s="85">
        <v>35500</v>
      </c>
      <c r="AO53" s="85">
        <v>34110</v>
      </c>
      <c r="AP53" s="85">
        <v>33760</v>
      </c>
      <c r="AQ53" s="85">
        <v>34240</v>
      </c>
      <c r="AR53" s="85">
        <v>34120</v>
      </c>
      <c r="AS53" s="85">
        <v>34800</v>
      </c>
      <c r="AT53" s="85">
        <v>36080</v>
      </c>
      <c r="AU53" s="85">
        <v>37280</v>
      </c>
      <c r="AV53" s="85">
        <v>36930</v>
      </c>
      <c r="AW53" s="85">
        <v>37800</v>
      </c>
      <c r="AX53" s="85">
        <v>37340</v>
      </c>
      <c r="AY53" s="85">
        <v>36870</v>
      </c>
      <c r="AZ53" s="85">
        <v>36460</v>
      </c>
      <c r="BA53" s="85">
        <v>35540</v>
      </c>
      <c r="BB53" s="85">
        <v>35470</v>
      </c>
      <c r="BC53" s="85">
        <v>35460</v>
      </c>
      <c r="BD53" s="85">
        <v>35930</v>
      </c>
      <c r="BE53" s="85">
        <v>36500</v>
      </c>
      <c r="BF53" s="85">
        <v>37010</v>
      </c>
      <c r="BG53" s="85">
        <v>37450</v>
      </c>
      <c r="BH53" s="85">
        <v>37790</v>
      </c>
      <c r="BI53" s="85">
        <v>38020</v>
      </c>
      <c r="BJ53" s="85">
        <v>38170</v>
      </c>
      <c r="BK53" s="85">
        <v>38240</v>
      </c>
      <c r="BL53" s="85">
        <v>38240</v>
      </c>
    </row>
    <row r="54" spans="1:64" x14ac:dyDescent="0.2">
      <c r="A54" s="29">
        <v>44</v>
      </c>
      <c r="B54" s="85">
        <v>34170</v>
      </c>
      <c r="C54" s="85">
        <v>34490</v>
      </c>
      <c r="D54" s="85">
        <v>33560</v>
      </c>
      <c r="E54" s="85">
        <v>32440</v>
      </c>
      <c r="F54" s="85">
        <v>32160</v>
      </c>
      <c r="G54" s="85">
        <v>32530</v>
      </c>
      <c r="H54" s="85">
        <v>32680</v>
      </c>
      <c r="I54" s="85">
        <v>33180</v>
      </c>
      <c r="J54" s="85">
        <v>33170</v>
      </c>
      <c r="K54" s="85">
        <v>34500</v>
      </c>
      <c r="L54" s="85">
        <v>33850</v>
      </c>
      <c r="M54" s="85">
        <v>32960</v>
      </c>
      <c r="N54" s="85">
        <v>31950</v>
      </c>
      <c r="O54" s="85">
        <v>30830</v>
      </c>
      <c r="P54" s="85">
        <v>29460</v>
      </c>
      <c r="Q54" s="85">
        <v>29640</v>
      </c>
      <c r="R54" s="85">
        <v>29250</v>
      </c>
      <c r="S54" s="85">
        <v>30300</v>
      </c>
      <c r="T54" s="85">
        <v>30410</v>
      </c>
      <c r="U54" s="85">
        <v>30740</v>
      </c>
      <c r="V54" s="85">
        <v>31680</v>
      </c>
      <c r="W54" s="85">
        <v>32370</v>
      </c>
      <c r="X54" s="85">
        <v>32990</v>
      </c>
      <c r="Y54" s="85">
        <v>34050</v>
      </c>
      <c r="Z54" s="85">
        <v>34500</v>
      </c>
      <c r="AA54" s="85">
        <v>35580</v>
      </c>
      <c r="AB54" s="85">
        <v>37600</v>
      </c>
      <c r="AC54" s="85">
        <v>38430</v>
      </c>
      <c r="AD54" s="85">
        <v>40440</v>
      </c>
      <c r="AE54" s="85">
        <v>41880</v>
      </c>
      <c r="AF54" s="85">
        <v>41270</v>
      </c>
      <c r="AG54" s="85">
        <v>41080</v>
      </c>
      <c r="AH54" s="85">
        <v>39940</v>
      </c>
      <c r="AI54" s="85">
        <v>39520</v>
      </c>
      <c r="AJ54" s="85">
        <v>38550</v>
      </c>
      <c r="AK54" s="85">
        <v>38100</v>
      </c>
      <c r="AL54" s="85">
        <v>36830</v>
      </c>
      <c r="AM54" s="85">
        <v>35670</v>
      </c>
      <c r="AN54" s="85">
        <v>36280</v>
      </c>
      <c r="AO54" s="85">
        <v>35510</v>
      </c>
      <c r="AP54" s="85">
        <v>34130</v>
      </c>
      <c r="AQ54" s="85">
        <v>33780</v>
      </c>
      <c r="AR54" s="85">
        <v>34260</v>
      </c>
      <c r="AS54" s="85">
        <v>34140</v>
      </c>
      <c r="AT54" s="85">
        <v>34820</v>
      </c>
      <c r="AU54" s="85">
        <v>36100</v>
      </c>
      <c r="AV54" s="85">
        <v>37300</v>
      </c>
      <c r="AW54" s="85">
        <v>36950</v>
      </c>
      <c r="AX54" s="85">
        <v>37820</v>
      </c>
      <c r="AY54" s="85">
        <v>37360</v>
      </c>
      <c r="AZ54" s="85">
        <v>36890</v>
      </c>
      <c r="BA54" s="85">
        <v>36480</v>
      </c>
      <c r="BB54" s="85">
        <v>35560</v>
      </c>
      <c r="BC54" s="85">
        <v>35490</v>
      </c>
      <c r="BD54" s="85">
        <v>35480</v>
      </c>
      <c r="BE54" s="85">
        <v>35950</v>
      </c>
      <c r="BF54" s="85">
        <v>36520</v>
      </c>
      <c r="BG54" s="85">
        <v>37030</v>
      </c>
      <c r="BH54" s="85">
        <v>37470</v>
      </c>
      <c r="BI54" s="85">
        <v>37810</v>
      </c>
      <c r="BJ54" s="85">
        <v>38050</v>
      </c>
      <c r="BK54" s="85">
        <v>38190</v>
      </c>
      <c r="BL54" s="85">
        <v>38260</v>
      </c>
    </row>
    <row r="55" spans="1:64" x14ac:dyDescent="0.2">
      <c r="A55" s="29">
        <v>45</v>
      </c>
      <c r="B55" s="85">
        <v>33510</v>
      </c>
      <c r="C55" s="85">
        <v>34170</v>
      </c>
      <c r="D55" s="85">
        <v>34370</v>
      </c>
      <c r="E55" s="85">
        <v>33510</v>
      </c>
      <c r="F55" s="85">
        <v>32390</v>
      </c>
      <c r="G55" s="85">
        <v>32090</v>
      </c>
      <c r="H55" s="85">
        <v>32440</v>
      </c>
      <c r="I55" s="85">
        <v>32650</v>
      </c>
      <c r="J55" s="85">
        <v>33190</v>
      </c>
      <c r="K55" s="85">
        <v>33240</v>
      </c>
      <c r="L55" s="85">
        <v>34650</v>
      </c>
      <c r="M55" s="85">
        <v>33960</v>
      </c>
      <c r="N55" s="85">
        <v>33040</v>
      </c>
      <c r="O55" s="85">
        <v>32010</v>
      </c>
      <c r="P55" s="85">
        <v>30870</v>
      </c>
      <c r="Q55" s="85">
        <v>29480</v>
      </c>
      <c r="R55" s="85">
        <v>29630</v>
      </c>
      <c r="S55" s="85">
        <v>29240</v>
      </c>
      <c r="T55" s="85">
        <v>30290</v>
      </c>
      <c r="U55" s="85">
        <v>30400</v>
      </c>
      <c r="V55" s="85">
        <v>30730</v>
      </c>
      <c r="W55" s="85">
        <v>31670</v>
      </c>
      <c r="X55" s="85">
        <v>32350</v>
      </c>
      <c r="Y55" s="85">
        <v>32980</v>
      </c>
      <c r="Z55" s="85">
        <v>34040</v>
      </c>
      <c r="AA55" s="85">
        <v>34490</v>
      </c>
      <c r="AB55" s="85">
        <v>35570</v>
      </c>
      <c r="AC55" s="85">
        <v>37590</v>
      </c>
      <c r="AD55" s="85">
        <v>38410</v>
      </c>
      <c r="AE55" s="85">
        <v>40420</v>
      </c>
      <c r="AF55" s="85">
        <v>41860</v>
      </c>
      <c r="AG55" s="85">
        <v>41250</v>
      </c>
      <c r="AH55" s="85">
        <v>41070</v>
      </c>
      <c r="AI55" s="85">
        <v>39930</v>
      </c>
      <c r="AJ55" s="85">
        <v>39520</v>
      </c>
      <c r="AK55" s="85">
        <v>38540</v>
      </c>
      <c r="AL55" s="85">
        <v>38090</v>
      </c>
      <c r="AM55" s="85">
        <v>36830</v>
      </c>
      <c r="AN55" s="85">
        <v>35660</v>
      </c>
      <c r="AO55" s="85">
        <v>36280</v>
      </c>
      <c r="AP55" s="85">
        <v>35510</v>
      </c>
      <c r="AQ55" s="85">
        <v>34120</v>
      </c>
      <c r="AR55" s="85">
        <v>33780</v>
      </c>
      <c r="AS55" s="85">
        <v>34260</v>
      </c>
      <c r="AT55" s="85">
        <v>34140</v>
      </c>
      <c r="AU55" s="85">
        <v>34820</v>
      </c>
      <c r="AV55" s="85">
        <v>36100</v>
      </c>
      <c r="AW55" s="85">
        <v>37300</v>
      </c>
      <c r="AX55" s="85">
        <v>36950</v>
      </c>
      <c r="AY55" s="85">
        <v>37820</v>
      </c>
      <c r="AZ55" s="85">
        <v>37360</v>
      </c>
      <c r="BA55" s="85">
        <v>36890</v>
      </c>
      <c r="BB55" s="85">
        <v>36490</v>
      </c>
      <c r="BC55" s="85">
        <v>35560</v>
      </c>
      <c r="BD55" s="85">
        <v>35490</v>
      </c>
      <c r="BE55" s="85">
        <v>35490</v>
      </c>
      <c r="BF55" s="85">
        <v>35950</v>
      </c>
      <c r="BG55" s="85">
        <v>36520</v>
      </c>
      <c r="BH55" s="85">
        <v>37040</v>
      </c>
      <c r="BI55" s="85">
        <v>37470</v>
      </c>
      <c r="BJ55" s="85">
        <v>37820</v>
      </c>
      <c r="BK55" s="85">
        <v>38050</v>
      </c>
      <c r="BL55" s="85">
        <v>38190</v>
      </c>
    </row>
    <row r="56" spans="1:64" x14ac:dyDescent="0.2">
      <c r="A56" s="29">
        <v>46</v>
      </c>
      <c r="B56" s="85">
        <v>31920</v>
      </c>
      <c r="C56" s="85">
        <v>33480</v>
      </c>
      <c r="D56" s="85">
        <v>34110</v>
      </c>
      <c r="E56" s="85">
        <v>34280</v>
      </c>
      <c r="F56" s="85">
        <v>33480</v>
      </c>
      <c r="G56" s="85">
        <v>32280</v>
      </c>
      <c r="H56" s="85">
        <v>31920</v>
      </c>
      <c r="I56" s="85">
        <v>32390</v>
      </c>
      <c r="J56" s="85">
        <v>32640</v>
      </c>
      <c r="K56" s="85">
        <v>33240</v>
      </c>
      <c r="L56" s="85">
        <v>33310</v>
      </c>
      <c r="M56" s="85">
        <v>34730</v>
      </c>
      <c r="N56" s="85">
        <v>34020</v>
      </c>
      <c r="O56" s="85">
        <v>33080</v>
      </c>
      <c r="P56" s="85">
        <v>32020</v>
      </c>
      <c r="Q56" s="85">
        <v>30860</v>
      </c>
      <c r="R56" s="85">
        <v>29450</v>
      </c>
      <c r="S56" s="85">
        <v>29600</v>
      </c>
      <c r="T56" s="85">
        <v>29210</v>
      </c>
      <c r="U56" s="85">
        <v>30260</v>
      </c>
      <c r="V56" s="85">
        <v>30370</v>
      </c>
      <c r="W56" s="85">
        <v>30700</v>
      </c>
      <c r="X56" s="85">
        <v>31640</v>
      </c>
      <c r="Y56" s="85">
        <v>32330</v>
      </c>
      <c r="Z56" s="85">
        <v>32950</v>
      </c>
      <c r="AA56" s="85">
        <v>34010</v>
      </c>
      <c r="AB56" s="85">
        <v>34470</v>
      </c>
      <c r="AC56" s="85">
        <v>35540</v>
      </c>
      <c r="AD56" s="85">
        <v>37560</v>
      </c>
      <c r="AE56" s="85">
        <v>38390</v>
      </c>
      <c r="AF56" s="85">
        <v>40390</v>
      </c>
      <c r="AG56" s="85">
        <v>41840</v>
      </c>
      <c r="AH56" s="85">
        <v>41230</v>
      </c>
      <c r="AI56" s="85">
        <v>41040</v>
      </c>
      <c r="AJ56" s="85">
        <v>39910</v>
      </c>
      <c r="AK56" s="85">
        <v>39490</v>
      </c>
      <c r="AL56" s="85">
        <v>38520</v>
      </c>
      <c r="AM56" s="85">
        <v>38070</v>
      </c>
      <c r="AN56" s="85">
        <v>36810</v>
      </c>
      <c r="AO56" s="85">
        <v>35640</v>
      </c>
      <c r="AP56" s="85">
        <v>36260</v>
      </c>
      <c r="AQ56" s="85">
        <v>35490</v>
      </c>
      <c r="AR56" s="85">
        <v>34110</v>
      </c>
      <c r="AS56" s="85">
        <v>33760</v>
      </c>
      <c r="AT56" s="85">
        <v>34250</v>
      </c>
      <c r="AU56" s="85">
        <v>34120</v>
      </c>
      <c r="AV56" s="85">
        <v>34800</v>
      </c>
      <c r="AW56" s="85">
        <v>36080</v>
      </c>
      <c r="AX56" s="85">
        <v>37280</v>
      </c>
      <c r="AY56" s="85">
        <v>36930</v>
      </c>
      <c r="AZ56" s="85">
        <v>37810</v>
      </c>
      <c r="BA56" s="85">
        <v>37350</v>
      </c>
      <c r="BB56" s="85">
        <v>36880</v>
      </c>
      <c r="BC56" s="85">
        <v>36470</v>
      </c>
      <c r="BD56" s="85">
        <v>35550</v>
      </c>
      <c r="BE56" s="85">
        <v>35480</v>
      </c>
      <c r="BF56" s="85">
        <v>35480</v>
      </c>
      <c r="BG56" s="85">
        <v>35940</v>
      </c>
      <c r="BH56" s="85">
        <v>36510</v>
      </c>
      <c r="BI56" s="85">
        <v>37030</v>
      </c>
      <c r="BJ56" s="85">
        <v>37460</v>
      </c>
      <c r="BK56" s="85">
        <v>37810</v>
      </c>
      <c r="BL56" s="85">
        <v>38040</v>
      </c>
    </row>
    <row r="57" spans="1:64" x14ac:dyDescent="0.2">
      <c r="A57" s="29">
        <v>47</v>
      </c>
      <c r="B57" s="85">
        <v>31370</v>
      </c>
      <c r="C57" s="85">
        <v>31900</v>
      </c>
      <c r="D57" s="85">
        <v>33410</v>
      </c>
      <c r="E57" s="85">
        <v>34030</v>
      </c>
      <c r="F57" s="85">
        <v>34240</v>
      </c>
      <c r="G57" s="85">
        <v>33400</v>
      </c>
      <c r="H57" s="85">
        <v>32110</v>
      </c>
      <c r="I57" s="85">
        <v>31790</v>
      </c>
      <c r="J57" s="85">
        <v>32330</v>
      </c>
      <c r="K57" s="85">
        <v>32630</v>
      </c>
      <c r="L57" s="85">
        <v>33310</v>
      </c>
      <c r="M57" s="85">
        <v>33360</v>
      </c>
      <c r="N57" s="85">
        <v>34760</v>
      </c>
      <c r="O57" s="85">
        <v>34030</v>
      </c>
      <c r="P57" s="85">
        <v>33070</v>
      </c>
      <c r="Q57" s="85">
        <v>32000</v>
      </c>
      <c r="R57" s="85">
        <v>30810</v>
      </c>
      <c r="S57" s="85">
        <v>29410</v>
      </c>
      <c r="T57" s="85">
        <v>29560</v>
      </c>
      <c r="U57" s="85">
        <v>29170</v>
      </c>
      <c r="V57" s="85">
        <v>30220</v>
      </c>
      <c r="W57" s="85">
        <v>30330</v>
      </c>
      <c r="X57" s="85">
        <v>30660</v>
      </c>
      <c r="Y57" s="85">
        <v>31600</v>
      </c>
      <c r="Z57" s="85">
        <v>32290</v>
      </c>
      <c r="AA57" s="85">
        <v>32910</v>
      </c>
      <c r="AB57" s="85">
        <v>33970</v>
      </c>
      <c r="AC57" s="85">
        <v>34430</v>
      </c>
      <c r="AD57" s="85">
        <v>35500</v>
      </c>
      <c r="AE57" s="85">
        <v>37520</v>
      </c>
      <c r="AF57" s="85">
        <v>38350</v>
      </c>
      <c r="AG57" s="85">
        <v>40350</v>
      </c>
      <c r="AH57" s="85">
        <v>41790</v>
      </c>
      <c r="AI57" s="85">
        <v>41180</v>
      </c>
      <c r="AJ57" s="85">
        <v>41000</v>
      </c>
      <c r="AK57" s="85">
        <v>39870</v>
      </c>
      <c r="AL57" s="85">
        <v>39460</v>
      </c>
      <c r="AM57" s="85">
        <v>38480</v>
      </c>
      <c r="AN57" s="85">
        <v>38040</v>
      </c>
      <c r="AO57" s="85">
        <v>36770</v>
      </c>
      <c r="AP57" s="85">
        <v>35610</v>
      </c>
      <c r="AQ57" s="85">
        <v>36230</v>
      </c>
      <c r="AR57" s="85">
        <v>35460</v>
      </c>
      <c r="AS57" s="85">
        <v>34080</v>
      </c>
      <c r="AT57" s="85">
        <v>33730</v>
      </c>
      <c r="AU57" s="85">
        <v>34220</v>
      </c>
      <c r="AV57" s="85">
        <v>34100</v>
      </c>
      <c r="AW57" s="85">
        <v>34780</v>
      </c>
      <c r="AX57" s="85">
        <v>36060</v>
      </c>
      <c r="AY57" s="85">
        <v>37260</v>
      </c>
      <c r="AZ57" s="85">
        <v>36910</v>
      </c>
      <c r="BA57" s="85">
        <v>37780</v>
      </c>
      <c r="BB57" s="85">
        <v>37320</v>
      </c>
      <c r="BC57" s="85">
        <v>36860</v>
      </c>
      <c r="BD57" s="85">
        <v>36450</v>
      </c>
      <c r="BE57" s="85">
        <v>35530</v>
      </c>
      <c r="BF57" s="85">
        <v>35460</v>
      </c>
      <c r="BG57" s="85">
        <v>35460</v>
      </c>
      <c r="BH57" s="85">
        <v>35920</v>
      </c>
      <c r="BI57" s="85">
        <v>36490</v>
      </c>
      <c r="BJ57" s="85">
        <v>37010</v>
      </c>
      <c r="BK57" s="85">
        <v>37440</v>
      </c>
      <c r="BL57" s="85">
        <v>37790</v>
      </c>
    </row>
    <row r="58" spans="1:64" x14ac:dyDescent="0.2">
      <c r="A58" s="29">
        <v>48</v>
      </c>
      <c r="B58" s="85">
        <v>29970</v>
      </c>
      <c r="C58" s="85">
        <v>31320</v>
      </c>
      <c r="D58" s="85">
        <v>31780</v>
      </c>
      <c r="E58" s="85">
        <v>33320</v>
      </c>
      <c r="F58" s="85">
        <v>33960</v>
      </c>
      <c r="G58" s="85">
        <v>34130</v>
      </c>
      <c r="H58" s="85">
        <v>33190</v>
      </c>
      <c r="I58" s="85">
        <v>31970</v>
      </c>
      <c r="J58" s="85">
        <v>31730</v>
      </c>
      <c r="K58" s="85">
        <v>32340</v>
      </c>
      <c r="L58" s="85">
        <v>32700</v>
      </c>
      <c r="M58" s="85">
        <v>33340</v>
      </c>
      <c r="N58" s="85">
        <v>33370</v>
      </c>
      <c r="O58" s="85">
        <v>34760</v>
      </c>
      <c r="P58" s="85">
        <v>34010</v>
      </c>
      <c r="Q58" s="85">
        <v>33030</v>
      </c>
      <c r="R58" s="85">
        <v>31940</v>
      </c>
      <c r="S58" s="85">
        <v>30760</v>
      </c>
      <c r="T58" s="85">
        <v>29350</v>
      </c>
      <c r="U58" s="85">
        <v>29510</v>
      </c>
      <c r="V58" s="85">
        <v>29120</v>
      </c>
      <c r="W58" s="85">
        <v>30170</v>
      </c>
      <c r="X58" s="85">
        <v>30280</v>
      </c>
      <c r="Y58" s="85">
        <v>30610</v>
      </c>
      <c r="Z58" s="85">
        <v>31550</v>
      </c>
      <c r="AA58" s="85">
        <v>32240</v>
      </c>
      <c r="AB58" s="85">
        <v>32870</v>
      </c>
      <c r="AC58" s="85">
        <v>33920</v>
      </c>
      <c r="AD58" s="85">
        <v>34380</v>
      </c>
      <c r="AE58" s="85">
        <v>35450</v>
      </c>
      <c r="AF58" s="85">
        <v>37470</v>
      </c>
      <c r="AG58" s="85">
        <v>38300</v>
      </c>
      <c r="AH58" s="85">
        <v>40300</v>
      </c>
      <c r="AI58" s="85">
        <v>41740</v>
      </c>
      <c r="AJ58" s="85">
        <v>41130</v>
      </c>
      <c r="AK58" s="85">
        <v>40950</v>
      </c>
      <c r="AL58" s="85">
        <v>39820</v>
      </c>
      <c r="AM58" s="85">
        <v>39410</v>
      </c>
      <c r="AN58" s="85">
        <v>38440</v>
      </c>
      <c r="AO58" s="85">
        <v>37990</v>
      </c>
      <c r="AP58" s="85">
        <v>36730</v>
      </c>
      <c r="AQ58" s="85">
        <v>35570</v>
      </c>
      <c r="AR58" s="85">
        <v>36190</v>
      </c>
      <c r="AS58" s="85">
        <v>35420</v>
      </c>
      <c r="AT58" s="85">
        <v>34040</v>
      </c>
      <c r="AU58" s="85">
        <v>33700</v>
      </c>
      <c r="AV58" s="85">
        <v>34180</v>
      </c>
      <c r="AW58" s="85">
        <v>34060</v>
      </c>
      <c r="AX58" s="85">
        <v>34740</v>
      </c>
      <c r="AY58" s="85">
        <v>36020</v>
      </c>
      <c r="AZ58" s="85">
        <v>37220</v>
      </c>
      <c r="BA58" s="85">
        <v>36870</v>
      </c>
      <c r="BB58" s="85">
        <v>37750</v>
      </c>
      <c r="BC58" s="85">
        <v>37290</v>
      </c>
      <c r="BD58" s="85">
        <v>36820</v>
      </c>
      <c r="BE58" s="85">
        <v>36420</v>
      </c>
      <c r="BF58" s="85">
        <v>35500</v>
      </c>
      <c r="BG58" s="85">
        <v>35430</v>
      </c>
      <c r="BH58" s="85">
        <v>35430</v>
      </c>
      <c r="BI58" s="85">
        <v>35890</v>
      </c>
      <c r="BJ58" s="85">
        <v>36460</v>
      </c>
      <c r="BK58" s="85">
        <v>36980</v>
      </c>
      <c r="BL58" s="85">
        <v>37410</v>
      </c>
    </row>
    <row r="59" spans="1:64" x14ac:dyDescent="0.2">
      <c r="A59" s="29">
        <v>49</v>
      </c>
      <c r="B59" s="85">
        <v>29280</v>
      </c>
      <c r="C59" s="85">
        <v>29840</v>
      </c>
      <c r="D59" s="85">
        <v>31230</v>
      </c>
      <c r="E59" s="85">
        <v>31700</v>
      </c>
      <c r="F59" s="85">
        <v>33260</v>
      </c>
      <c r="G59" s="85">
        <v>33830</v>
      </c>
      <c r="H59" s="85">
        <v>33930</v>
      </c>
      <c r="I59" s="85">
        <v>33100</v>
      </c>
      <c r="J59" s="85">
        <v>31900</v>
      </c>
      <c r="K59" s="85">
        <v>31740</v>
      </c>
      <c r="L59" s="85">
        <v>32380</v>
      </c>
      <c r="M59" s="85">
        <v>32720</v>
      </c>
      <c r="N59" s="85">
        <v>33350</v>
      </c>
      <c r="O59" s="85">
        <v>33360</v>
      </c>
      <c r="P59" s="85">
        <v>34720</v>
      </c>
      <c r="Q59" s="85">
        <v>33960</v>
      </c>
      <c r="R59" s="85">
        <v>32970</v>
      </c>
      <c r="S59" s="85">
        <v>31880</v>
      </c>
      <c r="T59" s="85">
        <v>30700</v>
      </c>
      <c r="U59" s="85">
        <v>29300</v>
      </c>
      <c r="V59" s="85">
        <v>29450</v>
      </c>
      <c r="W59" s="85">
        <v>29070</v>
      </c>
      <c r="X59" s="85">
        <v>30120</v>
      </c>
      <c r="Y59" s="85">
        <v>30230</v>
      </c>
      <c r="Z59" s="85">
        <v>30560</v>
      </c>
      <c r="AA59" s="85">
        <v>31500</v>
      </c>
      <c r="AB59" s="85">
        <v>32190</v>
      </c>
      <c r="AC59" s="85">
        <v>32810</v>
      </c>
      <c r="AD59" s="85">
        <v>33870</v>
      </c>
      <c r="AE59" s="85">
        <v>34330</v>
      </c>
      <c r="AF59" s="85">
        <v>35400</v>
      </c>
      <c r="AG59" s="85">
        <v>37410</v>
      </c>
      <c r="AH59" s="85">
        <v>38240</v>
      </c>
      <c r="AI59" s="85">
        <v>40250</v>
      </c>
      <c r="AJ59" s="85">
        <v>41690</v>
      </c>
      <c r="AK59" s="85">
        <v>41080</v>
      </c>
      <c r="AL59" s="85">
        <v>40900</v>
      </c>
      <c r="AM59" s="85">
        <v>39770</v>
      </c>
      <c r="AN59" s="85">
        <v>39360</v>
      </c>
      <c r="AO59" s="85">
        <v>38390</v>
      </c>
      <c r="AP59" s="85">
        <v>37950</v>
      </c>
      <c r="AQ59" s="85">
        <v>36690</v>
      </c>
      <c r="AR59" s="85">
        <v>35530</v>
      </c>
      <c r="AS59" s="85">
        <v>36150</v>
      </c>
      <c r="AT59" s="85">
        <v>35380</v>
      </c>
      <c r="AU59" s="85">
        <v>34010</v>
      </c>
      <c r="AV59" s="85">
        <v>33660</v>
      </c>
      <c r="AW59" s="85">
        <v>34150</v>
      </c>
      <c r="AX59" s="85">
        <v>34030</v>
      </c>
      <c r="AY59" s="85">
        <v>34700</v>
      </c>
      <c r="AZ59" s="85">
        <v>35980</v>
      </c>
      <c r="BA59" s="85">
        <v>37190</v>
      </c>
      <c r="BB59" s="85">
        <v>36840</v>
      </c>
      <c r="BC59" s="85">
        <v>37710</v>
      </c>
      <c r="BD59" s="85">
        <v>37250</v>
      </c>
      <c r="BE59" s="85">
        <v>36790</v>
      </c>
      <c r="BF59" s="85">
        <v>36390</v>
      </c>
      <c r="BG59" s="85">
        <v>35470</v>
      </c>
      <c r="BH59" s="85">
        <v>35400</v>
      </c>
      <c r="BI59" s="85">
        <v>35390</v>
      </c>
      <c r="BJ59" s="85">
        <v>35860</v>
      </c>
      <c r="BK59" s="85">
        <v>36430</v>
      </c>
      <c r="BL59" s="85">
        <v>36940</v>
      </c>
    </row>
    <row r="60" spans="1:64" x14ac:dyDescent="0.2">
      <c r="A60" s="29">
        <v>50</v>
      </c>
      <c r="B60" s="85">
        <v>28580</v>
      </c>
      <c r="C60" s="85">
        <v>29200</v>
      </c>
      <c r="D60" s="85">
        <v>29730</v>
      </c>
      <c r="E60" s="85">
        <v>31150</v>
      </c>
      <c r="F60" s="85">
        <v>31650</v>
      </c>
      <c r="G60" s="85">
        <v>33090</v>
      </c>
      <c r="H60" s="85">
        <v>33640</v>
      </c>
      <c r="I60" s="85">
        <v>33790</v>
      </c>
      <c r="J60" s="85">
        <v>33040</v>
      </c>
      <c r="K60" s="85">
        <v>31890</v>
      </c>
      <c r="L60" s="85">
        <v>31760</v>
      </c>
      <c r="M60" s="85">
        <v>32400</v>
      </c>
      <c r="N60" s="85">
        <v>32720</v>
      </c>
      <c r="O60" s="85">
        <v>33330</v>
      </c>
      <c r="P60" s="85">
        <v>33330</v>
      </c>
      <c r="Q60" s="85">
        <v>34670</v>
      </c>
      <c r="R60" s="85">
        <v>33890</v>
      </c>
      <c r="S60" s="85">
        <v>32900</v>
      </c>
      <c r="T60" s="85">
        <v>31820</v>
      </c>
      <c r="U60" s="85">
        <v>30640</v>
      </c>
      <c r="V60" s="85">
        <v>29240</v>
      </c>
      <c r="W60" s="85">
        <v>29400</v>
      </c>
      <c r="X60" s="85">
        <v>29020</v>
      </c>
      <c r="Y60" s="85">
        <v>30060</v>
      </c>
      <c r="Z60" s="85">
        <v>30180</v>
      </c>
      <c r="AA60" s="85">
        <v>30510</v>
      </c>
      <c r="AB60" s="85">
        <v>31450</v>
      </c>
      <c r="AC60" s="85">
        <v>32140</v>
      </c>
      <c r="AD60" s="85">
        <v>32760</v>
      </c>
      <c r="AE60" s="85">
        <v>33820</v>
      </c>
      <c r="AF60" s="85">
        <v>34280</v>
      </c>
      <c r="AG60" s="85">
        <v>35350</v>
      </c>
      <c r="AH60" s="85">
        <v>37360</v>
      </c>
      <c r="AI60" s="85">
        <v>38190</v>
      </c>
      <c r="AJ60" s="85">
        <v>40190</v>
      </c>
      <c r="AK60" s="85">
        <v>41630</v>
      </c>
      <c r="AL60" s="85">
        <v>41030</v>
      </c>
      <c r="AM60" s="85">
        <v>40850</v>
      </c>
      <c r="AN60" s="85">
        <v>39730</v>
      </c>
      <c r="AO60" s="85">
        <v>39310</v>
      </c>
      <c r="AP60" s="85">
        <v>38340</v>
      </c>
      <c r="AQ60" s="85">
        <v>37900</v>
      </c>
      <c r="AR60" s="85">
        <v>36650</v>
      </c>
      <c r="AS60" s="85">
        <v>35490</v>
      </c>
      <c r="AT60" s="85">
        <v>36110</v>
      </c>
      <c r="AU60" s="85">
        <v>35350</v>
      </c>
      <c r="AV60" s="85">
        <v>33970</v>
      </c>
      <c r="AW60" s="85">
        <v>33630</v>
      </c>
      <c r="AX60" s="85">
        <v>34110</v>
      </c>
      <c r="AY60" s="85">
        <v>33990</v>
      </c>
      <c r="AZ60" s="85">
        <v>34670</v>
      </c>
      <c r="BA60" s="85">
        <v>35950</v>
      </c>
      <c r="BB60" s="85">
        <v>37150</v>
      </c>
      <c r="BC60" s="85">
        <v>36800</v>
      </c>
      <c r="BD60" s="85">
        <v>37680</v>
      </c>
      <c r="BE60" s="85">
        <v>37220</v>
      </c>
      <c r="BF60" s="85">
        <v>36760</v>
      </c>
      <c r="BG60" s="85">
        <v>36350</v>
      </c>
      <c r="BH60" s="85">
        <v>35440</v>
      </c>
      <c r="BI60" s="85">
        <v>35370</v>
      </c>
      <c r="BJ60" s="85">
        <v>35360</v>
      </c>
      <c r="BK60" s="85">
        <v>35830</v>
      </c>
      <c r="BL60" s="85">
        <v>36400</v>
      </c>
    </row>
    <row r="61" spans="1:64" x14ac:dyDescent="0.2">
      <c r="A61" s="29">
        <v>51</v>
      </c>
      <c r="B61" s="85">
        <v>27550</v>
      </c>
      <c r="C61" s="85">
        <v>28490</v>
      </c>
      <c r="D61" s="85">
        <v>29090</v>
      </c>
      <c r="E61" s="85">
        <v>29610</v>
      </c>
      <c r="F61" s="85">
        <v>31090</v>
      </c>
      <c r="G61" s="85">
        <v>31520</v>
      </c>
      <c r="H61" s="85">
        <v>32950</v>
      </c>
      <c r="I61" s="85">
        <v>33500</v>
      </c>
      <c r="J61" s="85">
        <v>33700</v>
      </c>
      <c r="K61" s="85">
        <v>33030</v>
      </c>
      <c r="L61" s="85">
        <v>31920</v>
      </c>
      <c r="M61" s="85">
        <v>31760</v>
      </c>
      <c r="N61" s="85">
        <v>32390</v>
      </c>
      <c r="O61" s="85">
        <v>32690</v>
      </c>
      <c r="P61" s="85">
        <v>33290</v>
      </c>
      <c r="Q61" s="85">
        <v>33270</v>
      </c>
      <c r="R61" s="85">
        <v>34600</v>
      </c>
      <c r="S61" s="85">
        <v>33820</v>
      </c>
      <c r="T61" s="85">
        <v>32840</v>
      </c>
      <c r="U61" s="85">
        <v>31760</v>
      </c>
      <c r="V61" s="85">
        <v>30590</v>
      </c>
      <c r="W61" s="85">
        <v>29190</v>
      </c>
      <c r="X61" s="85">
        <v>29350</v>
      </c>
      <c r="Y61" s="85">
        <v>28970</v>
      </c>
      <c r="Z61" s="85">
        <v>30010</v>
      </c>
      <c r="AA61" s="85">
        <v>30130</v>
      </c>
      <c r="AB61" s="85">
        <v>30460</v>
      </c>
      <c r="AC61" s="85">
        <v>31400</v>
      </c>
      <c r="AD61" s="85">
        <v>32090</v>
      </c>
      <c r="AE61" s="85">
        <v>32710</v>
      </c>
      <c r="AF61" s="85">
        <v>33770</v>
      </c>
      <c r="AG61" s="85">
        <v>34230</v>
      </c>
      <c r="AH61" s="85">
        <v>35300</v>
      </c>
      <c r="AI61" s="85">
        <v>37310</v>
      </c>
      <c r="AJ61" s="85">
        <v>38140</v>
      </c>
      <c r="AK61" s="85">
        <v>40140</v>
      </c>
      <c r="AL61" s="85">
        <v>41580</v>
      </c>
      <c r="AM61" s="85">
        <v>40980</v>
      </c>
      <c r="AN61" s="85">
        <v>40800</v>
      </c>
      <c r="AO61" s="85">
        <v>39680</v>
      </c>
      <c r="AP61" s="85">
        <v>39270</v>
      </c>
      <c r="AQ61" s="85">
        <v>38300</v>
      </c>
      <c r="AR61" s="85">
        <v>37860</v>
      </c>
      <c r="AS61" s="85">
        <v>36610</v>
      </c>
      <c r="AT61" s="85">
        <v>35450</v>
      </c>
      <c r="AU61" s="85">
        <v>36070</v>
      </c>
      <c r="AV61" s="85">
        <v>35310</v>
      </c>
      <c r="AW61" s="85">
        <v>33940</v>
      </c>
      <c r="AX61" s="85">
        <v>33590</v>
      </c>
      <c r="AY61" s="85">
        <v>34080</v>
      </c>
      <c r="AZ61" s="85">
        <v>33960</v>
      </c>
      <c r="BA61" s="85">
        <v>34640</v>
      </c>
      <c r="BB61" s="85">
        <v>35920</v>
      </c>
      <c r="BC61" s="85">
        <v>37120</v>
      </c>
      <c r="BD61" s="85">
        <v>36770</v>
      </c>
      <c r="BE61" s="85">
        <v>37650</v>
      </c>
      <c r="BF61" s="85">
        <v>37190</v>
      </c>
      <c r="BG61" s="85">
        <v>36730</v>
      </c>
      <c r="BH61" s="85">
        <v>36330</v>
      </c>
      <c r="BI61" s="85">
        <v>35410</v>
      </c>
      <c r="BJ61" s="85">
        <v>35340</v>
      </c>
      <c r="BK61" s="85">
        <v>35340</v>
      </c>
      <c r="BL61" s="85">
        <v>35810</v>
      </c>
    </row>
    <row r="62" spans="1:64" x14ac:dyDescent="0.2">
      <c r="A62" s="29">
        <v>52</v>
      </c>
      <c r="B62" s="85">
        <v>26780</v>
      </c>
      <c r="C62" s="85">
        <v>27430</v>
      </c>
      <c r="D62" s="85">
        <v>28360</v>
      </c>
      <c r="E62" s="85">
        <v>28970</v>
      </c>
      <c r="F62" s="85">
        <v>29570</v>
      </c>
      <c r="G62" s="85">
        <v>30970</v>
      </c>
      <c r="H62" s="85">
        <v>31340</v>
      </c>
      <c r="I62" s="85">
        <v>32770</v>
      </c>
      <c r="J62" s="85">
        <v>33420</v>
      </c>
      <c r="K62" s="85">
        <v>33690</v>
      </c>
      <c r="L62" s="85">
        <v>33030</v>
      </c>
      <c r="M62" s="85">
        <v>31920</v>
      </c>
      <c r="N62" s="85">
        <v>31750</v>
      </c>
      <c r="O62" s="85">
        <v>32360</v>
      </c>
      <c r="P62" s="85">
        <v>32650</v>
      </c>
      <c r="Q62" s="85">
        <v>33240</v>
      </c>
      <c r="R62" s="85">
        <v>33210</v>
      </c>
      <c r="S62" s="85">
        <v>34540</v>
      </c>
      <c r="T62" s="85">
        <v>33760</v>
      </c>
      <c r="U62" s="85">
        <v>32780</v>
      </c>
      <c r="V62" s="85">
        <v>31700</v>
      </c>
      <c r="W62" s="85">
        <v>30530</v>
      </c>
      <c r="X62" s="85">
        <v>29140</v>
      </c>
      <c r="Y62" s="85">
        <v>29300</v>
      </c>
      <c r="Z62" s="85">
        <v>28920</v>
      </c>
      <c r="AA62" s="85">
        <v>29970</v>
      </c>
      <c r="AB62" s="85">
        <v>30080</v>
      </c>
      <c r="AC62" s="85">
        <v>30420</v>
      </c>
      <c r="AD62" s="85">
        <v>31360</v>
      </c>
      <c r="AE62" s="85">
        <v>32050</v>
      </c>
      <c r="AF62" s="85">
        <v>32670</v>
      </c>
      <c r="AG62" s="85">
        <v>33730</v>
      </c>
      <c r="AH62" s="85">
        <v>34190</v>
      </c>
      <c r="AI62" s="85">
        <v>35260</v>
      </c>
      <c r="AJ62" s="85">
        <v>37270</v>
      </c>
      <c r="AK62" s="85">
        <v>38100</v>
      </c>
      <c r="AL62" s="85">
        <v>40100</v>
      </c>
      <c r="AM62" s="85">
        <v>41540</v>
      </c>
      <c r="AN62" s="85">
        <v>40940</v>
      </c>
      <c r="AO62" s="85">
        <v>40760</v>
      </c>
      <c r="AP62" s="85">
        <v>39640</v>
      </c>
      <c r="AQ62" s="85">
        <v>39230</v>
      </c>
      <c r="AR62" s="85">
        <v>38270</v>
      </c>
      <c r="AS62" s="85">
        <v>37830</v>
      </c>
      <c r="AT62" s="85">
        <v>36580</v>
      </c>
      <c r="AU62" s="85">
        <v>35420</v>
      </c>
      <c r="AV62" s="85">
        <v>36040</v>
      </c>
      <c r="AW62" s="85">
        <v>35280</v>
      </c>
      <c r="AX62" s="85">
        <v>33910</v>
      </c>
      <c r="AY62" s="85">
        <v>33570</v>
      </c>
      <c r="AZ62" s="85">
        <v>34050</v>
      </c>
      <c r="BA62" s="85">
        <v>33930</v>
      </c>
      <c r="BB62" s="85">
        <v>34610</v>
      </c>
      <c r="BC62" s="85">
        <v>35890</v>
      </c>
      <c r="BD62" s="85">
        <v>37090</v>
      </c>
      <c r="BE62" s="85">
        <v>36750</v>
      </c>
      <c r="BF62" s="85">
        <v>37620</v>
      </c>
      <c r="BG62" s="85">
        <v>37170</v>
      </c>
      <c r="BH62" s="85">
        <v>36710</v>
      </c>
      <c r="BI62" s="85">
        <v>36300</v>
      </c>
      <c r="BJ62" s="85">
        <v>35390</v>
      </c>
      <c r="BK62" s="85">
        <v>35320</v>
      </c>
      <c r="BL62" s="85">
        <v>35320</v>
      </c>
    </row>
    <row r="63" spans="1:64" x14ac:dyDescent="0.2">
      <c r="A63" s="29">
        <v>53</v>
      </c>
      <c r="B63" s="85">
        <v>25610</v>
      </c>
      <c r="C63" s="85">
        <v>26710</v>
      </c>
      <c r="D63" s="85">
        <v>27350</v>
      </c>
      <c r="E63" s="85">
        <v>28270</v>
      </c>
      <c r="F63" s="85">
        <v>28970</v>
      </c>
      <c r="G63" s="85">
        <v>29410</v>
      </c>
      <c r="H63" s="85">
        <v>30830</v>
      </c>
      <c r="I63" s="85">
        <v>31240</v>
      </c>
      <c r="J63" s="85">
        <v>32720</v>
      </c>
      <c r="K63" s="85">
        <v>33370</v>
      </c>
      <c r="L63" s="85">
        <v>33660</v>
      </c>
      <c r="M63" s="85">
        <v>33020</v>
      </c>
      <c r="N63" s="85">
        <v>31910</v>
      </c>
      <c r="O63" s="85">
        <v>31730</v>
      </c>
      <c r="P63" s="85">
        <v>32330</v>
      </c>
      <c r="Q63" s="85">
        <v>32610</v>
      </c>
      <c r="R63" s="85">
        <v>33180</v>
      </c>
      <c r="S63" s="85">
        <v>33150</v>
      </c>
      <c r="T63" s="85">
        <v>34480</v>
      </c>
      <c r="U63" s="85">
        <v>33710</v>
      </c>
      <c r="V63" s="85">
        <v>32730</v>
      </c>
      <c r="W63" s="85">
        <v>31650</v>
      </c>
      <c r="X63" s="85">
        <v>30490</v>
      </c>
      <c r="Y63" s="85">
        <v>29100</v>
      </c>
      <c r="Z63" s="85">
        <v>29260</v>
      </c>
      <c r="AA63" s="85">
        <v>28890</v>
      </c>
      <c r="AB63" s="85">
        <v>29930</v>
      </c>
      <c r="AC63" s="85">
        <v>30050</v>
      </c>
      <c r="AD63" s="85">
        <v>30380</v>
      </c>
      <c r="AE63" s="85">
        <v>31320</v>
      </c>
      <c r="AF63" s="85">
        <v>32010</v>
      </c>
      <c r="AG63" s="85">
        <v>32640</v>
      </c>
      <c r="AH63" s="85">
        <v>33690</v>
      </c>
      <c r="AI63" s="85">
        <v>34150</v>
      </c>
      <c r="AJ63" s="85">
        <v>35220</v>
      </c>
      <c r="AK63" s="85">
        <v>37230</v>
      </c>
      <c r="AL63" s="85">
        <v>38060</v>
      </c>
      <c r="AM63" s="85">
        <v>40060</v>
      </c>
      <c r="AN63" s="85">
        <v>41500</v>
      </c>
      <c r="AO63" s="85">
        <v>40900</v>
      </c>
      <c r="AP63" s="85">
        <v>40720</v>
      </c>
      <c r="AQ63" s="85">
        <v>39610</v>
      </c>
      <c r="AR63" s="85">
        <v>39200</v>
      </c>
      <c r="AS63" s="85">
        <v>38240</v>
      </c>
      <c r="AT63" s="85">
        <v>37800</v>
      </c>
      <c r="AU63" s="85">
        <v>36550</v>
      </c>
      <c r="AV63" s="85">
        <v>35400</v>
      </c>
      <c r="AW63" s="85">
        <v>36020</v>
      </c>
      <c r="AX63" s="85">
        <v>35260</v>
      </c>
      <c r="AY63" s="85">
        <v>33890</v>
      </c>
      <c r="AZ63" s="85">
        <v>33550</v>
      </c>
      <c r="BA63" s="85">
        <v>34030</v>
      </c>
      <c r="BB63" s="85">
        <v>33920</v>
      </c>
      <c r="BC63" s="85">
        <v>34600</v>
      </c>
      <c r="BD63" s="85">
        <v>35870</v>
      </c>
      <c r="BE63" s="85">
        <v>37080</v>
      </c>
      <c r="BF63" s="85">
        <v>36730</v>
      </c>
      <c r="BG63" s="85">
        <v>37610</v>
      </c>
      <c r="BH63" s="85">
        <v>37150</v>
      </c>
      <c r="BI63" s="85">
        <v>36690</v>
      </c>
      <c r="BJ63" s="85">
        <v>36290</v>
      </c>
      <c r="BK63" s="85">
        <v>35380</v>
      </c>
      <c r="BL63" s="85">
        <v>35310</v>
      </c>
    </row>
    <row r="64" spans="1:64" x14ac:dyDescent="0.2">
      <c r="A64" s="29">
        <v>54</v>
      </c>
      <c r="B64" s="85">
        <v>25210</v>
      </c>
      <c r="C64" s="85">
        <v>25540</v>
      </c>
      <c r="D64" s="85">
        <v>26610</v>
      </c>
      <c r="E64" s="85">
        <v>27230</v>
      </c>
      <c r="F64" s="85">
        <v>28220</v>
      </c>
      <c r="G64" s="85">
        <v>28900</v>
      </c>
      <c r="H64" s="85">
        <v>29320</v>
      </c>
      <c r="I64" s="85">
        <v>30700</v>
      </c>
      <c r="J64" s="85">
        <v>31170</v>
      </c>
      <c r="K64" s="85">
        <v>32670</v>
      </c>
      <c r="L64" s="85">
        <v>33350</v>
      </c>
      <c r="M64" s="85">
        <v>33650</v>
      </c>
      <c r="N64" s="85">
        <v>33010</v>
      </c>
      <c r="O64" s="85">
        <v>31880</v>
      </c>
      <c r="P64" s="85">
        <v>31690</v>
      </c>
      <c r="Q64" s="85">
        <v>32280</v>
      </c>
      <c r="R64" s="85">
        <v>32550</v>
      </c>
      <c r="S64" s="85">
        <v>33120</v>
      </c>
      <c r="T64" s="85">
        <v>33100</v>
      </c>
      <c r="U64" s="85">
        <v>34420</v>
      </c>
      <c r="V64" s="85">
        <v>33660</v>
      </c>
      <c r="W64" s="85">
        <v>32680</v>
      </c>
      <c r="X64" s="85">
        <v>31610</v>
      </c>
      <c r="Y64" s="85">
        <v>30450</v>
      </c>
      <c r="Z64" s="85">
        <v>29070</v>
      </c>
      <c r="AA64" s="85">
        <v>29230</v>
      </c>
      <c r="AB64" s="85">
        <v>28850</v>
      </c>
      <c r="AC64" s="85">
        <v>29900</v>
      </c>
      <c r="AD64" s="85">
        <v>30020</v>
      </c>
      <c r="AE64" s="85">
        <v>30350</v>
      </c>
      <c r="AF64" s="85">
        <v>31290</v>
      </c>
      <c r="AG64" s="85">
        <v>31980</v>
      </c>
      <c r="AH64" s="85">
        <v>32610</v>
      </c>
      <c r="AI64" s="85">
        <v>33660</v>
      </c>
      <c r="AJ64" s="85">
        <v>34120</v>
      </c>
      <c r="AK64" s="85">
        <v>35190</v>
      </c>
      <c r="AL64" s="85">
        <v>37200</v>
      </c>
      <c r="AM64" s="85">
        <v>38030</v>
      </c>
      <c r="AN64" s="85">
        <v>40030</v>
      </c>
      <c r="AO64" s="85">
        <v>41470</v>
      </c>
      <c r="AP64" s="85">
        <v>40870</v>
      </c>
      <c r="AQ64" s="85">
        <v>40690</v>
      </c>
      <c r="AR64" s="85">
        <v>39580</v>
      </c>
      <c r="AS64" s="85">
        <v>39180</v>
      </c>
      <c r="AT64" s="85">
        <v>38210</v>
      </c>
      <c r="AU64" s="85">
        <v>37780</v>
      </c>
      <c r="AV64" s="85">
        <v>36530</v>
      </c>
      <c r="AW64" s="85">
        <v>35380</v>
      </c>
      <c r="AX64" s="85">
        <v>36000</v>
      </c>
      <c r="AY64" s="85">
        <v>35240</v>
      </c>
      <c r="AZ64" s="85">
        <v>33880</v>
      </c>
      <c r="BA64" s="85">
        <v>33540</v>
      </c>
      <c r="BB64" s="85">
        <v>34020</v>
      </c>
      <c r="BC64" s="85">
        <v>33910</v>
      </c>
      <c r="BD64" s="85">
        <v>34590</v>
      </c>
      <c r="BE64" s="85">
        <v>35870</v>
      </c>
      <c r="BF64" s="85">
        <v>37070</v>
      </c>
      <c r="BG64" s="85">
        <v>36720</v>
      </c>
      <c r="BH64" s="85">
        <v>37600</v>
      </c>
      <c r="BI64" s="85">
        <v>37140</v>
      </c>
      <c r="BJ64" s="85">
        <v>36680</v>
      </c>
      <c r="BK64" s="85">
        <v>36280</v>
      </c>
      <c r="BL64" s="85">
        <v>35370</v>
      </c>
    </row>
    <row r="65" spans="1:64" x14ac:dyDescent="0.2">
      <c r="A65" s="29">
        <v>55</v>
      </c>
      <c r="B65" s="85">
        <v>24770</v>
      </c>
      <c r="C65" s="85">
        <v>25110</v>
      </c>
      <c r="D65" s="85">
        <v>25500</v>
      </c>
      <c r="E65" s="85">
        <v>26580</v>
      </c>
      <c r="F65" s="85">
        <v>27210</v>
      </c>
      <c r="G65" s="85">
        <v>28110</v>
      </c>
      <c r="H65" s="85">
        <v>28840</v>
      </c>
      <c r="I65" s="85">
        <v>29230</v>
      </c>
      <c r="J65" s="85">
        <v>30650</v>
      </c>
      <c r="K65" s="85">
        <v>31150</v>
      </c>
      <c r="L65" s="85">
        <v>32660</v>
      </c>
      <c r="M65" s="85">
        <v>33350</v>
      </c>
      <c r="N65" s="85">
        <v>33640</v>
      </c>
      <c r="O65" s="85">
        <v>32990</v>
      </c>
      <c r="P65" s="85">
        <v>31860</v>
      </c>
      <c r="Q65" s="85">
        <v>31660</v>
      </c>
      <c r="R65" s="85">
        <v>32240</v>
      </c>
      <c r="S65" s="85">
        <v>32500</v>
      </c>
      <c r="T65" s="85">
        <v>33080</v>
      </c>
      <c r="U65" s="85">
        <v>33050</v>
      </c>
      <c r="V65" s="85">
        <v>34380</v>
      </c>
      <c r="W65" s="85">
        <v>33610</v>
      </c>
      <c r="X65" s="85">
        <v>32650</v>
      </c>
      <c r="Y65" s="85">
        <v>31580</v>
      </c>
      <c r="Z65" s="85">
        <v>30420</v>
      </c>
      <c r="AA65" s="85">
        <v>29040</v>
      </c>
      <c r="AB65" s="85">
        <v>29200</v>
      </c>
      <c r="AC65" s="85">
        <v>28830</v>
      </c>
      <c r="AD65" s="85">
        <v>29880</v>
      </c>
      <c r="AE65" s="85">
        <v>30000</v>
      </c>
      <c r="AF65" s="85">
        <v>30330</v>
      </c>
      <c r="AG65" s="85">
        <v>31270</v>
      </c>
      <c r="AH65" s="85">
        <v>31960</v>
      </c>
      <c r="AI65" s="85">
        <v>32590</v>
      </c>
      <c r="AJ65" s="85">
        <v>33640</v>
      </c>
      <c r="AK65" s="85">
        <v>34100</v>
      </c>
      <c r="AL65" s="85">
        <v>35170</v>
      </c>
      <c r="AM65" s="85">
        <v>37180</v>
      </c>
      <c r="AN65" s="85">
        <v>38010</v>
      </c>
      <c r="AO65" s="85">
        <v>40010</v>
      </c>
      <c r="AP65" s="85">
        <v>41450</v>
      </c>
      <c r="AQ65" s="85">
        <v>40850</v>
      </c>
      <c r="AR65" s="85">
        <v>40680</v>
      </c>
      <c r="AS65" s="85">
        <v>39570</v>
      </c>
      <c r="AT65" s="85">
        <v>39160</v>
      </c>
      <c r="AU65" s="85">
        <v>38200</v>
      </c>
      <c r="AV65" s="85">
        <v>37770</v>
      </c>
      <c r="AW65" s="85">
        <v>36520</v>
      </c>
      <c r="AX65" s="85">
        <v>35380</v>
      </c>
      <c r="AY65" s="85">
        <v>36000</v>
      </c>
      <c r="AZ65" s="85">
        <v>35240</v>
      </c>
      <c r="BA65" s="85">
        <v>33880</v>
      </c>
      <c r="BB65" s="85">
        <v>33540</v>
      </c>
      <c r="BC65" s="85">
        <v>34030</v>
      </c>
      <c r="BD65" s="85">
        <v>33910</v>
      </c>
      <c r="BE65" s="85">
        <v>34590</v>
      </c>
      <c r="BF65" s="85">
        <v>35870</v>
      </c>
      <c r="BG65" s="85">
        <v>37070</v>
      </c>
      <c r="BH65" s="85">
        <v>36730</v>
      </c>
      <c r="BI65" s="85">
        <v>37600</v>
      </c>
      <c r="BJ65" s="85">
        <v>37150</v>
      </c>
      <c r="BK65" s="85">
        <v>36690</v>
      </c>
      <c r="BL65" s="85">
        <v>36290</v>
      </c>
    </row>
    <row r="66" spans="1:64" x14ac:dyDescent="0.2">
      <c r="A66" s="29">
        <v>56</v>
      </c>
      <c r="B66" s="85">
        <v>24930</v>
      </c>
      <c r="C66" s="85">
        <v>24730</v>
      </c>
      <c r="D66" s="85">
        <v>25040</v>
      </c>
      <c r="E66" s="85">
        <v>25500</v>
      </c>
      <c r="F66" s="85">
        <v>26570</v>
      </c>
      <c r="G66" s="85">
        <v>27160</v>
      </c>
      <c r="H66" s="85">
        <v>28040</v>
      </c>
      <c r="I66" s="85">
        <v>28790</v>
      </c>
      <c r="J66" s="85">
        <v>29210</v>
      </c>
      <c r="K66" s="85">
        <v>30630</v>
      </c>
      <c r="L66" s="85">
        <v>31190</v>
      </c>
      <c r="M66" s="85">
        <v>32680</v>
      </c>
      <c r="N66" s="85">
        <v>33350</v>
      </c>
      <c r="O66" s="85">
        <v>33630</v>
      </c>
      <c r="P66" s="85">
        <v>32970</v>
      </c>
      <c r="Q66" s="85">
        <v>31830</v>
      </c>
      <c r="R66" s="85">
        <v>31620</v>
      </c>
      <c r="S66" s="85">
        <v>32200</v>
      </c>
      <c r="T66" s="85">
        <v>32470</v>
      </c>
      <c r="U66" s="85">
        <v>33040</v>
      </c>
      <c r="V66" s="85">
        <v>33020</v>
      </c>
      <c r="W66" s="85">
        <v>34340</v>
      </c>
      <c r="X66" s="85">
        <v>33580</v>
      </c>
      <c r="Y66" s="85">
        <v>32620</v>
      </c>
      <c r="Z66" s="85">
        <v>31560</v>
      </c>
      <c r="AA66" s="85">
        <v>30400</v>
      </c>
      <c r="AB66" s="85">
        <v>29030</v>
      </c>
      <c r="AC66" s="85">
        <v>29190</v>
      </c>
      <c r="AD66" s="85">
        <v>28820</v>
      </c>
      <c r="AE66" s="85">
        <v>29870</v>
      </c>
      <c r="AF66" s="85">
        <v>29990</v>
      </c>
      <c r="AG66" s="85">
        <v>30320</v>
      </c>
      <c r="AH66" s="85">
        <v>31260</v>
      </c>
      <c r="AI66" s="85">
        <v>31950</v>
      </c>
      <c r="AJ66" s="85">
        <v>32580</v>
      </c>
      <c r="AK66" s="85">
        <v>33630</v>
      </c>
      <c r="AL66" s="85">
        <v>34100</v>
      </c>
      <c r="AM66" s="85">
        <v>35170</v>
      </c>
      <c r="AN66" s="85">
        <v>37170</v>
      </c>
      <c r="AO66" s="85">
        <v>38000</v>
      </c>
      <c r="AP66" s="85">
        <v>40000</v>
      </c>
      <c r="AQ66" s="85">
        <v>41440</v>
      </c>
      <c r="AR66" s="85">
        <v>40840</v>
      </c>
      <c r="AS66" s="85">
        <v>40670</v>
      </c>
      <c r="AT66" s="85">
        <v>39560</v>
      </c>
      <c r="AU66" s="85">
        <v>39160</v>
      </c>
      <c r="AV66" s="85">
        <v>38200</v>
      </c>
      <c r="AW66" s="85">
        <v>37770</v>
      </c>
      <c r="AX66" s="85">
        <v>36530</v>
      </c>
      <c r="AY66" s="85">
        <v>35380</v>
      </c>
      <c r="AZ66" s="85">
        <v>36000</v>
      </c>
      <c r="BA66" s="85">
        <v>35250</v>
      </c>
      <c r="BB66" s="85">
        <v>33890</v>
      </c>
      <c r="BC66" s="85">
        <v>33550</v>
      </c>
      <c r="BD66" s="85">
        <v>34040</v>
      </c>
      <c r="BE66" s="85">
        <v>33920</v>
      </c>
      <c r="BF66" s="85">
        <v>34600</v>
      </c>
      <c r="BG66" s="85">
        <v>35880</v>
      </c>
      <c r="BH66" s="85">
        <v>37080</v>
      </c>
      <c r="BI66" s="85">
        <v>36740</v>
      </c>
      <c r="BJ66" s="85">
        <v>37620</v>
      </c>
      <c r="BK66" s="85">
        <v>37160</v>
      </c>
      <c r="BL66" s="85">
        <v>36710</v>
      </c>
    </row>
    <row r="67" spans="1:64" x14ac:dyDescent="0.2">
      <c r="A67" s="29">
        <v>57</v>
      </c>
      <c r="B67" s="85">
        <v>24090</v>
      </c>
      <c r="C67" s="85">
        <v>24850</v>
      </c>
      <c r="D67" s="85">
        <v>24680</v>
      </c>
      <c r="E67" s="85">
        <v>25000</v>
      </c>
      <c r="F67" s="85">
        <v>25510</v>
      </c>
      <c r="G67" s="85">
        <v>26540</v>
      </c>
      <c r="H67" s="85">
        <v>27140</v>
      </c>
      <c r="I67" s="85">
        <v>27970</v>
      </c>
      <c r="J67" s="85">
        <v>28750</v>
      </c>
      <c r="K67" s="85">
        <v>29250</v>
      </c>
      <c r="L67" s="85">
        <v>30660</v>
      </c>
      <c r="M67" s="85">
        <v>31220</v>
      </c>
      <c r="N67" s="85">
        <v>32690</v>
      </c>
      <c r="O67" s="85">
        <v>33350</v>
      </c>
      <c r="P67" s="85">
        <v>33620</v>
      </c>
      <c r="Q67" s="85">
        <v>32940</v>
      </c>
      <c r="R67" s="85">
        <v>31790</v>
      </c>
      <c r="S67" s="85">
        <v>31590</v>
      </c>
      <c r="T67" s="85">
        <v>32160</v>
      </c>
      <c r="U67" s="85">
        <v>32440</v>
      </c>
      <c r="V67" s="85">
        <v>33010</v>
      </c>
      <c r="W67" s="85">
        <v>32990</v>
      </c>
      <c r="X67" s="85">
        <v>34320</v>
      </c>
      <c r="Y67" s="85">
        <v>33560</v>
      </c>
      <c r="Z67" s="85">
        <v>32600</v>
      </c>
      <c r="AA67" s="85">
        <v>31540</v>
      </c>
      <c r="AB67" s="85">
        <v>30390</v>
      </c>
      <c r="AC67" s="85">
        <v>29020</v>
      </c>
      <c r="AD67" s="85">
        <v>29190</v>
      </c>
      <c r="AE67" s="85">
        <v>28820</v>
      </c>
      <c r="AF67" s="85">
        <v>29860</v>
      </c>
      <c r="AG67" s="85">
        <v>29990</v>
      </c>
      <c r="AH67" s="85">
        <v>30320</v>
      </c>
      <c r="AI67" s="85">
        <v>31260</v>
      </c>
      <c r="AJ67" s="85">
        <v>31950</v>
      </c>
      <c r="AK67" s="85">
        <v>32580</v>
      </c>
      <c r="AL67" s="85">
        <v>33640</v>
      </c>
      <c r="AM67" s="85">
        <v>34100</v>
      </c>
      <c r="AN67" s="85">
        <v>35170</v>
      </c>
      <c r="AO67" s="85">
        <v>37170</v>
      </c>
      <c r="AP67" s="85">
        <v>38000</v>
      </c>
      <c r="AQ67" s="85">
        <v>40000</v>
      </c>
      <c r="AR67" s="85">
        <v>41440</v>
      </c>
      <c r="AS67" s="85">
        <v>40850</v>
      </c>
      <c r="AT67" s="85">
        <v>40680</v>
      </c>
      <c r="AU67" s="85">
        <v>39570</v>
      </c>
      <c r="AV67" s="85">
        <v>39170</v>
      </c>
      <c r="AW67" s="85">
        <v>38220</v>
      </c>
      <c r="AX67" s="85">
        <v>37780</v>
      </c>
      <c r="AY67" s="85">
        <v>36540</v>
      </c>
      <c r="AZ67" s="85">
        <v>35400</v>
      </c>
      <c r="BA67" s="85">
        <v>36020</v>
      </c>
      <c r="BB67" s="85">
        <v>35270</v>
      </c>
      <c r="BC67" s="85">
        <v>33910</v>
      </c>
      <c r="BD67" s="85">
        <v>33570</v>
      </c>
      <c r="BE67" s="85">
        <v>34060</v>
      </c>
      <c r="BF67" s="85">
        <v>33950</v>
      </c>
      <c r="BG67" s="85">
        <v>34630</v>
      </c>
      <c r="BH67" s="85">
        <v>35900</v>
      </c>
      <c r="BI67" s="85">
        <v>37100</v>
      </c>
      <c r="BJ67" s="85">
        <v>36770</v>
      </c>
      <c r="BK67" s="85">
        <v>37640</v>
      </c>
      <c r="BL67" s="85">
        <v>37190</v>
      </c>
    </row>
    <row r="68" spans="1:64" x14ac:dyDescent="0.2">
      <c r="A68" s="29">
        <v>58</v>
      </c>
      <c r="B68" s="85">
        <v>24480</v>
      </c>
      <c r="C68" s="85">
        <v>24050</v>
      </c>
      <c r="D68" s="85">
        <v>24700</v>
      </c>
      <c r="E68" s="85">
        <v>24570</v>
      </c>
      <c r="F68" s="85">
        <v>25000</v>
      </c>
      <c r="G68" s="85">
        <v>25480</v>
      </c>
      <c r="H68" s="85">
        <v>26530</v>
      </c>
      <c r="I68" s="85">
        <v>27100</v>
      </c>
      <c r="J68" s="85">
        <v>27950</v>
      </c>
      <c r="K68" s="85">
        <v>28800</v>
      </c>
      <c r="L68" s="85">
        <v>29310</v>
      </c>
      <c r="M68" s="85">
        <v>30700</v>
      </c>
      <c r="N68" s="85">
        <v>31250</v>
      </c>
      <c r="O68" s="85">
        <v>32700</v>
      </c>
      <c r="P68" s="85">
        <v>33340</v>
      </c>
      <c r="Q68" s="85">
        <v>33600</v>
      </c>
      <c r="R68" s="85">
        <v>32910</v>
      </c>
      <c r="S68" s="85">
        <v>31770</v>
      </c>
      <c r="T68" s="85">
        <v>31560</v>
      </c>
      <c r="U68" s="85">
        <v>32140</v>
      </c>
      <c r="V68" s="85">
        <v>32410</v>
      </c>
      <c r="W68" s="85">
        <v>32990</v>
      </c>
      <c r="X68" s="85">
        <v>32980</v>
      </c>
      <c r="Y68" s="85">
        <v>34300</v>
      </c>
      <c r="Z68" s="85">
        <v>33550</v>
      </c>
      <c r="AA68" s="85">
        <v>32590</v>
      </c>
      <c r="AB68" s="85">
        <v>31540</v>
      </c>
      <c r="AC68" s="85">
        <v>30390</v>
      </c>
      <c r="AD68" s="85">
        <v>29030</v>
      </c>
      <c r="AE68" s="85">
        <v>29190</v>
      </c>
      <c r="AF68" s="85">
        <v>28830</v>
      </c>
      <c r="AG68" s="85">
        <v>29870</v>
      </c>
      <c r="AH68" s="85">
        <v>29990</v>
      </c>
      <c r="AI68" s="85">
        <v>30330</v>
      </c>
      <c r="AJ68" s="85">
        <v>31270</v>
      </c>
      <c r="AK68" s="85">
        <v>31960</v>
      </c>
      <c r="AL68" s="85">
        <v>32590</v>
      </c>
      <c r="AM68" s="85">
        <v>33650</v>
      </c>
      <c r="AN68" s="85">
        <v>34110</v>
      </c>
      <c r="AO68" s="85">
        <v>35180</v>
      </c>
      <c r="AP68" s="85">
        <v>37180</v>
      </c>
      <c r="AQ68" s="85">
        <v>38010</v>
      </c>
      <c r="AR68" s="85">
        <v>40010</v>
      </c>
      <c r="AS68" s="85">
        <v>41450</v>
      </c>
      <c r="AT68" s="85">
        <v>40860</v>
      </c>
      <c r="AU68" s="85">
        <v>40690</v>
      </c>
      <c r="AV68" s="85">
        <v>39590</v>
      </c>
      <c r="AW68" s="85">
        <v>39190</v>
      </c>
      <c r="AX68" s="85">
        <v>38240</v>
      </c>
      <c r="AY68" s="85">
        <v>37810</v>
      </c>
      <c r="AZ68" s="85">
        <v>36570</v>
      </c>
      <c r="BA68" s="85">
        <v>35430</v>
      </c>
      <c r="BB68" s="85">
        <v>36050</v>
      </c>
      <c r="BC68" s="85">
        <v>35300</v>
      </c>
      <c r="BD68" s="85">
        <v>33940</v>
      </c>
      <c r="BE68" s="85">
        <v>33600</v>
      </c>
      <c r="BF68" s="85">
        <v>34090</v>
      </c>
      <c r="BG68" s="85">
        <v>33980</v>
      </c>
      <c r="BH68" s="85">
        <v>34660</v>
      </c>
      <c r="BI68" s="85">
        <v>35940</v>
      </c>
      <c r="BJ68" s="85">
        <v>37140</v>
      </c>
      <c r="BK68" s="85">
        <v>36800</v>
      </c>
      <c r="BL68" s="85">
        <v>37680</v>
      </c>
    </row>
    <row r="69" spans="1:64" x14ac:dyDescent="0.2">
      <c r="A69" s="29">
        <v>59</v>
      </c>
      <c r="B69" s="85">
        <v>24660</v>
      </c>
      <c r="C69" s="85">
        <v>24450</v>
      </c>
      <c r="D69" s="85">
        <v>23980</v>
      </c>
      <c r="E69" s="85">
        <v>24630</v>
      </c>
      <c r="F69" s="85">
        <v>24500</v>
      </c>
      <c r="G69" s="85">
        <v>24970</v>
      </c>
      <c r="H69" s="85">
        <v>25480</v>
      </c>
      <c r="I69" s="85">
        <v>26490</v>
      </c>
      <c r="J69" s="85">
        <v>27120</v>
      </c>
      <c r="K69" s="85">
        <v>28010</v>
      </c>
      <c r="L69" s="85">
        <v>28900</v>
      </c>
      <c r="M69" s="85">
        <v>29370</v>
      </c>
      <c r="N69" s="85">
        <v>30740</v>
      </c>
      <c r="O69" s="85">
        <v>31270</v>
      </c>
      <c r="P69" s="85">
        <v>32700</v>
      </c>
      <c r="Q69" s="85">
        <v>33330</v>
      </c>
      <c r="R69" s="85">
        <v>33560</v>
      </c>
      <c r="S69" s="85">
        <v>32880</v>
      </c>
      <c r="T69" s="85">
        <v>31740</v>
      </c>
      <c r="U69" s="85">
        <v>31540</v>
      </c>
      <c r="V69" s="85">
        <v>32120</v>
      </c>
      <c r="W69" s="85">
        <v>32400</v>
      </c>
      <c r="X69" s="85">
        <v>32980</v>
      </c>
      <c r="Y69" s="85">
        <v>32960</v>
      </c>
      <c r="Z69" s="85">
        <v>34280</v>
      </c>
      <c r="AA69" s="85">
        <v>33540</v>
      </c>
      <c r="AB69" s="85">
        <v>32590</v>
      </c>
      <c r="AC69" s="85">
        <v>31540</v>
      </c>
      <c r="AD69" s="85">
        <v>30400</v>
      </c>
      <c r="AE69" s="85">
        <v>29040</v>
      </c>
      <c r="AF69" s="85">
        <v>29200</v>
      </c>
      <c r="AG69" s="85">
        <v>28840</v>
      </c>
      <c r="AH69" s="85">
        <v>29880</v>
      </c>
      <c r="AI69" s="85">
        <v>30010</v>
      </c>
      <c r="AJ69" s="85">
        <v>30350</v>
      </c>
      <c r="AK69" s="85">
        <v>31290</v>
      </c>
      <c r="AL69" s="85">
        <v>31980</v>
      </c>
      <c r="AM69" s="85">
        <v>32610</v>
      </c>
      <c r="AN69" s="85">
        <v>33660</v>
      </c>
      <c r="AO69" s="85">
        <v>34130</v>
      </c>
      <c r="AP69" s="85">
        <v>35200</v>
      </c>
      <c r="AQ69" s="85">
        <v>37200</v>
      </c>
      <c r="AR69" s="85">
        <v>38030</v>
      </c>
      <c r="AS69" s="85">
        <v>40020</v>
      </c>
      <c r="AT69" s="85">
        <v>41460</v>
      </c>
      <c r="AU69" s="85">
        <v>40880</v>
      </c>
      <c r="AV69" s="85">
        <v>40710</v>
      </c>
      <c r="AW69" s="85">
        <v>39610</v>
      </c>
      <c r="AX69" s="85">
        <v>39210</v>
      </c>
      <c r="AY69" s="85">
        <v>38260</v>
      </c>
      <c r="AZ69" s="85">
        <v>37840</v>
      </c>
      <c r="BA69" s="85">
        <v>36600</v>
      </c>
      <c r="BB69" s="85">
        <v>35460</v>
      </c>
      <c r="BC69" s="85">
        <v>36080</v>
      </c>
      <c r="BD69" s="85">
        <v>35340</v>
      </c>
      <c r="BE69" s="85">
        <v>33980</v>
      </c>
      <c r="BF69" s="85">
        <v>33640</v>
      </c>
      <c r="BG69" s="85">
        <v>34130</v>
      </c>
      <c r="BH69" s="85">
        <v>34020</v>
      </c>
      <c r="BI69" s="85">
        <v>34700</v>
      </c>
      <c r="BJ69" s="85">
        <v>35980</v>
      </c>
      <c r="BK69" s="85">
        <v>37180</v>
      </c>
      <c r="BL69" s="85">
        <v>36840</v>
      </c>
    </row>
    <row r="70" spans="1:64" x14ac:dyDescent="0.2">
      <c r="A70" s="29">
        <v>60</v>
      </c>
      <c r="B70" s="85">
        <v>20800</v>
      </c>
      <c r="C70" s="85">
        <v>24570</v>
      </c>
      <c r="D70" s="85">
        <v>24410</v>
      </c>
      <c r="E70" s="85">
        <v>23930</v>
      </c>
      <c r="F70" s="85">
        <v>24560</v>
      </c>
      <c r="G70" s="85">
        <v>24490</v>
      </c>
      <c r="H70" s="85">
        <v>24980</v>
      </c>
      <c r="I70" s="85">
        <v>25490</v>
      </c>
      <c r="J70" s="85">
        <v>26520</v>
      </c>
      <c r="K70" s="85">
        <v>27160</v>
      </c>
      <c r="L70" s="85">
        <v>28060</v>
      </c>
      <c r="M70" s="85">
        <v>28960</v>
      </c>
      <c r="N70" s="85">
        <v>29410</v>
      </c>
      <c r="O70" s="85">
        <v>30760</v>
      </c>
      <c r="P70" s="85">
        <v>31270</v>
      </c>
      <c r="Q70" s="85">
        <v>32680</v>
      </c>
      <c r="R70" s="85">
        <v>33280</v>
      </c>
      <c r="S70" s="85">
        <v>33520</v>
      </c>
      <c r="T70" s="85">
        <v>32850</v>
      </c>
      <c r="U70" s="85">
        <v>31720</v>
      </c>
      <c r="V70" s="85">
        <v>31520</v>
      </c>
      <c r="W70" s="85">
        <v>32100</v>
      </c>
      <c r="X70" s="85">
        <v>32380</v>
      </c>
      <c r="Y70" s="85">
        <v>32960</v>
      </c>
      <c r="Z70" s="85">
        <v>32950</v>
      </c>
      <c r="AA70" s="85">
        <v>34270</v>
      </c>
      <c r="AB70" s="85">
        <v>33530</v>
      </c>
      <c r="AC70" s="85">
        <v>32580</v>
      </c>
      <c r="AD70" s="85">
        <v>31540</v>
      </c>
      <c r="AE70" s="85">
        <v>30400</v>
      </c>
      <c r="AF70" s="85">
        <v>29050</v>
      </c>
      <c r="AG70" s="85">
        <v>29220</v>
      </c>
      <c r="AH70" s="85">
        <v>28860</v>
      </c>
      <c r="AI70" s="85">
        <v>29900</v>
      </c>
      <c r="AJ70" s="85">
        <v>30020</v>
      </c>
      <c r="AK70" s="85">
        <v>30370</v>
      </c>
      <c r="AL70" s="85">
        <v>31300</v>
      </c>
      <c r="AM70" s="85">
        <v>32000</v>
      </c>
      <c r="AN70" s="85">
        <v>32630</v>
      </c>
      <c r="AO70" s="85">
        <v>33680</v>
      </c>
      <c r="AP70" s="85">
        <v>34150</v>
      </c>
      <c r="AQ70" s="85">
        <v>35220</v>
      </c>
      <c r="AR70" s="85">
        <v>37220</v>
      </c>
      <c r="AS70" s="85">
        <v>38050</v>
      </c>
      <c r="AT70" s="85">
        <v>40040</v>
      </c>
      <c r="AU70" s="85">
        <v>41480</v>
      </c>
      <c r="AV70" s="85">
        <v>40900</v>
      </c>
      <c r="AW70" s="85">
        <v>40730</v>
      </c>
      <c r="AX70" s="85">
        <v>39630</v>
      </c>
      <c r="AY70" s="85">
        <v>39240</v>
      </c>
      <c r="AZ70" s="85">
        <v>38290</v>
      </c>
      <c r="BA70" s="85">
        <v>37870</v>
      </c>
      <c r="BB70" s="85">
        <v>36630</v>
      </c>
      <c r="BC70" s="85">
        <v>35500</v>
      </c>
      <c r="BD70" s="85">
        <v>36120</v>
      </c>
      <c r="BE70" s="85">
        <v>35370</v>
      </c>
      <c r="BF70" s="85">
        <v>34020</v>
      </c>
      <c r="BG70" s="85">
        <v>33690</v>
      </c>
      <c r="BH70" s="85">
        <v>34180</v>
      </c>
      <c r="BI70" s="85">
        <v>34060</v>
      </c>
      <c r="BJ70" s="85">
        <v>34750</v>
      </c>
      <c r="BK70" s="85">
        <v>36020</v>
      </c>
      <c r="BL70" s="85">
        <v>37220</v>
      </c>
    </row>
    <row r="71" spans="1:64" x14ac:dyDescent="0.2">
      <c r="A71" s="29">
        <v>61</v>
      </c>
      <c r="B71" s="85">
        <v>19700</v>
      </c>
      <c r="C71" s="85">
        <v>20750</v>
      </c>
      <c r="D71" s="85">
        <v>24470</v>
      </c>
      <c r="E71" s="85">
        <v>24340</v>
      </c>
      <c r="F71" s="85">
        <v>23890</v>
      </c>
      <c r="G71" s="85">
        <v>24540</v>
      </c>
      <c r="H71" s="85">
        <v>24440</v>
      </c>
      <c r="I71" s="85">
        <v>24970</v>
      </c>
      <c r="J71" s="85">
        <v>25480</v>
      </c>
      <c r="K71" s="85">
        <v>26560</v>
      </c>
      <c r="L71" s="85">
        <v>27290</v>
      </c>
      <c r="M71" s="85">
        <v>28100</v>
      </c>
      <c r="N71" s="85">
        <v>28980</v>
      </c>
      <c r="O71" s="85">
        <v>29410</v>
      </c>
      <c r="P71" s="85">
        <v>30750</v>
      </c>
      <c r="Q71" s="85">
        <v>31240</v>
      </c>
      <c r="R71" s="85">
        <v>32630</v>
      </c>
      <c r="S71" s="85">
        <v>33240</v>
      </c>
      <c r="T71" s="85">
        <v>33480</v>
      </c>
      <c r="U71" s="85">
        <v>32810</v>
      </c>
      <c r="V71" s="85">
        <v>31680</v>
      </c>
      <c r="W71" s="85">
        <v>31490</v>
      </c>
      <c r="X71" s="85">
        <v>32070</v>
      </c>
      <c r="Y71" s="85">
        <v>32360</v>
      </c>
      <c r="Z71" s="85">
        <v>32930</v>
      </c>
      <c r="AA71" s="85">
        <v>32930</v>
      </c>
      <c r="AB71" s="85">
        <v>34250</v>
      </c>
      <c r="AC71" s="85">
        <v>33510</v>
      </c>
      <c r="AD71" s="85">
        <v>32570</v>
      </c>
      <c r="AE71" s="85">
        <v>31530</v>
      </c>
      <c r="AF71" s="85">
        <v>30400</v>
      </c>
      <c r="AG71" s="85">
        <v>29050</v>
      </c>
      <c r="AH71" s="85">
        <v>29220</v>
      </c>
      <c r="AI71" s="85">
        <v>28870</v>
      </c>
      <c r="AJ71" s="85">
        <v>29910</v>
      </c>
      <c r="AK71" s="85">
        <v>30030</v>
      </c>
      <c r="AL71" s="85">
        <v>30380</v>
      </c>
      <c r="AM71" s="85">
        <v>31320</v>
      </c>
      <c r="AN71" s="85">
        <v>32010</v>
      </c>
      <c r="AO71" s="85">
        <v>32640</v>
      </c>
      <c r="AP71" s="85">
        <v>33690</v>
      </c>
      <c r="AQ71" s="85">
        <v>34160</v>
      </c>
      <c r="AR71" s="85">
        <v>35230</v>
      </c>
      <c r="AS71" s="85">
        <v>37230</v>
      </c>
      <c r="AT71" s="85">
        <v>38060</v>
      </c>
      <c r="AU71" s="85">
        <v>40050</v>
      </c>
      <c r="AV71" s="85">
        <v>41490</v>
      </c>
      <c r="AW71" s="85">
        <v>40910</v>
      </c>
      <c r="AX71" s="85">
        <v>40750</v>
      </c>
      <c r="AY71" s="85">
        <v>39650</v>
      </c>
      <c r="AZ71" s="85">
        <v>39260</v>
      </c>
      <c r="BA71" s="85">
        <v>38320</v>
      </c>
      <c r="BB71" s="85">
        <v>37890</v>
      </c>
      <c r="BC71" s="85">
        <v>36660</v>
      </c>
      <c r="BD71" s="85">
        <v>35530</v>
      </c>
      <c r="BE71" s="85">
        <v>36150</v>
      </c>
      <c r="BF71" s="85">
        <v>35410</v>
      </c>
      <c r="BG71" s="85">
        <v>34060</v>
      </c>
      <c r="BH71" s="85">
        <v>33720</v>
      </c>
      <c r="BI71" s="85">
        <v>34220</v>
      </c>
      <c r="BJ71" s="85">
        <v>34110</v>
      </c>
      <c r="BK71" s="85">
        <v>34790</v>
      </c>
      <c r="BL71" s="85">
        <v>36060</v>
      </c>
    </row>
    <row r="72" spans="1:64" x14ac:dyDescent="0.2">
      <c r="A72" s="29">
        <v>62</v>
      </c>
      <c r="B72" s="85">
        <v>18680</v>
      </c>
      <c r="C72" s="85">
        <v>19610</v>
      </c>
      <c r="D72" s="85">
        <v>20680</v>
      </c>
      <c r="E72" s="85">
        <v>24370</v>
      </c>
      <c r="F72" s="85">
        <v>24280</v>
      </c>
      <c r="G72" s="85">
        <v>23840</v>
      </c>
      <c r="H72" s="85">
        <v>24510</v>
      </c>
      <c r="I72" s="85">
        <v>24380</v>
      </c>
      <c r="J72" s="85">
        <v>24990</v>
      </c>
      <c r="K72" s="85">
        <v>25470</v>
      </c>
      <c r="L72" s="85">
        <v>26610</v>
      </c>
      <c r="M72" s="85">
        <v>27320</v>
      </c>
      <c r="N72" s="85">
        <v>28110</v>
      </c>
      <c r="O72" s="85">
        <v>28970</v>
      </c>
      <c r="P72" s="85">
        <v>29390</v>
      </c>
      <c r="Q72" s="85">
        <v>30700</v>
      </c>
      <c r="R72" s="85">
        <v>31180</v>
      </c>
      <c r="S72" s="85">
        <v>32570</v>
      </c>
      <c r="T72" s="85">
        <v>33180</v>
      </c>
      <c r="U72" s="85">
        <v>33420</v>
      </c>
      <c r="V72" s="85">
        <v>32760</v>
      </c>
      <c r="W72" s="85">
        <v>31650</v>
      </c>
      <c r="X72" s="85">
        <v>31460</v>
      </c>
      <c r="Y72" s="85">
        <v>32040</v>
      </c>
      <c r="Z72" s="85">
        <v>32320</v>
      </c>
      <c r="AA72" s="85">
        <v>32910</v>
      </c>
      <c r="AB72" s="85">
        <v>32900</v>
      </c>
      <c r="AC72" s="85">
        <v>34220</v>
      </c>
      <c r="AD72" s="85">
        <v>33490</v>
      </c>
      <c r="AE72" s="85">
        <v>32550</v>
      </c>
      <c r="AF72" s="85">
        <v>31520</v>
      </c>
      <c r="AG72" s="85">
        <v>30400</v>
      </c>
      <c r="AH72" s="85">
        <v>29050</v>
      </c>
      <c r="AI72" s="85">
        <v>29220</v>
      </c>
      <c r="AJ72" s="85">
        <v>28870</v>
      </c>
      <c r="AK72" s="85">
        <v>29910</v>
      </c>
      <c r="AL72" s="85">
        <v>30040</v>
      </c>
      <c r="AM72" s="85">
        <v>30390</v>
      </c>
      <c r="AN72" s="85">
        <v>31320</v>
      </c>
      <c r="AO72" s="85">
        <v>32020</v>
      </c>
      <c r="AP72" s="85">
        <v>32650</v>
      </c>
      <c r="AQ72" s="85">
        <v>33700</v>
      </c>
      <c r="AR72" s="85">
        <v>34170</v>
      </c>
      <c r="AS72" s="85">
        <v>35240</v>
      </c>
      <c r="AT72" s="85">
        <v>37240</v>
      </c>
      <c r="AU72" s="85">
        <v>38070</v>
      </c>
      <c r="AV72" s="85">
        <v>40060</v>
      </c>
      <c r="AW72" s="85">
        <v>41500</v>
      </c>
      <c r="AX72" s="85">
        <v>40920</v>
      </c>
      <c r="AY72" s="85">
        <v>40760</v>
      </c>
      <c r="AZ72" s="85">
        <v>39670</v>
      </c>
      <c r="BA72" s="85">
        <v>39280</v>
      </c>
      <c r="BB72" s="85">
        <v>38340</v>
      </c>
      <c r="BC72" s="85">
        <v>37920</v>
      </c>
      <c r="BD72" s="85">
        <v>36690</v>
      </c>
      <c r="BE72" s="85">
        <v>35560</v>
      </c>
      <c r="BF72" s="85">
        <v>36180</v>
      </c>
      <c r="BG72" s="85">
        <v>35440</v>
      </c>
      <c r="BH72" s="85">
        <v>34090</v>
      </c>
      <c r="BI72" s="85">
        <v>33760</v>
      </c>
      <c r="BJ72" s="85">
        <v>34250</v>
      </c>
      <c r="BK72" s="85">
        <v>34140</v>
      </c>
      <c r="BL72" s="85">
        <v>34830</v>
      </c>
    </row>
    <row r="73" spans="1:64" x14ac:dyDescent="0.2">
      <c r="A73" s="29">
        <v>63</v>
      </c>
      <c r="B73" s="85">
        <v>16840</v>
      </c>
      <c r="C73" s="85">
        <v>18600</v>
      </c>
      <c r="D73" s="85">
        <v>19540</v>
      </c>
      <c r="E73" s="85">
        <v>20580</v>
      </c>
      <c r="F73" s="85">
        <v>24270</v>
      </c>
      <c r="G73" s="85">
        <v>24200</v>
      </c>
      <c r="H73" s="85">
        <v>23820</v>
      </c>
      <c r="I73" s="85">
        <v>24470</v>
      </c>
      <c r="J73" s="85">
        <v>24330</v>
      </c>
      <c r="K73" s="85">
        <v>25040</v>
      </c>
      <c r="L73" s="85">
        <v>25450</v>
      </c>
      <c r="M73" s="85">
        <v>26610</v>
      </c>
      <c r="N73" s="85">
        <v>27310</v>
      </c>
      <c r="O73" s="85">
        <v>28090</v>
      </c>
      <c r="P73" s="85">
        <v>28930</v>
      </c>
      <c r="Q73" s="85">
        <v>29340</v>
      </c>
      <c r="R73" s="85">
        <v>30630</v>
      </c>
      <c r="S73" s="85">
        <v>31120</v>
      </c>
      <c r="T73" s="85">
        <v>32500</v>
      </c>
      <c r="U73" s="85">
        <v>33110</v>
      </c>
      <c r="V73" s="85">
        <v>33360</v>
      </c>
      <c r="W73" s="85">
        <v>32700</v>
      </c>
      <c r="X73" s="85">
        <v>31590</v>
      </c>
      <c r="Y73" s="85">
        <v>31410</v>
      </c>
      <c r="Z73" s="85">
        <v>32000</v>
      </c>
      <c r="AA73" s="85">
        <v>32280</v>
      </c>
      <c r="AB73" s="85">
        <v>32860</v>
      </c>
      <c r="AC73" s="85">
        <v>32870</v>
      </c>
      <c r="AD73" s="85">
        <v>34180</v>
      </c>
      <c r="AE73" s="85">
        <v>33460</v>
      </c>
      <c r="AF73" s="85">
        <v>32530</v>
      </c>
      <c r="AG73" s="85">
        <v>31500</v>
      </c>
      <c r="AH73" s="85">
        <v>30380</v>
      </c>
      <c r="AI73" s="85">
        <v>29040</v>
      </c>
      <c r="AJ73" s="85">
        <v>29220</v>
      </c>
      <c r="AK73" s="85">
        <v>28870</v>
      </c>
      <c r="AL73" s="85">
        <v>29910</v>
      </c>
      <c r="AM73" s="85">
        <v>30040</v>
      </c>
      <c r="AN73" s="85">
        <v>30380</v>
      </c>
      <c r="AO73" s="85">
        <v>31320</v>
      </c>
      <c r="AP73" s="85">
        <v>32020</v>
      </c>
      <c r="AQ73" s="85">
        <v>32650</v>
      </c>
      <c r="AR73" s="85">
        <v>33700</v>
      </c>
      <c r="AS73" s="85">
        <v>34170</v>
      </c>
      <c r="AT73" s="85">
        <v>35240</v>
      </c>
      <c r="AU73" s="85">
        <v>37240</v>
      </c>
      <c r="AV73" s="85">
        <v>38070</v>
      </c>
      <c r="AW73" s="85">
        <v>40060</v>
      </c>
      <c r="AX73" s="85">
        <v>41500</v>
      </c>
      <c r="AY73" s="85">
        <v>40920</v>
      </c>
      <c r="AZ73" s="85">
        <v>40760</v>
      </c>
      <c r="BA73" s="85">
        <v>39680</v>
      </c>
      <c r="BB73" s="85">
        <v>39290</v>
      </c>
      <c r="BC73" s="85">
        <v>38350</v>
      </c>
      <c r="BD73" s="85">
        <v>37930</v>
      </c>
      <c r="BE73" s="85">
        <v>36710</v>
      </c>
      <c r="BF73" s="85">
        <v>35580</v>
      </c>
      <c r="BG73" s="85">
        <v>36200</v>
      </c>
      <c r="BH73" s="85">
        <v>35460</v>
      </c>
      <c r="BI73" s="85">
        <v>34120</v>
      </c>
      <c r="BJ73" s="85">
        <v>33790</v>
      </c>
      <c r="BK73" s="85">
        <v>34280</v>
      </c>
      <c r="BL73" s="85">
        <v>34170</v>
      </c>
    </row>
    <row r="74" spans="1:64" x14ac:dyDescent="0.2">
      <c r="A74" s="29">
        <v>64</v>
      </c>
      <c r="B74" s="85">
        <v>18730</v>
      </c>
      <c r="C74" s="85">
        <v>16750</v>
      </c>
      <c r="D74" s="85">
        <v>18530</v>
      </c>
      <c r="E74" s="85">
        <v>19490</v>
      </c>
      <c r="F74" s="85">
        <v>20520</v>
      </c>
      <c r="G74" s="85">
        <v>24170</v>
      </c>
      <c r="H74" s="85">
        <v>24150</v>
      </c>
      <c r="I74" s="85">
        <v>23800</v>
      </c>
      <c r="J74" s="85">
        <v>24420</v>
      </c>
      <c r="K74" s="85">
        <v>24270</v>
      </c>
      <c r="L74" s="85">
        <v>25000</v>
      </c>
      <c r="M74" s="85">
        <v>25430</v>
      </c>
      <c r="N74" s="85">
        <v>26580</v>
      </c>
      <c r="O74" s="85">
        <v>27260</v>
      </c>
      <c r="P74" s="85">
        <v>28020</v>
      </c>
      <c r="Q74" s="85">
        <v>28850</v>
      </c>
      <c r="R74" s="85">
        <v>29250</v>
      </c>
      <c r="S74" s="85">
        <v>30540</v>
      </c>
      <c r="T74" s="85">
        <v>31030</v>
      </c>
      <c r="U74" s="85">
        <v>32420</v>
      </c>
      <c r="V74" s="85">
        <v>33030</v>
      </c>
      <c r="W74" s="85">
        <v>33280</v>
      </c>
      <c r="X74" s="85">
        <v>32630</v>
      </c>
      <c r="Y74" s="85">
        <v>31530</v>
      </c>
      <c r="Z74" s="85">
        <v>31350</v>
      </c>
      <c r="AA74" s="85">
        <v>31940</v>
      </c>
      <c r="AB74" s="85">
        <v>32220</v>
      </c>
      <c r="AC74" s="85">
        <v>32810</v>
      </c>
      <c r="AD74" s="85">
        <v>32810</v>
      </c>
      <c r="AE74" s="85">
        <v>34130</v>
      </c>
      <c r="AF74" s="85">
        <v>33410</v>
      </c>
      <c r="AG74" s="85">
        <v>32480</v>
      </c>
      <c r="AH74" s="85">
        <v>31460</v>
      </c>
      <c r="AI74" s="85">
        <v>30350</v>
      </c>
      <c r="AJ74" s="85">
        <v>29020</v>
      </c>
      <c r="AK74" s="85">
        <v>29200</v>
      </c>
      <c r="AL74" s="85">
        <v>28850</v>
      </c>
      <c r="AM74" s="85">
        <v>29890</v>
      </c>
      <c r="AN74" s="85">
        <v>30020</v>
      </c>
      <c r="AO74" s="85">
        <v>30370</v>
      </c>
      <c r="AP74" s="85">
        <v>31310</v>
      </c>
      <c r="AQ74" s="85">
        <v>32000</v>
      </c>
      <c r="AR74" s="85">
        <v>32640</v>
      </c>
      <c r="AS74" s="85">
        <v>33690</v>
      </c>
      <c r="AT74" s="85">
        <v>34160</v>
      </c>
      <c r="AU74" s="85">
        <v>35230</v>
      </c>
      <c r="AV74" s="85">
        <v>37230</v>
      </c>
      <c r="AW74" s="85">
        <v>38060</v>
      </c>
      <c r="AX74" s="85">
        <v>40050</v>
      </c>
      <c r="AY74" s="85">
        <v>41480</v>
      </c>
      <c r="AZ74" s="85">
        <v>40910</v>
      </c>
      <c r="BA74" s="85">
        <v>40760</v>
      </c>
      <c r="BB74" s="85">
        <v>39670</v>
      </c>
      <c r="BC74" s="85">
        <v>39290</v>
      </c>
      <c r="BD74" s="85">
        <v>38350</v>
      </c>
      <c r="BE74" s="85">
        <v>37930</v>
      </c>
      <c r="BF74" s="85">
        <v>36710</v>
      </c>
      <c r="BG74" s="85">
        <v>35590</v>
      </c>
      <c r="BH74" s="85">
        <v>36210</v>
      </c>
      <c r="BI74" s="85">
        <v>35480</v>
      </c>
      <c r="BJ74" s="85">
        <v>34130</v>
      </c>
      <c r="BK74" s="85">
        <v>33810</v>
      </c>
      <c r="BL74" s="85">
        <v>34300</v>
      </c>
    </row>
    <row r="75" spans="1:64" x14ac:dyDescent="0.2">
      <c r="A75" s="29">
        <v>65</v>
      </c>
      <c r="B75" s="85">
        <v>18400</v>
      </c>
      <c r="C75" s="85">
        <v>18630</v>
      </c>
      <c r="D75" s="85">
        <v>16670</v>
      </c>
      <c r="E75" s="85">
        <v>18440</v>
      </c>
      <c r="F75" s="85">
        <v>19440</v>
      </c>
      <c r="G75" s="85">
        <v>20450</v>
      </c>
      <c r="H75" s="85">
        <v>24040</v>
      </c>
      <c r="I75" s="85">
        <v>24050</v>
      </c>
      <c r="J75" s="85">
        <v>23740</v>
      </c>
      <c r="K75" s="85">
        <v>24380</v>
      </c>
      <c r="L75" s="85">
        <v>24270</v>
      </c>
      <c r="M75" s="85">
        <v>24950</v>
      </c>
      <c r="N75" s="85">
        <v>25370</v>
      </c>
      <c r="O75" s="85">
        <v>26500</v>
      </c>
      <c r="P75" s="85">
        <v>27170</v>
      </c>
      <c r="Q75" s="85">
        <v>27930</v>
      </c>
      <c r="R75" s="85">
        <v>28750</v>
      </c>
      <c r="S75" s="85">
        <v>29150</v>
      </c>
      <c r="T75" s="85">
        <v>30440</v>
      </c>
      <c r="U75" s="85">
        <v>30930</v>
      </c>
      <c r="V75" s="85">
        <v>32310</v>
      </c>
      <c r="W75" s="85">
        <v>32920</v>
      </c>
      <c r="X75" s="85">
        <v>33180</v>
      </c>
      <c r="Y75" s="85">
        <v>32540</v>
      </c>
      <c r="Z75" s="85">
        <v>31450</v>
      </c>
      <c r="AA75" s="85">
        <v>31270</v>
      </c>
      <c r="AB75" s="85">
        <v>31860</v>
      </c>
      <c r="AC75" s="85">
        <v>32150</v>
      </c>
      <c r="AD75" s="85">
        <v>32740</v>
      </c>
      <c r="AE75" s="85">
        <v>32750</v>
      </c>
      <c r="AF75" s="85">
        <v>34060</v>
      </c>
      <c r="AG75" s="85">
        <v>33350</v>
      </c>
      <c r="AH75" s="85">
        <v>32430</v>
      </c>
      <c r="AI75" s="85">
        <v>31410</v>
      </c>
      <c r="AJ75" s="85">
        <v>30310</v>
      </c>
      <c r="AK75" s="85">
        <v>28980</v>
      </c>
      <c r="AL75" s="85">
        <v>29160</v>
      </c>
      <c r="AM75" s="85">
        <v>28820</v>
      </c>
      <c r="AN75" s="85">
        <v>29860</v>
      </c>
      <c r="AO75" s="85">
        <v>29990</v>
      </c>
      <c r="AP75" s="85">
        <v>30340</v>
      </c>
      <c r="AQ75" s="85">
        <v>31280</v>
      </c>
      <c r="AR75" s="85">
        <v>31980</v>
      </c>
      <c r="AS75" s="85">
        <v>32610</v>
      </c>
      <c r="AT75" s="85">
        <v>33670</v>
      </c>
      <c r="AU75" s="85">
        <v>34140</v>
      </c>
      <c r="AV75" s="85">
        <v>35210</v>
      </c>
      <c r="AW75" s="85">
        <v>37200</v>
      </c>
      <c r="AX75" s="85">
        <v>38040</v>
      </c>
      <c r="AY75" s="85">
        <v>40020</v>
      </c>
      <c r="AZ75" s="85">
        <v>41460</v>
      </c>
      <c r="BA75" s="85">
        <v>40890</v>
      </c>
      <c r="BB75" s="85">
        <v>40730</v>
      </c>
      <c r="BC75" s="85">
        <v>39650</v>
      </c>
      <c r="BD75" s="85">
        <v>39270</v>
      </c>
      <c r="BE75" s="85">
        <v>38340</v>
      </c>
      <c r="BF75" s="85">
        <v>37930</v>
      </c>
      <c r="BG75" s="85">
        <v>36710</v>
      </c>
      <c r="BH75" s="85">
        <v>35590</v>
      </c>
      <c r="BI75" s="85">
        <v>36210</v>
      </c>
      <c r="BJ75" s="85">
        <v>35480</v>
      </c>
      <c r="BK75" s="85">
        <v>34140</v>
      </c>
      <c r="BL75" s="85">
        <v>33810</v>
      </c>
    </row>
    <row r="76" spans="1:64" x14ac:dyDescent="0.2">
      <c r="A76" s="29">
        <v>66</v>
      </c>
      <c r="B76" s="85">
        <v>16900</v>
      </c>
      <c r="C76" s="85">
        <v>18240</v>
      </c>
      <c r="D76" s="85">
        <v>18470</v>
      </c>
      <c r="E76" s="85">
        <v>16570</v>
      </c>
      <c r="F76" s="85">
        <v>18340</v>
      </c>
      <c r="G76" s="85">
        <v>19330</v>
      </c>
      <c r="H76" s="85">
        <v>20350</v>
      </c>
      <c r="I76" s="85">
        <v>23940</v>
      </c>
      <c r="J76" s="85">
        <v>23970</v>
      </c>
      <c r="K76" s="85">
        <v>23670</v>
      </c>
      <c r="L76" s="85">
        <v>24270</v>
      </c>
      <c r="M76" s="85">
        <v>24200</v>
      </c>
      <c r="N76" s="85">
        <v>24870</v>
      </c>
      <c r="O76" s="85">
        <v>25280</v>
      </c>
      <c r="P76" s="85">
        <v>26400</v>
      </c>
      <c r="Q76" s="85">
        <v>27060</v>
      </c>
      <c r="R76" s="85">
        <v>27810</v>
      </c>
      <c r="S76" s="85">
        <v>28630</v>
      </c>
      <c r="T76" s="85">
        <v>29030</v>
      </c>
      <c r="U76" s="85">
        <v>30320</v>
      </c>
      <c r="V76" s="85">
        <v>30810</v>
      </c>
      <c r="W76" s="85">
        <v>32190</v>
      </c>
      <c r="X76" s="85">
        <v>32810</v>
      </c>
      <c r="Y76" s="85">
        <v>33070</v>
      </c>
      <c r="Z76" s="85">
        <v>32430</v>
      </c>
      <c r="AA76" s="85">
        <v>31350</v>
      </c>
      <c r="AB76" s="85">
        <v>31180</v>
      </c>
      <c r="AC76" s="85">
        <v>31770</v>
      </c>
      <c r="AD76" s="85">
        <v>32070</v>
      </c>
      <c r="AE76" s="85">
        <v>32650</v>
      </c>
      <c r="AF76" s="85">
        <v>32670</v>
      </c>
      <c r="AG76" s="85">
        <v>33980</v>
      </c>
      <c r="AH76" s="85">
        <v>33270</v>
      </c>
      <c r="AI76" s="85">
        <v>32360</v>
      </c>
      <c r="AJ76" s="85">
        <v>31350</v>
      </c>
      <c r="AK76" s="85">
        <v>30250</v>
      </c>
      <c r="AL76" s="85">
        <v>28930</v>
      </c>
      <c r="AM76" s="85">
        <v>29120</v>
      </c>
      <c r="AN76" s="85">
        <v>28780</v>
      </c>
      <c r="AO76" s="85">
        <v>29820</v>
      </c>
      <c r="AP76" s="85">
        <v>29950</v>
      </c>
      <c r="AQ76" s="85">
        <v>30300</v>
      </c>
      <c r="AR76" s="85">
        <v>31240</v>
      </c>
      <c r="AS76" s="85">
        <v>31940</v>
      </c>
      <c r="AT76" s="85">
        <v>32570</v>
      </c>
      <c r="AU76" s="85">
        <v>33630</v>
      </c>
      <c r="AV76" s="85">
        <v>34100</v>
      </c>
      <c r="AW76" s="85">
        <v>35170</v>
      </c>
      <c r="AX76" s="85">
        <v>37160</v>
      </c>
      <c r="AY76" s="85">
        <v>38000</v>
      </c>
      <c r="AZ76" s="85">
        <v>39980</v>
      </c>
      <c r="BA76" s="85">
        <v>41420</v>
      </c>
      <c r="BB76" s="85">
        <v>40850</v>
      </c>
      <c r="BC76" s="85">
        <v>40700</v>
      </c>
      <c r="BD76" s="85">
        <v>39630</v>
      </c>
      <c r="BE76" s="85">
        <v>39250</v>
      </c>
      <c r="BF76" s="85">
        <v>38320</v>
      </c>
      <c r="BG76" s="85">
        <v>37910</v>
      </c>
      <c r="BH76" s="85">
        <v>36690</v>
      </c>
      <c r="BI76" s="85">
        <v>35580</v>
      </c>
      <c r="BJ76" s="85">
        <v>36200</v>
      </c>
      <c r="BK76" s="85">
        <v>35470</v>
      </c>
      <c r="BL76" s="85">
        <v>34130</v>
      </c>
    </row>
    <row r="77" spans="1:64" x14ac:dyDescent="0.2">
      <c r="A77" s="29">
        <v>67</v>
      </c>
      <c r="B77" s="85">
        <v>15620</v>
      </c>
      <c r="C77" s="85">
        <v>16740</v>
      </c>
      <c r="D77" s="85">
        <v>18050</v>
      </c>
      <c r="E77" s="85">
        <v>18370</v>
      </c>
      <c r="F77" s="85">
        <v>16430</v>
      </c>
      <c r="G77" s="85">
        <v>18210</v>
      </c>
      <c r="H77" s="85">
        <v>19190</v>
      </c>
      <c r="I77" s="85">
        <v>20190</v>
      </c>
      <c r="J77" s="85">
        <v>23830</v>
      </c>
      <c r="K77" s="85">
        <v>23860</v>
      </c>
      <c r="L77" s="85">
        <v>23580</v>
      </c>
      <c r="M77" s="85">
        <v>24170</v>
      </c>
      <c r="N77" s="85">
        <v>24090</v>
      </c>
      <c r="O77" s="85">
        <v>24760</v>
      </c>
      <c r="P77" s="85">
        <v>25160</v>
      </c>
      <c r="Q77" s="85">
        <v>26270</v>
      </c>
      <c r="R77" s="85">
        <v>26920</v>
      </c>
      <c r="S77" s="85">
        <v>27670</v>
      </c>
      <c r="T77" s="85">
        <v>28490</v>
      </c>
      <c r="U77" s="85">
        <v>28890</v>
      </c>
      <c r="V77" s="85">
        <v>30180</v>
      </c>
      <c r="W77" s="85">
        <v>30670</v>
      </c>
      <c r="X77" s="85">
        <v>32050</v>
      </c>
      <c r="Y77" s="85">
        <v>32670</v>
      </c>
      <c r="Z77" s="85">
        <v>32930</v>
      </c>
      <c r="AA77" s="85">
        <v>32310</v>
      </c>
      <c r="AB77" s="85">
        <v>31240</v>
      </c>
      <c r="AC77" s="85">
        <v>31070</v>
      </c>
      <c r="AD77" s="85">
        <v>31660</v>
      </c>
      <c r="AE77" s="85">
        <v>31960</v>
      </c>
      <c r="AF77" s="85">
        <v>32550</v>
      </c>
      <c r="AG77" s="85">
        <v>32570</v>
      </c>
      <c r="AH77" s="85">
        <v>33880</v>
      </c>
      <c r="AI77" s="85">
        <v>33180</v>
      </c>
      <c r="AJ77" s="85">
        <v>32280</v>
      </c>
      <c r="AK77" s="85">
        <v>31270</v>
      </c>
      <c r="AL77" s="85">
        <v>30180</v>
      </c>
      <c r="AM77" s="85">
        <v>28870</v>
      </c>
      <c r="AN77" s="85">
        <v>29050</v>
      </c>
      <c r="AO77" s="85">
        <v>28720</v>
      </c>
      <c r="AP77" s="85">
        <v>29760</v>
      </c>
      <c r="AQ77" s="85">
        <v>29900</v>
      </c>
      <c r="AR77" s="85">
        <v>30250</v>
      </c>
      <c r="AS77" s="85">
        <v>31190</v>
      </c>
      <c r="AT77" s="85">
        <v>31890</v>
      </c>
      <c r="AU77" s="85">
        <v>32520</v>
      </c>
      <c r="AV77" s="85">
        <v>33580</v>
      </c>
      <c r="AW77" s="85">
        <v>34050</v>
      </c>
      <c r="AX77" s="85">
        <v>35120</v>
      </c>
      <c r="AY77" s="85">
        <v>37110</v>
      </c>
      <c r="AZ77" s="85">
        <v>37950</v>
      </c>
      <c r="BA77" s="85">
        <v>39930</v>
      </c>
      <c r="BB77" s="85">
        <v>41370</v>
      </c>
      <c r="BC77" s="85">
        <v>40810</v>
      </c>
      <c r="BD77" s="85">
        <v>40660</v>
      </c>
      <c r="BE77" s="85">
        <v>39580</v>
      </c>
      <c r="BF77" s="85">
        <v>39210</v>
      </c>
      <c r="BG77" s="85">
        <v>38280</v>
      </c>
      <c r="BH77" s="85">
        <v>37870</v>
      </c>
      <c r="BI77" s="85">
        <v>36670</v>
      </c>
      <c r="BJ77" s="85">
        <v>35550</v>
      </c>
      <c r="BK77" s="85">
        <v>36180</v>
      </c>
      <c r="BL77" s="85">
        <v>35450</v>
      </c>
    </row>
    <row r="78" spans="1:64" x14ac:dyDescent="0.2">
      <c r="A78" s="29">
        <v>68</v>
      </c>
      <c r="B78" s="85">
        <v>14760</v>
      </c>
      <c r="C78" s="85">
        <v>15410</v>
      </c>
      <c r="D78" s="85">
        <v>16570</v>
      </c>
      <c r="E78" s="85">
        <v>17860</v>
      </c>
      <c r="F78" s="85">
        <v>18190</v>
      </c>
      <c r="G78" s="85">
        <v>16290</v>
      </c>
      <c r="H78" s="85">
        <v>18050</v>
      </c>
      <c r="I78" s="85">
        <v>19110</v>
      </c>
      <c r="J78" s="85">
        <v>20080</v>
      </c>
      <c r="K78" s="85">
        <v>23670</v>
      </c>
      <c r="L78" s="85">
        <v>23700</v>
      </c>
      <c r="M78" s="85">
        <v>23450</v>
      </c>
      <c r="N78" s="85">
        <v>24040</v>
      </c>
      <c r="O78" s="85">
        <v>23960</v>
      </c>
      <c r="P78" s="85">
        <v>24610</v>
      </c>
      <c r="Q78" s="85">
        <v>25010</v>
      </c>
      <c r="R78" s="85">
        <v>26110</v>
      </c>
      <c r="S78" s="85">
        <v>26760</v>
      </c>
      <c r="T78" s="85">
        <v>27510</v>
      </c>
      <c r="U78" s="85">
        <v>28330</v>
      </c>
      <c r="V78" s="85">
        <v>28740</v>
      </c>
      <c r="W78" s="85">
        <v>30020</v>
      </c>
      <c r="X78" s="85">
        <v>30520</v>
      </c>
      <c r="Y78" s="85">
        <v>31900</v>
      </c>
      <c r="Z78" s="85">
        <v>32520</v>
      </c>
      <c r="AA78" s="85">
        <v>32780</v>
      </c>
      <c r="AB78" s="85">
        <v>32160</v>
      </c>
      <c r="AC78" s="85">
        <v>31100</v>
      </c>
      <c r="AD78" s="85">
        <v>30950</v>
      </c>
      <c r="AE78" s="85">
        <v>31540</v>
      </c>
      <c r="AF78" s="85">
        <v>31840</v>
      </c>
      <c r="AG78" s="85">
        <v>32430</v>
      </c>
      <c r="AH78" s="85">
        <v>32450</v>
      </c>
      <c r="AI78" s="85">
        <v>33770</v>
      </c>
      <c r="AJ78" s="85">
        <v>33070</v>
      </c>
      <c r="AK78" s="85">
        <v>32170</v>
      </c>
      <c r="AL78" s="85">
        <v>31180</v>
      </c>
      <c r="AM78" s="85">
        <v>30100</v>
      </c>
      <c r="AN78" s="85">
        <v>28790</v>
      </c>
      <c r="AO78" s="85">
        <v>28980</v>
      </c>
      <c r="AP78" s="85">
        <v>28650</v>
      </c>
      <c r="AQ78" s="85">
        <v>29690</v>
      </c>
      <c r="AR78" s="85">
        <v>29830</v>
      </c>
      <c r="AS78" s="85">
        <v>30180</v>
      </c>
      <c r="AT78" s="85">
        <v>31120</v>
      </c>
      <c r="AU78" s="85">
        <v>31820</v>
      </c>
      <c r="AV78" s="85">
        <v>32460</v>
      </c>
      <c r="AW78" s="85">
        <v>33510</v>
      </c>
      <c r="AX78" s="85">
        <v>33990</v>
      </c>
      <c r="AY78" s="85">
        <v>35060</v>
      </c>
      <c r="AZ78" s="85">
        <v>37050</v>
      </c>
      <c r="BA78" s="85">
        <v>37880</v>
      </c>
      <c r="BB78" s="85">
        <v>39860</v>
      </c>
      <c r="BC78" s="85">
        <v>41300</v>
      </c>
      <c r="BD78" s="85">
        <v>40740</v>
      </c>
      <c r="BE78" s="85">
        <v>40600</v>
      </c>
      <c r="BF78" s="85">
        <v>39530</v>
      </c>
      <c r="BG78" s="85">
        <v>39160</v>
      </c>
      <c r="BH78" s="85">
        <v>38240</v>
      </c>
      <c r="BI78" s="85">
        <v>37830</v>
      </c>
      <c r="BJ78" s="85">
        <v>36620</v>
      </c>
      <c r="BK78" s="85">
        <v>35510</v>
      </c>
      <c r="BL78" s="85">
        <v>36140</v>
      </c>
    </row>
    <row r="79" spans="1:64" x14ac:dyDescent="0.2">
      <c r="A79" s="29">
        <v>69</v>
      </c>
      <c r="B79" s="85">
        <v>14230</v>
      </c>
      <c r="C79" s="85">
        <v>14600</v>
      </c>
      <c r="D79" s="85">
        <v>15220</v>
      </c>
      <c r="E79" s="85">
        <v>16380</v>
      </c>
      <c r="F79" s="85">
        <v>17680</v>
      </c>
      <c r="G79" s="85">
        <v>18000</v>
      </c>
      <c r="H79" s="85">
        <v>16110</v>
      </c>
      <c r="I79" s="85">
        <v>17900</v>
      </c>
      <c r="J79" s="85">
        <v>18970</v>
      </c>
      <c r="K79" s="85">
        <v>19940</v>
      </c>
      <c r="L79" s="85">
        <v>23520</v>
      </c>
      <c r="M79" s="85">
        <v>23540</v>
      </c>
      <c r="N79" s="85">
        <v>23300</v>
      </c>
      <c r="O79" s="85">
        <v>23870</v>
      </c>
      <c r="P79" s="85">
        <v>23790</v>
      </c>
      <c r="Q79" s="85">
        <v>24440</v>
      </c>
      <c r="R79" s="85">
        <v>24840</v>
      </c>
      <c r="S79" s="85">
        <v>25930</v>
      </c>
      <c r="T79" s="85">
        <v>26580</v>
      </c>
      <c r="U79" s="85">
        <v>27330</v>
      </c>
      <c r="V79" s="85">
        <v>28150</v>
      </c>
      <c r="W79" s="85">
        <v>28570</v>
      </c>
      <c r="X79" s="85">
        <v>29850</v>
      </c>
      <c r="Y79" s="85">
        <v>30350</v>
      </c>
      <c r="Z79" s="85">
        <v>31720</v>
      </c>
      <c r="AA79" s="85">
        <v>32350</v>
      </c>
      <c r="AB79" s="85">
        <v>32620</v>
      </c>
      <c r="AC79" s="85">
        <v>32010</v>
      </c>
      <c r="AD79" s="85">
        <v>30960</v>
      </c>
      <c r="AE79" s="85">
        <v>30810</v>
      </c>
      <c r="AF79" s="85">
        <v>31400</v>
      </c>
      <c r="AG79" s="85">
        <v>31710</v>
      </c>
      <c r="AH79" s="85">
        <v>32300</v>
      </c>
      <c r="AI79" s="85">
        <v>32320</v>
      </c>
      <c r="AJ79" s="85">
        <v>33640</v>
      </c>
      <c r="AK79" s="85">
        <v>32950</v>
      </c>
      <c r="AL79" s="85">
        <v>32060</v>
      </c>
      <c r="AM79" s="85">
        <v>31080</v>
      </c>
      <c r="AN79" s="85">
        <v>30000</v>
      </c>
      <c r="AO79" s="85">
        <v>28700</v>
      </c>
      <c r="AP79" s="85">
        <v>28890</v>
      </c>
      <c r="AQ79" s="85">
        <v>28570</v>
      </c>
      <c r="AR79" s="85">
        <v>29610</v>
      </c>
      <c r="AS79" s="85">
        <v>29750</v>
      </c>
      <c r="AT79" s="85">
        <v>30110</v>
      </c>
      <c r="AU79" s="85">
        <v>31050</v>
      </c>
      <c r="AV79" s="85">
        <v>31740</v>
      </c>
      <c r="AW79" s="85">
        <v>32380</v>
      </c>
      <c r="AX79" s="85">
        <v>33440</v>
      </c>
      <c r="AY79" s="85">
        <v>33910</v>
      </c>
      <c r="AZ79" s="85">
        <v>34990</v>
      </c>
      <c r="BA79" s="85">
        <v>36970</v>
      </c>
      <c r="BB79" s="85">
        <v>37810</v>
      </c>
      <c r="BC79" s="85">
        <v>39790</v>
      </c>
      <c r="BD79" s="85">
        <v>41220</v>
      </c>
      <c r="BE79" s="85">
        <v>40670</v>
      </c>
      <c r="BF79" s="85">
        <v>40530</v>
      </c>
      <c r="BG79" s="85">
        <v>39460</v>
      </c>
      <c r="BH79" s="85">
        <v>39090</v>
      </c>
      <c r="BI79" s="85">
        <v>38180</v>
      </c>
      <c r="BJ79" s="85">
        <v>37780</v>
      </c>
      <c r="BK79" s="85">
        <v>36580</v>
      </c>
      <c r="BL79" s="85">
        <v>35470</v>
      </c>
    </row>
    <row r="80" spans="1:64" x14ac:dyDescent="0.2">
      <c r="A80" s="29">
        <v>70</v>
      </c>
      <c r="B80" s="85">
        <v>13460</v>
      </c>
      <c r="C80" s="85">
        <v>13990</v>
      </c>
      <c r="D80" s="85">
        <v>14400</v>
      </c>
      <c r="E80" s="85">
        <v>15000</v>
      </c>
      <c r="F80" s="85">
        <v>16170</v>
      </c>
      <c r="G80" s="85">
        <v>17450</v>
      </c>
      <c r="H80" s="85">
        <v>17790</v>
      </c>
      <c r="I80" s="85">
        <v>15930</v>
      </c>
      <c r="J80" s="85">
        <v>17750</v>
      </c>
      <c r="K80" s="85">
        <v>18830</v>
      </c>
      <c r="L80" s="85">
        <v>19770</v>
      </c>
      <c r="M80" s="85">
        <v>23340</v>
      </c>
      <c r="N80" s="85">
        <v>23360</v>
      </c>
      <c r="O80" s="85">
        <v>23120</v>
      </c>
      <c r="P80" s="85">
        <v>23690</v>
      </c>
      <c r="Q80" s="85">
        <v>23610</v>
      </c>
      <c r="R80" s="85">
        <v>24250</v>
      </c>
      <c r="S80" s="85">
        <v>24650</v>
      </c>
      <c r="T80" s="85">
        <v>25740</v>
      </c>
      <c r="U80" s="85">
        <v>26390</v>
      </c>
      <c r="V80" s="85">
        <v>27140</v>
      </c>
      <c r="W80" s="85">
        <v>27960</v>
      </c>
      <c r="X80" s="85">
        <v>28380</v>
      </c>
      <c r="Y80" s="85">
        <v>29660</v>
      </c>
      <c r="Z80" s="85">
        <v>30160</v>
      </c>
      <c r="AA80" s="85">
        <v>31530</v>
      </c>
      <c r="AB80" s="85">
        <v>32160</v>
      </c>
      <c r="AC80" s="85">
        <v>32430</v>
      </c>
      <c r="AD80" s="85">
        <v>31830</v>
      </c>
      <c r="AE80" s="85">
        <v>30800</v>
      </c>
      <c r="AF80" s="85">
        <v>30650</v>
      </c>
      <c r="AG80" s="85">
        <v>31250</v>
      </c>
      <c r="AH80" s="85">
        <v>31560</v>
      </c>
      <c r="AI80" s="85">
        <v>32150</v>
      </c>
      <c r="AJ80" s="85">
        <v>32180</v>
      </c>
      <c r="AK80" s="85">
        <v>33490</v>
      </c>
      <c r="AL80" s="85">
        <v>32810</v>
      </c>
      <c r="AM80" s="85">
        <v>31930</v>
      </c>
      <c r="AN80" s="85">
        <v>30960</v>
      </c>
      <c r="AO80" s="85">
        <v>29890</v>
      </c>
      <c r="AP80" s="85">
        <v>28600</v>
      </c>
      <c r="AQ80" s="85">
        <v>28800</v>
      </c>
      <c r="AR80" s="85">
        <v>28470</v>
      </c>
      <c r="AS80" s="85">
        <v>29510</v>
      </c>
      <c r="AT80" s="85">
        <v>29660</v>
      </c>
      <c r="AU80" s="85">
        <v>30020</v>
      </c>
      <c r="AV80" s="85">
        <v>30960</v>
      </c>
      <c r="AW80" s="85">
        <v>31660</v>
      </c>
      <c r="AX80" s="85">
        <v>32300</v>
      </c>
      <c r="AY80" s="85">
        <v>33350</v>
      </c>
      <c r="AZ80" s="85">
        <v>33830</v>
      </c>
      <c r="BA80" s="85">
        <v>34900</v>
      </c>
      <c r="BB80" s="85">
        <v>36880</v>
      </c>
      <c r="BC80" s="85">
        <v>37720</v>
      </c>
      <c r="BD80" s="85">
        <v>39700</v>
      </c>
      <c r="BE80" s="85">
        <v>41130</v>
      </c>
      <c r="BF80" s="85">
        <v>40580</v>
      </c>
      <c r="BG80" s="85">
        <v>40440</v>
      </c>
      <c r="BH80" s="85">
        <v>39390</v>
      </c>
      <c r="BI80" s="85">
        <v>39020</v>
      </c>
      <c r="BJ80" s="85">
        <v>38110</v>
      </c>
      <c r="BK80" s="85">
        <v>37710</v>
      </c>
      <c r="BL80" s="85">
        <v>36520</v>
      </c>
    </row>
    <row r="81" spans="1:64" x14ac:dyDescent="0.2">
      <c r="A81" s="29">
        <v>71</v>
      </c>
      <c r="B81" s="85">
        <v>12650</v>
      </c>
      <c r="C81" s="85">
        <v>13250</v>
      </c>
      <c r="D81" s="85">
        <v>13770</v>
      </c>
      <c r="E81" s="85">
        <v>14190</v>
      </c>
      <c r="F81" s="85">
        <v>14780</v>
      </c>
      <c r="G81" s="85">
        <v>15900</v>
      </c>
      <c r="H81" s="85">
        <v>17210</v>
      </c>
      <c r="I81" s="85">
        <v>17570</v>
      </c>
      <c r="J81" s="85">
        <v>15760</v>
      </c>
      <c r="K81" s="85">
        <v>17580</v>
      </c>
      <c r="L81" s="85">
        <v>18650</v>
      </c>
      <c r="M81" s="85">
        <v>19590</v>
      </c>
      <c r="N81" s="85">
        <v>23120</v>
      </c>
      <c r="O81" s="85">
        <v>23150</v>
      </c>
      <c r="P81" s="85">
        <v>22910</v>
      </c>
      <c r="Q81" s="85">
        <v>23470</v>
      </c>
      <c r="R81" s="85">
        <v>23390</v>
      </c>
      <c r="S81" s="85">
        <v>24040</v>
      </c>
      <c r="T81" s="85">
        <v>24440</v>
      </c>
      <c r="U81" s="85">
        <v>25530</v>
      </c>
      <c r="V81" s="85">
        <v>26180</v>
      </c>
      <c r="W81" s="85">
        <v>26930</v>
      </c>
      <c r="X81" s="85">
        <v>27750</v>
      </c>
      <c r="Y81" s="85">
        <v>28170</v>
      </c>
      <c r="Z81" s="85">
        <v>29450</v>
      </c>
      <c r="AA81" s="85">
        <v>29950</v>
      </c>
      <c r="AB81" s="85">
        <v>31330</v>
      </c>
      <c r="AC81" s="85">
        <v>31950</v>
      </c>
      <c r="AD81" s="85">
        <v>32230</v>
      </c>
      <c r="AE81" s="85">
        <v>31640</v>
      </c>
      <c r="AF81" s="85">
        <v>30620</v>
      </c>
      <c r="AG81" s="85">
        <v>30480</v>
      </c>
      <c r="AH81" s="85">
        <v>31080</v>
      </c>
      <c r="AI81" s="85">
        <v>31390</v>
      </c>
      <c r="AJ81" s="85">
        <v>31990</v>
      </c>
      <c r="AK81" s="85">
        <v>32020</v>
      </c>
      <c r="AL81" s="85">
        <v>33330</v>
      </c>
      <c r="AM81" s="85">
        <v>32660</v>
      </c>
      <c r="AN81" s="85">
        <v>31790</v>
      </c>
      <c r="AO81" s="85">
        <v>30820</v>
      </c>
      <c r="AP81" s="85">
        <v>29760</v>
      </c>
      <c r="AQ81" s="85">
        <v>28490</v>
      </c>
      <c r="AR81" s="85">
        <v>28680</v>
      </c>
      <c r="AS81" s="85">
        <v>28370</v>
      </c>
      <c r="AT81" s="85">
        <v>29400</v>
      </c>
      <c r="AU81" s="85">
        <v>29560</v>
      </c>
      <c r="AV81" s="85">
        <v>29920</v>
      </c>
      <c r="AW81" s="85">
        <v>30850</v>
      </c>
      <c r="AX81" s="85">
        <v>31560</v>
      </c>
      <c r="AY81" s="85">
        <v>32200</v>
      </c>
      <c r="AZ81" s="85">
        <v>33250</v>
      </c>
      <c r="BA81" s="85">
        <v>33730</v>
      </c>
      <c r="BB81" s="85">
        <v>34800</v>
      </c>
      <c r="BC81" s="85">
        <v>36780</v>
      </c>
      <c r="BD81" s="85">
        <v>37620</v>
      </c>
      <c r="BE81" s="85">
        <v>39590</v>
      </c>
      <c r="BF81" s="85">
        <v>41030</v>
      </c>
      <c r="BG81" s="85">
        <v>40490</v>
      </c>
      <c r="BH81" s="85">
        <v>40350</v>
      </c>
      <c r="BI81" s="85">
        <v>39300</v>
      </c>
      <c r="BJ81" s="85">
        <v>38940</v>
      </c>
      <c r="BK81" s="85">
        <v>38030</v>
      </c>
      <c r="BL81" s="85">
        <v>37640</v>
      </c>
    </row>
    <row r="82" spans="1:64" x14ac:dyDescent="0.2">
      <c r="A82" s="29">
        <v>72</v>
      </c>
      <c r="B82" s="85">
        <v>12410</v>
      </c>
      <c r="C82" s="85">
        <v>12440</v>
      </c>
      <c r="D82" s="85">
        <v>13040</v>
      </c>
      <c r="E82" s="85">
        <v>13540</v>
      </c>
      <c r="F82" s="85">
        <v>14000</v>
      </c>
      <c r="G82" s="85">
        <v>14570</v>
      </c>
      <c r="H82" s="85">
        <v>15680</v>
      </c>
      <c r="I82" s="85">
        <v>16960</v>
      </c>
      <c r="J82" s="85">
        <v>17350</v>
      </c>
      <c r="K82" s="85">
        <v>15600</v>
      </c>
      <c r="L82" s="85">
        <v>17360</v>
      </c>
      <c r="M82" s="85">
        <v>18460</v>
      </c>
      <c r="N82" s="85">
        <v>19390</v>
      </c>
      <c r="O82" s="85">
        <v>22880</v>
      </c>
      <c r="P82" s="85">
        <v>22900</v>
      </c>
      <c r="Q82" s="85">
        <v>22670</v>
      </c>
      <c r="R82" s="85">
        <v>23230</v>
      </c>
      <c r="S82" s="85">
        <v>23160</v>
      </c>
      <c r="T82" s="85">
        <v>23810</v>
      </c>
      <c r="U82" s="85">
        <v>24210</v>
      </c>
      <c r="V82" s="85">
        <v>25300</v>
      </c>
      <c r="W82" s="85">
        <v>25950</v>
      </c>
      <c r="X82" s="85">
        <v>26700</v>
      </c>
      <c r="Y82" s="85">
        <v>27520</v>
      </c>
      <c r="Z82" s="85">
        <v>27950</v>
      </c>
      <c r="AA82" s="85">
        <v>29220</v>
      </c>
      <c r="AB82" s="85">
        <v>29730</v>
      </c>
      <c r="AC82" s="85">
        <v>31100</v>
      </c>
      <c r="AD82" s="85">
        <v>31720</v>
      </c>
      <c r="AE82" s="85">
        <v>32010</v>
      </c>
      <c r="AF82" s="85">
        <v>31430</v>
      </c>
      <c r="AG82" s="85">
        <v>30420</v>
      </c>
      <c r="AH82" s="85">
        <v>30290</v>
      </c>
      <c r="AI82" s="85">
        <v>30890</v>
      </c>
      <c r="AJ82" s="85">
        <v>31210</v>
      </c>
      <c r="AK82" s="85">
        <v>31810</v>
      </c>
      <c r="AL82" s="85">
        <v>31850</v>
      </c>
      <c r="AM82" s="85">
        <v>33150</v>
      </c>
      <c r="AN82" s="85">
        <v>32490</v>
      </c>
      <c r="AO82" s="85">
        <v>31630</v>
      </c>
      <c r="AP82" s="85">
        <v>30670</v>
      </c>
      <c r="AQ82" s="85">
        <v>29630</v>
      </c>
      <c r="AR82" s="85">
        <v>28360</v>
      </c>
      <c r="AS82" s="85">
        <v>28560</v>
      </c>
      <c r="AT82" s="85">
        <v>28250</v>
      </c>
      <c r="AU82" s="85">
        <v>29280</v>
      </c>
      <c r="AV82" s="85">
        <v>29440</v>
      </c>
      <c r="AW82" s="85">
        <v>29800</v>
      </c>
      <c r="AX82" s="85">
        <v>30740</v>
      </c>
      <c r="AY82" s="85">
        <v>31440</v>
      </c>
      <c r="AZ82" s="85">
        <v>32080</v>
      </c>
      <c r="BA82" s="85">
        <v>33140</v>
      </c>
      <c r="BB82" s="85">
        <v>33620</v>
      </c>
      <c r="BC82" s="85">
        <v>34690</v>
      </c>
      <c r="BD82" s="85">
        <v>36670</v>
      </c>
      <c r="BE82" s="85">
        <v>37510</v>
      </c>
      <c r="BF82" s="85">
        <v>39480</v>
      </c>
      <c r="BG82" s="85">
        <v>40910</v>
      </c>
      <c r="BH82" s="85">
        <v>40370</v>
      </c>
      <c r="BI82" s="85">
        <v>40240</v>
      </c>
      <c r="BJ82" s="85">
        <v>39200</v>
      </c>
      <c r="BK82" s="85">
        <v>38840</v>
      </c>
      <c r="BL82" s="85">
        <v>37940</v>
      </c>
    </row>
    <row r="83" spans="1:64" x14ac:dyDescent="0.2">
      <c r="A83" s="29">
        <v>73</v>
      </c>
      <c r="B83" s="85">
        <v>12300</v>
      </c>
      <c r="C83" s="85">
        <v>12150</v>
      </c>
      <c r="D83" s="85">
        <v>12180</v>
      </c>
      <c r="E83" s="85">
        <v>12780</v>
      </c>
      <c r="F83" s="85">
        <v>13280</v>
      </c>
      <c r="G83" s="85">
        <v>13760</v>
      </c>
      <c r="H83" s="85">
        <v>14350</v>
      </c>
      <c r="I83" s="85">
        <v>15490</v>
      </c>
      <c r="J83" s="85">
        <v>16750</v>
      </c>
      <c r="K83" s="85">
        <v>17120</v>
      </c>
      <c r="L83" s="85">
        <v>15410</v>
      </c>
      <c r="M83" s="85">
        <v>17150</v>
      </c>
      <c r="N83" s="85">
        <v>18230</v>
      </c>
      <c r="O83" s="85">
        <v>19160</v>
      </c>
      <c r="P83" s="85">
        <v>22610</v>
      </c>
      <c r="Q83" s="85">
        <v>22640</v>
      </c>
      <c r="R83" s="85">
        <v>22410</v>
      </c>
      <c r="S83" s="85">
        <v>22970</v>
      </c>
      <c r="T83" s="85">
        <v>22910</v>
      </c>
      <c r="U83" s="85">
        <v>23560</v>
      </c>
      <c r="V83" s="85">
        <v>23960</v>
      </c>
      <c r="W83" s="85">
        <v>25050</v>
      </c>
      <c r="X83" s="85">
        <v>25700</v>
      </c>
      <c r="Y83" s="85">
        <v>26450</v>
      </c>
      <c r="Z83" s="85">
        <v>27280</v>
      </c>
      <c r="AA83" s="85">
        <v>27700</v>
      </c>
      <c r="AB83" s="85">
        <v>28970</v>
      </c>
      <c r="AC83" s="85">
        <v>29480</v>
      </c>
      <c r="AD83" s="85">
        <v>30850</v>
      </c>
      <c r="AE83" s="85">
        <v>31480</v>
      </c>
      <c r="AF83" s="85">
        <v>31770</v>
      </c>
      <c r="AG83" s="85">
        <v>31200</v>
      </c>
      <c r="AH83" s="85">
        <v>30210</v>
      </c>
      <c r="AI83" s="85">
        <v>30080</v>
      </c>
      <c r="AJ83" s="85">
        <v>30690</v>
      </c>
      <c r="AK83" s="85">
        <v>31000</v>
      </c>
      <c r="AL83" s="85">
        <v>31610</v>
      </c>
      <c r="AM83" s="85">
        <v>31650</v>
      </c>
      <c r="AN83" s="85">
        <v>32960</v>
      </c>
      <c r="AO83" s="85">
        <v>32310</v>
      </c>
      <c r="AP83" s="85">
        <v>31460</v>
      </c>
      <c r="AQ83" s="85">
        <v>30510</v>
      </c>
      <c r="AR83" s="85">
        <v>29470</v>
      </c>
      <c r="AS83" s="85">
        <v>28220</v>
      </c>
      <c r="AT83" s="85">
        <v>28420</v>
      </c>
      <c r="AU83" s="85">
        <v>28110</v>
      </c>
      <c r="AV83" s="85">
        <v>29150</v>
      </c>
      <c r="AW83" s="85">
        <v>29310</v>
      </c>
      <c r="AX83" s="85">
        <v>29670</v>
      </c>
      <c r="AY83" s="85">
        <v>30610</v>
      </c>
      <c r="AZ83" s="85">
        <v>31310</v>
      </c>
      <c r="BA83" s="85">
        <v>31960</v>
      </c>
      <c r="BB83" s="85">
        <v>33010</v>
      </c>
      <c r="BC83" s="85">
        <v>33490</v>
      </c>
      <c r="BD83" s="85">
        <v>34570</v>
      </c>
      <c r="BE83" s="85">
        <v>36540</v>
      </c>
      <c r="BF83" s="85">
        <v>37380</v>
      </c>
      <c r="BG83" s="85">
        <v>39350</v>
      </c>
      <c r="BH83" s="85">
        <v>40780</v>
      </c>
      <c r="BI83" s="85">
        <v>40250</v>
      </c>
      <c r="BJ83" s="85">
        <v>40120</v>
      </c>
      <c r="BK83" s="85">
        <v>39080</v>
      </c>
      <c r="BL83" s="85">
        <v>38730</v>
      </c>
    </row>
    <row r="84" spans="1:64" x14ac:dyDescent="0.2">
      <c r="A84" s="29">
        <v>74</v>
      </c>
      <c r="B84" s="85">
        <v>11960</v>
      </c>
      <c r="C84" s="85">
        <v>12030</v>
      </c>
      <c r="D84" s="85">
        <v>11880</v>
      </c>
      <c r="E84" s="85">
        <v>11930</v>
      </c>
      <c r="F84" s="85">
        <v>12500</v>
      </c>
      <c r="G84" s="85">
        <v>13050</v>
      </c>
      <c r="H84" s="85">
        <v>13510</v>
      </c>
      <c r="I84" s="85">
        <v>14060</v>
      </c>
      <c r="J84" s="85">
        <v>15280</v>
      </c>
      <c r="K84" s="85">
        <v>16490</v>
      </c>
      <c r="L84" s="85">
        <v>16850</v>
      </c>
      <c r="M84" s="85">
        <v>15190</v>
      </c>
      <c r="N84" s="85">
        <v>16920</v>
      </c>
      <c r="O84" s="85">
        <v>17990</v>
      </c>
      <c r="P84" s="85">
        <v>18900</v>
      </c>
      <c r="Q84" s="85">
        <v>22310</v>
      </c>
      <c r="R84" s="85">
        <v>22340</v>
      </c>
      <c r="S84" s="85">
        <v>22130</v>
      </c>
      <c r="T84" s="85">
        <v>22690</v>
      </c>
      <c r="U84" s="85">
        <v>22640</v>
      </c>
      <c r="V84" s="85">
        <v>23290</v>
      </c>
      <c r="W84" s="85">
        <v>23700</v>
      </c>
      <c r="X84" s="85">
        <v>24770</v>
      </c>
      <c r="Y84" s="85">
        <v>25430</v>
      </c>
      <c r="Z84" s="85">
        <v>26190</v>
      </c>
      <c r="AA84" s="85">
        <v>27010</v>
      </c>
      <c r="AB84" s="85">
        <v>27440</v>
      </c>
      <c r="AC84" s="85">
        <v>28700</v>
      </c>
      <c r="AD84" s="85">
        <v>29220</v>
      </c>
      <c r="AE84" s="85">
        <v>30580</v>
      </c>
      <c r="AF84" s="85">
        <v>31210</v>
      </c>
      <c r="AG84" s="85">
        <v>31510</v>
      </c>
      <c r="AH84" s="85">
        <v>30950</v>
      </c>
      <c r="AI84" s="85">
        <v>29970</v>
      </c>
      <c r="AJ84" s="85">
        <v>29850</v>
      </c>
      <c r="AK84" s="85">
        <v>30460</v>
      </c>
      <c r="AL84" s="85">
        <v>30780</v>
      </c>
      <c r="AM84" s="85">
        <v>31390</v>
      </c>
      <c r="AN84" s="85">
        <v>31440</v>
      </c>
      <c r="AO84" s="85">
        <v>32740</v>
      </c>
      <c r="AP84" s="85">
        <v>32100</v>
      </c>
      <c r="AQ84" s="85">
        <v>31260</v>
      </c>
      <c r="AR84" s="85">
        <v>30330</v>
      </c>
      <c r="AS84" s="85">
        <v>29300</v>
      </c>
      <c r="AT84" s="85">
        <v>28060</v>
      </c>
      <c r="AU84" s="85">
        <v>28270</v>
      </c>
      <c r="AV84" s="85">
        <v>27970</v>
      </c>
      <c r="AW84" s="85">
        <v>29000</v>
      </c>
      <c r="AX84" s="85">
        <v>29160</v>
      </c>
      <c r="AY84" s="85">
        <v>29530</v>
      </c>
      <c r="AZ84" s="85">
        <v>30470</v>
      </c>
      <c r="BA84" s="85">
        <v>31170</v>
      </c>
      <c r="BB84" s="85">
        <v>31820</v>
      </c>
      <c r="BC84" s="85">
        <v>32870</v>
      </c>
      <c r="BD84" s="85">
        <v>33360</v>
      </c>
      <c r="BE84" s="85">
        <v>34430</v>
      </c>
      <c r="BF84" s="85">
        <v>36390</v>
      </c>
      <c r="BG84" s="85">
        <v>37240</v>
      </c>
      <c r="BH84" s="85">
        <v>39200</v>
      </c>
      <c r="BI84" s="85">
        <v>40630</v>
      </c>
      <c r="BJ84" s="85">
        <v>40110</v>
      </c>
      <c r="BK84" s="85">
        <v>39980</v>
      </c>
      <c r="BL84" s="85">
        <v>38960</v>
      </c>
    </row>
    <row r="85" spans="1:64" x14ac:dyDescent="0.2">
      <c r="A85" s="29">
        <v>75</v>
      </c>
      <c r="B85" s="85">
        <v>12130</v>
      </c>
      <c r="C85" s="85">
        <v>11650</v>
      </c>
      <c r="D85" s="85">
        <v>11720</v>
      </c>
      <c r="E85" s="85">
        <v>11580</v>
      </c>
      <c r="F85" s="85">
        <v>11660</v>
      </c>
      <c r="G85" s="85">
        <v>12210</v>
      </c>
      <c r="H85" s="85">
        <v>12750</v>
      </c>
      <c r="I85" s="85">
        <v>13220</v>
      </c>
      <c r="J85" s="85">
        <v>13820</v>
      </c>
      <c r="K85" s="85">
        <v>15040</v>
      </c>
      <c r="L85" s="85">
        <v>16240</v>
      </c>
      <c r="M85" s="85">
        <v>16590</v>
      </c>
      <c r="N85" s="85">
        <v>14960</v>
      </c>
      <c r="O85" s="85">
        <v>16660</v>
      </c>
      <c r="P85" s="85">
        <v>17720</v>
      </c>
      <c r="Q85" s="85">
        <v>18620</v>
      </c>
      <c r="R85" s="85">
        <v>21990</v>
      </c>
      <c r="S85" s="85">
        <v>22030</v>
      </c>
      <c r="T85" s="85">
        <v>21830</v>
      </c>
      <c r="U85" s="85">
        <v>22390</v>
      </c>
      <c r="V85" s="85">
        <v>22350</v>
      </c>
      <c r="W85" s="85">
        <v>23000</v>
      </c>
      <c r="X85" s="85">
        <v>23410</v>
      </c>
      <c r="Y85" s="85">
        <v>24480</v>
      </c>
      <c r="Z85" s="85">
        <v>25140</v>
      </c>
      <c r="AA85" s="85">
        <v>25890</v>
      </c>
      <c r="AB85" s="85">
        <v>26710</v>
      </c>
      <c r="AC85" s="85">
        <v>27150</v>
      </c>
      <c r="AD85" s="85">
        <v>28410</v>
      </c>
      <c r="AE85" s="85">
        <v>28930</v>
      </c>
      <c r="AF85" s="85">
        <v>30280</v>
      </c>
      <c r="AG85" s="85">
        <v>30920</v>
      </c>
      <c r="AH85" s="85">
        <v>31220</v>
      </c>
      <c r="AI85" s="85">
        <v>30680</v>
      </c>
      <c r="AJ85" s="85">
        <v>29710</v>
      </c>
      <c r="AK85" s="85">
        <v>29600</v>
      </c>
      <c r="AL85" s="85">
        <v>30210</v>
      </c>
      <c r="AM85" s="85">
        <v>30540</v>
      </c>
      <c r="AN85" s="85">
        <v>31150</v>
      </c>
      <c r="AO85" s="85">
        <v>31210</v>
      </c>
      <c r="AP85" s="85">
        <v>32510</v>
      </c>
      <c r="AQ85" s="85">
        <v>31880</v>
      </c>
      <c r="AR85" s="85">
        <v>31050</v>
      </c>
      <c r="AS85" s="85">
        <v>30130</v>
      </c>
      <c r="AT85" s="85">
        <v>29120</v>
      </c>
      <c r="AU85" s="85">
        <v>27890</v>
      </c>
      <c r="AV85" s="85">
        <v>28100</v>
      </c>
      <c r="AW85" s="85">
        <v>27800</v>
      </c>
      <c r="AX85" s="85">
        <v>28840</v>
      </c>
      <c r="AY85" s="85">
        <v>29000</v>
      </c>
      <c r="AZ85" s="85">
        <v>29370</v>
      </c>
      <c r="BA85" s="85">
        <v>30310</v>
      </c>
      <c r="BB85" s="85">
        <v>31010</v>
      </c>
      <c r="BC85" s="85">
        <v>31660</v>
      </c>
      <c r="BD85" s="85">
        <v>32710</v>
      </c>
      <c r="BE85" s="85">
        <v>33200</v>
      </c>
      <c r="BF85" s="85">
        <v>34270</v>
      </c>
      <c r="BG85" s="85">
        <v>36240</v>
      </c>
      <c r="BH85" s="85">
        <v>37080</v>
      </c>
      <c r="BI85" s="85">
        <v>39040</v>
      </c>
      <c r="BJ85" s="85">
        <v>40470</v>
      </c>
      <c r="BK85" s="85">
        <v>39950</v>
      </c>
      <c r="BL85" s="85">
        <v>39830</v>
      </c>
    </row>
    <row r="86" spans="1:64" x14ac:dyDescent="0.2">
      <c r="A86" s="29">
        <v>76</v>
      </c>
      <c r="B86" s="85">
        <v>11810</v>
      </c>
      <c r="C86" s="85">
        <v>11810</v>
      </c>
      <c r="D86" s="85">
        <v>11370</v>
      </c>
      <c r="E86" s="85">
        <v>11450</v>
      </c>
      <c r="F86" s="85">
        <v>11320</v>
      </c>
      <c r="G86" s="85">
        <v>11380</v>
      </c>
      <c r="H86" s="85">
        <v>11880</v>
      </c>
      <c r="I86" s="85">
        <v>12470</v>
      </c>
      <c r="J86" s="85">
        <v>12960</v>
      </c>
      <c r="K86" s="85">
        <v>13550</v>
      </c>
      <c r="L86" s="85">
        <v>14760</v>
      </c>
      <c r="M86" s="85">
        <v>15950</v>
      </c>
      <c r="N86" s="85">
        <v>16300</v>
      </c>
      <c r="O86" s="85">
        <v>14710</v>
      </c>
      <c r="P86" s="85">
        <v>16380</v>
      </c>
      <c r="Q86" s="85">
        <v>17430</v>
      </c>
      <c r="R86" s="85">
        <v>18320</v>
      </c>
      <c r="S86" s="85">
        <v>21640</v>
      </c>
      <c r="T86" s="85">
        <v>21690</v>
      </c>
      <c r="U86" s="85">
        <v>21500</v>
      </c>
      <c r="V86" s="85">
        <v>22070</v>
      </c>
      <c r="W86" s="85">
        <v>22030</v>
      </c>
      <c r="X86" s="85">
        <v>22680</v>
      </c>
      <c r="Y86" s="85">
        <v>23100</v>
      </c>
      <c r="Z86" s="85">
        <v>24160</v>
      </c>
      <c r="AA86" s="85">
        <v>24820</v>
      </c>
      <c r="AB86" s="85">
        <v>25580</v>
      </c>
      <c r="AC86" s="85">
        <v>26400</v>
      </c>
      <c r="AD86" s="85">
        <v>26830</v>
      </c>
      <c r="AE86" s="85">
        <v>28090</v>
      </c>
      <c r="AF86" s="85">
        <v>28610</v>
      </c>
      <c r="AG86" s="85">
        <v>29960</v>
      </c>
      <c r="AH86" s="85">
        <v>30600</v>
      </c>
      <c r="AI86" s="85">
        <v>30900</v>
      </c>
      <c r="AJ86" s="85">
        <v>30380</v>
      </c>
      <c r="AK86" s="85">
        <v>29430</v>
      </c>
      <c r="AL86" s="85">
        <v>29330</v>
      </c>
      <c r="AM86" s="85">
        <v>29940</v>
      </c>
      <c r="AN86" s="85">
        <v>30280</v>
      </c>
      <c r="AO86" s="85">
        <v>30880</v>
      </c>
      <c r="AP86" s="85">
        <v>30950</v>
      </c>
      <c r="AQ86" s="85">
        <v>32250</v>
      </c>
      <c r="AR86" s="85">
        <v>31630</v>
      </c>
      <c r="AS86" s="85">
        <v>30820</v>
      </c>
      <c r="AT86" s="85">
        <v>29910</v>
      </c>
      <c r="AU86" s="85">
        <v>28910</v>
      </c>
      <c r="AV86" s="85">
        <v>27700</v>
      </c>
      <c r="AW86" s="85">
        <v>27910</v>
      </c>
      <c r="AX86" s="85">
        <v>27620</v>
      </c>
      <c r="AY86" s="85">
        <v>28650</v>
      </c>
      <c r="AZ86" s="85">
        <v>28820</v>
      </c>
      <c r="BA86" s="85">
        <v>29200</v>
      </c>
      <c r="BB86" s="85">
        <v>30130</v>
      </c>
      <c r="BC86" s="85">
        <v>30840</v>
      </c>
      <c r="BD86" s="85">
        <v>31490</v>
      </c>
      <c r="BE86" s="85">
        <v>32540</v>
      </c>
      <c r="BF86" s="85">
        <v>33030</v>
      </c>
      <c r="BG86" s="85">
        <v>34100</v>
      </c>
      <c r="BH86" s="85">
        <v>36060</v>
      </c>
      <c r="BI86" s="85">
        <v>36900</v>
      </c>
      <c r="BJ86" s="85">
        <v>38860</v>
      </c>
      <c r="BK86" s="85">
        <v>40280</v>
      </c>
      <c r="BL86" s="85">
        <v>39770</v>
      </c>
    </row>
    <row r="87" spans="1:64" x14ac:dyDescent="0.2">
      <c r="A87" s="29">
        <v>77</v>
      </c>
      <c r="B87" s="85">
        <v>11080</v>
      </c>
      <c r="C87" s="85">
        <v>11460</v>
      </c>
      <c r="D87" s="85">
        <v>11470</v>
      </c>
      <c r="E87" s="85">
        <v>11050</v>
      </c>
      <c r="F87" s="85">
        <v>11120</v>
      </c>
      <c r="G87" s="85">
        <v>11050</v>
      </c>
      <c r="H87" s="85">
        <v>11070</v>
      </c>
      <c r="I87" s="85">
        <v>11540</v>
      </c>
      <c r="J87" s="85">
        <v>12160</v>
      </c>
      <c r="K87" s="85">
        <v>12670</v>
      </c>
      <c r="L87" s="85">
        <v>13260</v>
      </c>
      <c r="M87" s="85">
        <v>14460</v>
      </c>
      <c r="N87" s="85">
        <v>15630</v>
      </c>
      <c r="O87" s="85">
        <v>15980</v>
      </c>
      <c r="P87" s="85">
        <v>14430</v>
      </c>
      <c r="Q87" s="85">
        <v>16080</v>
      </c>
      <c r="R87" s="85">
        <v>17110</v>
      </c>
      <c r="S87" s="85">
        <v>17990</v>
      </c>
      <c r="T87" s="85">
        <v>21260</v>
      </c>
      <c r="U87" s="85">
        <v>21330</v>
      </c>
      <c r="V87" s="85">
        <v>21150</v>
      </c>
      <c r="W87" s="85">
        <v>21710</v>
      </c>
      <c r="X87" s="85">
        <v>21690</v>
      </c>
      <c r="Y87" s="85">
        <v>22340</v>
      </c>
      <c r="Z87" s="85">
        <v>22760</v>
      </c>
      <c r="AA87" s="85">
        <v>23820</v>
      </c>
      <c r="AB87" s="85">
        <v>24480</v>
      </c>
      <c r="AC87" s="85">
        <v>25230</v>
      </c>
      <c r="AD87" s="85">
        <v>26050</v>
      </c>
      <c r="AE87" s="85">
        <v>26490</v>
      </c>
      <c r="AF87" s="85">
        <v>27740</v>
      </c>
      <c r="AG87" s="85">
        <v>28260</v>
      </c>
      <c r="AH87" s="85">
        <v>29600</v>
      </c>
      <c r="AI87" s="85">
        <v>30240</v>
      </c>
      <c r="AJ87" s="85">
        <v>30560</v>
      </c>
      <c r="AK87" s="85">
        <v>30050</v>
      </c>
      <c r="AL87" s="85">
        <v>29120</v>
      </c>
      <c r="AM87" s="85">
        <v>29030</v>
      </c>
      <c r="AN87" s="85">
        <v>29640</v>
      </c>
      <c r="AO87" s="85">
        <v>29980</v>
      </c>
      <c r="AP87" s="85">
        <v>30590</v>
      </c>
      <c r="AQ87" s="85">
        <v>30660</v>
      </c>
      <c r="AR87" s="85">
        <v>31960</v>
      </c>
      <c r="AS87" s="85">
        <v>31350</v>
      </c>
      <c r="AT87" s="85">
        <v>30560</v>
      </c>
      <c r="AU87" s="85">
        <v>29660</v>
      </c>
      <c r="AV87" s="85">
        <v>28680</v>
      </c>
      <c r="AW87" s="85">
        <v>27480</v>
      </c>
      <c r="AX87" s="85">
        <v>27700</v>
      </c>
      <c r="AY87" s="85">
        <v>27420</v>
      </c>
      <c r="AZ87" s="85">
        <v>28450</v>
      </c>
      <c r="BA87" s="85">
        <v>28620</v>
      </c>
      <c r="BB87" s="85">
        <v>29000</v>
      </c>
      <c r="BC87" s="85">
        <v>29930</v>
      </c>
      <c r="BD87" s="85">
        <v>30640</v>
      </c>
      <c r="BE87" s="85">
        <v>31290</v>
      </c>
      <c r="BF87" s="85">
        <v>32340</v>
      </c>
      <c r="BG87" s="85">
        <v>32830</v>
      </c>
      <c r="BH87" s="85">
        <v>33900</v>
      </c>
      <c r="BI87" s="85">
        <v>35850</v>
      </c>
      <c r="BJ87" s="85">
        <v>36700</v>
      </c>
      <c r="BK87" s="85">
        <v>38650</v>
      </c>
      <c r="BL87" s="85">
        <v>40080</v>
      </c>
    </row>
    <row r="88" spans="1:64" x14ac:dyDescent="0.2">
      <c r="A88" s="29">
        <v>78</v>
      </c>
      <c r="B88" s="85">
        <v>10800</v>
      </c>
      <c r="C88" s="85">
        <v>10740</v>
      </c>
      <c r="D88" s="85">
        <v>11110</v>
      </c>
      <c r="E88" s="85">
        <v>11130</v>
      </c>
      <c r="F88" s="85">
        <v>10710</v>
      </c>
      <c r="G88" s="85">
        <v>10800</v>
      </c>
      <c r="H88" s="85">
        <v>10750</v>
      </c>
      <c r="I88" s="85">
        <v>10730</v>
      </c>
      <c r="J88" s="85">
        <v>11230</v>
      </c>
      <c r="K88" s="85">
        <v>11840</v>
      </c>
      <c r="L88" s="85">
        <v>12310</v>
      </c>
      <c r="M88" s="85">
        <v>12960</v>
      </c>
      <c r="N88" s="85">
        <v>14140</v>
      </c>
      <c r="O88" s="85">
        <v>15290</v>
      </c>
      <c r="P88" s="85">
        <v>15630</v>
      </c>
      <c r="Q88" s="85">
        <v>14120</v>
      </c>
      <c r="R88" s="85">
        <v>15740</v>
      </c>
      <c r="S88" s="85">
        <v>16760</v>
      </c>
      <c r="T88" s="85">
        <v>17640</v>
      </c>
      <c r="U88" s="85">
        <v>20850</v>
      </c>
      <c r="V88" s="85">
        <v>20920</v>
      </c>
      <c r="W88" s="85">
        <v>20760</v>
      </c>
      <c r="X88" s="85">
        <v>21330</v>
      </c>
      <c r="Y88" s="85">
        <v>21320</v>
      </c>
      <c r="Z88" s="85">
        <v>21960</v>
      </c>
      <c r="AA88" s="85">
        <v>22380</v>
      </c>
      <c r="AB88" s="85">
        <v>23440</v>
      </c>
      <c r="AC88" s="85">
        <v>24100</v>
      </c>
      <c r="AD88" s="85">
        <v>24850</v>
      </c>
      <c r="AE88" s="85">
        <v>25660</v>
      </c>
      <c r="AF88" s="85">
        <v>26110</v>
      </c>
      <c r="AG88" s="85">
        <v>27350</v>
      </c>
      <c r="AH88" s="85">
        <v>27880</v>
      </c>
      <c r="AI88" s="85">
        <v>29210</v>
      </c>
      <c r="AJ88" s="85">
        <v>29850</v>
      </c>
      <c r="AK88" s="85">
        <v>30170</v>
      </c>
      <c r="AL88" s="85">
        <v>29680</v>
      </c>
      <c r="AM88" s="85">
        <v>28770</v>
      </c>
      <c r="AN88" s="85">
        <v>28690</v>
      </c>
      <c r="AO88" s="85">
        <v>29310</v>
      </c>
      <c r="AP88" s="85">
        <v>29650</v>
      </c>
      <c r="AQ88" s="85">
        <v>30260</v>
      </c>
      <c r="AR88" s="85">
        <v>30340</v>
      </c>
      <c r="AS88" s="85">
        <v>31630</v>
      </c>
      <c r="AT88" s="85">
        <v>31040</v>
      </c>
      <c r="AU88" s="85">
        <v>30260</v>
      </c>
      <c r="AV88" s="85">
        <v>29380</v>
      </c>
      <c r="AW88" s="85">
        <v>28410</v>
      </c>
      <c r="AX88" s="85">
        <v>27230</v>
      </c>
      <c r="AY88" s="85">
        <v>27460</v>
      </c>
      <c r="AZ88" s="85">
        <v>27190</v>
      </c>
      <c r="BA88" s="85">
        <v>28210</v>
      </c>
      <c r="BB88" s="85">
        <v>28390</v>
      </c>
      <c r="BC88" s="85">
        <v>28770</v>
      </c>
      <c r="BD88" s="85">
        <v>29710</v>
      </c>
      <c r="BE88" s="85">
        <v>30410</v>
      </c>
      <c r="BF88" s="85">
        <v>31060</v>
      </c>
      <c r="BG88" s="85">
        <v>32110</v>
      </c>
      <c r="BH88" s="85">
        <v>32610</v>
      </c>
      <c r="BI88" s="85">
        <v>33670</v>
      </c>
      <c r="BJ88" s="85">
        <v>35620</v>
      </c>
      <c r="BK88" s="85">
        <v>36470</v>
      </c>
      <c r="BL88" s="85">
        <v>38410</v>
      </c>
    </row>
    <row r="89" spans="1:64" x14ac:dyDescent="0.2">
      <c r="A89" s="29">
        <v>79</v>
      </c>
      <c r="B89" s="85">
        <v>10220</v>
      </c>
      <c r="C89" s="85">
        <v>10390</v>
      </c>
      <c r="D89" s="85">
        <v>10360</v>
      </c>
      <c r="E89" s="85">
        <v>10710</v>
      </c>
      <c r="F89" s="85">
        <v>10800</v>
      </c>
      <c r="G89" s="85">
        <v>10360</v>
      </c>
      <c r="H89" s="85">
        <v>10460</v>
      </c>
      <c r="I89" s="85">
        <v>10380</v>
      </c>
      <c r="J89" s="85">
        <v>10400</v>
      </c>
      <c r="K89" s="85">
        <v>10920</v>
      </c>
      <c r="L89" s="85">
        <v>11500</v>
      </c>
      <c r="M89" s="85">
        <v>11990</v>
      </c>
      <c r="N89" s="85">
        <v>12630</v>
      </c>
      <c r="O89" s="85">
        <v>13780</v>
      </c>
      <c r="P89" s="85">
        <v>14910</v>
      </c>
      <c r="Q89" s="85">
        <v>15260</v>
      </c>
      <c r="R89" s="85">
        <v>13790</v>
      </c>
      <c r="S89" s="85">
        <v>15380</v>
      </c>
      <c r="T89" s="85">
        <v>16380</v>
      </c>
      <c r="U89" s="85">
        <v>17250</v>
      </c>
      <c r="V89" s="85">
        <v>20410</v>
      </c>
      <c r="W89" s="85">
        <v>20490</v>
      </c>
      <c r="X89" s="85">
        <v>20340</v>
      </c>
      <c r="Y89" s="85">
        <v>20900</v>
      </c>
      <c r="Z89" s="85">
        <v>20900</v>
      </c>
      <c r="AA89" s="85">
        <v>21540</v>
      </c>
      <c r="AB89" s="85">
        <v>21970</v>
      </c>
      <c r="AC89" s="85">
        <v>23010</v>
      </c>
      <c r="AD89" s="85">
        <v>23670</v>
      </c>
      <c r="AE89" s="85">
        <v>24420</v>
      </c>
      <c r="AF89" s="85">
        <v>25230</v>
      </c>
      <c r="AG89" s="85">
        <v>25680</v>
      </c>
      <c r="AH89" s="85">
        <v>26910</v>
      </c>
      <c r="AI89" s="85">
        <v>27440</v>
      </c>
      <c r="AJ89" s="85">
        <v>28770</v>
      </c>
      <c r="AK89" s="85">
        <v>29410</v>
      </c>
      <c r="AL89" s="85">
        <v>29740</v>
      </c>
      <c r="AM89" s="85">
        <v>29260</v>
      </c>
      <c r="AN89" s="85">
        <v>28380</v>
      </c>
      <c r="AO89" s="85">
        <v>28310</v>
      </c>
      <c r="AP89" s="85">
        <v>28930</v>
      </c>
      <c r="AQ89" s="85">
        <v>29270</v>
      </c>
      <c r="AR89" s="85">
        <v>29890</v>
      </c>
      <c r="AS89" s="85">
        <v>29980</v>
      </c>
      <c r="AT89" s="85">
        <v>31260</v>
      </c>
      <c r="AU89" s="85">
        <v>30690</v>
      </c>
      <c r="AV89" s="85">
        <v>29920</v>
      </c>
      <c r="AW89" s="85">
        <v>29060</v>
      </c>
      <c r="AX89" s="85">
        <v>28110</v>
      </c>
      <c r="AY89" s="85">
        <v>26950</v>
      </c>
      <c r="AZ89" s="85">
        <v>27180</v>
      </c>
      <c r="BA89" s="85">
        <v>26920</v>
      </c>
      <c r="BB89" s="85">
        <v>27940</v>
      </c>
      <c r="BC89" s="85">
        <v>28130</v>
      </c>
      <c r="BD89" s="85">
        <v>28510</v>
      </c>
      <c r="BE89" s="85">
        <v>29440</v>
      </c>
      <c r="BF89" s="85">
        <v>30150</v>
      </c>
      <c r="BG89" s="85">
        <v>30800</v>
      </c>
      <c r="BH89" s="85">
        <v>31850</v>
      </c>
      <c r="BI89" s="85">
        <v>32350</v>
      </c>
      <c r="BJ89" s="85">
        <v>33410</v>
      </c>
      <c r="BK89" s="85">
        <v>35350</v>
      </c>
      <c r="BL89" s="85">
        <v>36200</v>
      </c>
    </row>
    <row r="90" spans="1:64" x14ac:dyDescent="0.2">
      <c r="A90" s="29">
        <v>80</v>
      </c>
      <c r="B90" s="85">
        <v>9890</v>
      </c>
      <c r="C90" s="85">
        <v>9830</v>
      </c>
      <c r="D90" s="85">
        <v>9990</v>
      </c>
      <c r="E90" s="85">
        <v>9950</v>
      </c>
      <c r="F90" s="85">
        <v>10300</v>
      </c>
      <c r="G90" s="85">
        <v>10410</v>
      </c>
      <c r="H90" s="85">
        <v>9930</v>
      </c>
      <c r="I90" s="85">
        <v>10090</v>
      </c>
      <c r="J90" s="85">
        <v>10020</v>
      </c>
      <c r="K90" s="85">
        <v>10040</v>
      </c>
      <c r="L90" s="85">
        <v>10560</v>
      </c>
      <c r="M90" s="85">
        <v>11150</v>
      </c>
      <c r="N90" s="85">
        <v>11640</v>
      </c>
      <c r="O90" s="85">
        <v>12260</v>
      </c>
      <c r="P90" s="85">
        <v>13390</v>
      </c>
      <c r="Q90" s="85">
        <v>14500</v>
      </c>
      <c r="R90" s="85">
        <v>14840</v>
      </c>
      <c r="S90" s="85">
        <v>13420</v>
      </c>
      <c r="T90" s="85">
        <v>14970</v>
      </c>
      <c r="U90" s="85">
        <v>15960</v>
      </c>
      <c r="V90" s="85">
        <v>16820</v>
      </c>
      <c r="W90" s="85">
        <v>19910</v>
      </c>
      <c r="X90" s="85">
        <v>20000</v>
      </c>
      <c r="Y90" s="85">
        <v>19870</v>
      </c>
      <c r="Z90" s="85">
        <v>20430</v>
      </c>
      <c r="AA90" s="85">
        <v>20440</v>
      </c>
      <c r="AB90" s="85">
        <v>21080</v>
      </c>
      <c r="AC90" s="85">
        <v>21510</v>
      </c>
      <c r="AD90" s="85">
        <v>22540</v>
      </c>
      <c r="AE90" s="85">
        <v>23200</v>
      </c>
      <c r="AF90" s="85">
        <v>23940</v>
      </c>
      <c r="AG90" s="85">
        <v>24750</v>
      </c>
      <c r="AH90" s="85">
        <v>25200</v>
      </c>
      <c r="AI90" s="85">
        <v>26430</v>
      </c>
      <c r="AJ90" s="85">
        <v>26960</v>
      </c>
      <c r="AK90" s="85">
        <v>28270</v>
      </c>
      <c r="AL90" s="85">
        <v>28910</v>
      </c>
      <c r="AM90" s="85">
        <v>29250</v>
      </c>
      <c r="AN90" s="85">
        <v>28790</v>
      </c>
      <c r="AO90" s="85">
        <v>27930</v>
      </c>
      <c r="AP90" s="85">
        <v>27870</v>
      </c>
      <c r="AQ90" s="85">
        <v>28490</v>
      </c>
      <c r="AR90" s="85">
        <v>28850</v>
      </c>
      <c r="AS90" s="85">
        <v>29460</v>
      </c>
      <c r="AT90" s="85">
        <v>29560</v>
      </c>
      <c r="AU90" s="85">
        <v>30830</v>
      </c>
      <c r="AV90" s="85">
        <v>30280</v>
      </c>
      <c r="AW90" s="85">
        <v>29530</v>
      </c>
      <c r="AX90" s="85">
        <v>28690</v>
      </c>
      <c r="AY90" s="85">
        <v>27760</v>
      </c>
      <c r="AZ90" s="85">
        <v>26630</v>
      </c>
      <c r="BA90" s="85">
        <v>26860</v>
      </c>
      <c r="BB90" s="85">
        <v>26610</v>
      </c>
      <c r="BC90" s="85">
        <v>27630</v>
      </c>
      <c r="BD90" s="85">
        <v>27820</v>
      </c>
      <c r="BE90" s="85">
        <v>28200</v>
      </c>
      <c r="BF90" s="85">
        <v>29140</v>
      </c>
      <c r="BG90" s="85">
        <v>29840</v>
      </c>
      <c r="BH90" s="85">
        <v>30490</v>
      </c>
      <c r="BI90" s="85">
        <v>31540</v>
      </c>
      <c r="BJ90" s="85">
        <v>32040</v>
      </c>
      <c r="BK90" s="85">
        <v>33100</v>
      </c>
      <c r="BL90" s="85">
        <v>35030</v>
      </c>
    </row>
    <row r="91" spans="1:64" x14ac:dyDescent="0.2">
      <c r="A91" s="29">
        <v>81</v>
      </c>
      <c r="B91" s="85">
        <v>9610</v>
      </c>
      <c r="C91" s="85">
        <v>9450</v>
      </c>
      <c r="D91" s="85">
        <v>9380</v>
      </c>
      <c r="E91" s="85">
        <v>9540</v>
      </c>
      <c r="F91" s="85">
        <v>9510</v>
      </c>
      <c r="G91" s="85">
        <v>9820</v>
      </c>
      <c r="H91" s="85">
        <v>9960</v>
      </c>
      <c r="I91" s="85">
        <v>9520</v>
      </c>
      <c r="J91" s="85">
        <v>9690</v>
      </c>
      <c r="K91" s="85">
        <v>9620</v>
      </c>
      <c r="L91" s="85">
        <v>9700</v>
      </c>
      <c r="M91" s="85">
        <v>10190</v>
      </c>
      <c r="N91" s="85">
        <v>10770</v>
      </c>
      <c r="O91" s="85">
        <v>11250</v>
      </c>
      <c r="P91" s="85">
        <v>11860</v>
      </c>
      <c r="Q91" s="85">
        <v>12960</v>
      </c>
      <c r="R91" s="85">
        <v>14040</v>
      </c>
      <c r="S91" s="85">
        <v>14380</v>
      </c>
      <c r="T91" s="85">
        <v>13010</v>
      </c>
      <c r="U91" s="85">
        <v>14530</v>
      </c>
      <c r="V91" s="85">
        <v>15500</v>
      </c>
      <c r="W91" s="85">
        <v>16350</v>
      </c>
      <c r="X91" s="85">
        <v>19360</v>
      </c>
      <c r="Y91" s="85">
        <v>19460</v>
      </c>
      <c r="Z91" s="85">
        <v>19340</v>
      </c>
      <c r="AA91" s="85">
        <v>19910</v>
      </c>
      <c r="AB91" s="85">
        <v>19930</v>
      </c>
      <c r="AC91" s="85">
        <v>20560</v>
      </c>
      <c r="AD91" s="85">
        <v>20990</v>
      </c>
      <c r="AE91" s="85">
        <v>22010</v>
      </c>
      <c r="AF91" s="85">
        <v>22670</v>
      </c>
      <c r="AG91" s="85">
        <v>23410</v>
      </c>
      <c r="AH91" s="85">
        <v>24210</v>
      </c>
      <c r="AI91" s="85">
        <v>24660</v>
      </c>
      <c r="AJ91" s="85">
        <v>25870</v>
      </c>
      <c r="AK91" s="85">
        <v>26400</v>
      </c>
      <c r="AL91" s="85">
        <v>27700</v>
      </c>
      <c r="AM91" s="85">
        <v>28350</v>
      </c>
      <c r="AN91" s="85">
        <v>28690</v>
      </c>
      <c r="AO91" s="85">
        <v>28250</v>
      </c>
      <c r="AP91" s="85">
        <v>27420</v>
      </c>
      <c r="AQ91" s="85">
        <v>27380</v>
      </c>
      <c r="AR91" s="85">
        <v>27990</v>
      </c>
      <c r="AS91" s="85">
        <v>28350</v>
      </c>
      <c r="AT91" s="85">
        <v>28970</v>
      </c>
      <c r="AU91" s="85">
        <v>29080</v>
      </c>
      <c r="AV91" s="85">
        <v>30340</v>
      </c>
      <c r="AW91" s="85">
        <v>29810</v>
      </c>
      <c r="AX91" s="85">
        <v>29080</v>
      </c>
      <c r="AY91" s="85">
        <v>28270</v>
      </c>
      <c r="AZ91" s="85">
        <v>27360</v>
      </c>
      <c r="BA91" s="85">
        <v>26250</v>
      </c>
      <c r="BB91" s="85">
        <v>26490</v>
      </c>
      <c r="BC91" s="85">
        <v>26250</v>
      </c>
      <c r="BD91" s="85">
        <v>27260</v>
      </c>
      <c r="BE91" s="85">
        <v>27460</v>
      </c>
      <c r="BF91" s="85">
        <v>27850</v>
      </c>
      <c r="BG91" s="85">
        <v>28770</v>
      </c>
      <c r="BH91" s="85">
        <v>29480</v>
      </c>
      <c r="BI91" s="85">
        <v>30130</v>
      </c>
      <c r="BJ91" s="85">
        <v>31170</v>
      </c>
      <c r="BK91" s="85">
        <v>31680</v>
      </c>
      <c r="BL91" s="85">
        <v>32730</v>
      </c>
    </row>
    <row r="92" spans="1:64" x14ac:dyDescent="0.2">
      <c r="A92" s="29">
        <v>82</v>
      </c>
      <c r="B92" s="85">
        <v>8770</v>
      </c>
      <c r="C92" s="85">
        <v>9110</v>
      </c>
      <c r="D92" s="85">
        <v>8970</v>
      </c>
      <c r="E92" s="85">
        <v>8930</v>
      </c>
      <c r="F92" s="85">
        <v>9080</v>
      </c>
      <c r="G92" s="85">
        <v>9040</v>
      </c>
      <c r="H92" s="85">
        <v>9340</v>
      </c>
      <c r="I92" s="85">
        <v>9530</v>
      </c>
      <c r="J92" s="85">
        <v>9100</v>
      </c>
      <c r="K92" s="85">
        <v>9220</v>
      </c>
      <c r="L92" s="85">
        <v>9200</v>
      </c>
      <c r="M92" s="85">
        <v>9320</v>
      </c>
      <c r="N92" s="85">
        <v>9790</v>
      </c>
      <c r="O92" s="85">
        <v>10360</v>
      </c>
      <c r="P92" s="85">
        <v>10830</v>
      </c>
      <c r="Q92" s="85">
        <v>11420</v>
      </c>
      <c r="R92" s="85">
        <v>12480</v>
      </c>
      <c r="S92" s="85">
        <v>13540</v>
      </c>
      <c r="T92" s="85">
        <v>13880</v>
      </c>
      <c r="U92" s="85">
        <v>12570</v>
      </c>
      <c r="V92" s="85">
        <v>14050</v>
      </c>
      <c r="W92" s="85">
        <v>14990</v>
      </c>
      <c r="X92" s="85">
        <v>15820</v>
      </c>
      <c r="Y92" s="85">
        <v>18750</v>
      </c>
      <c r="Z92" s="85">
        <v>18860</v>
      </c>
      <c r="AA92" s="85">
        <v>18760</v>
      </c>
      <c r="AB92" s="85">
        <v>19320</v>
      </c>
      <c r="AC92" s="85">
        <v>19350</v>
      </c>
      <c r="AD92" s="85">
        <v>19980</v>
      </c>
      <c r="AE92" s="85">
        <v>20410</v>
      </c>
      <c r="AF92" s="85">
        <v>21420</v>
      </c>
      <c r="AG92" s="85">
        <v>22070</v>
      </c>
      <c r="AH92" s="85">
        <v>22800</v>
      </c>
      <c r="AI92" s="85">
        <v>23590</v>
      </c>
      <c r="AJ92" s="85">
        <v>24050</v>
      </c>
      <c r="AK92" s="85">
        <v>25240</v>
      </c>
      <c r="AL92" s="85">
        <v>25780</v>
      </c>
      <c r="AM92" s="85">
        <v>27060</v>
      </c>
      <c r="AN92" s="85">
        <v>27700</v>
      </c>
      <c r="AO92" s="85">
        <v>28050</v>
      </c>
      <c r="AP92" s="85">
        <v>27630</v>
      </c>
      <c r="AQ92" s="85">
        <v>26830</v>
      </c>
      <c r="AR92" s="85">
        <v>26800</v>
      </c>
      <c r="AS92" s="85">
        <v>27420</v>
      </c>
      <c r="AT92" s="85">
        <v>27780</v>
      </c>
      <c r="AU92" s="85">
        <v>28400</v>
      </c>
      <c r="AV92" s="85">
        <v>28520</v>
      </c>
      <c r="AW92" s="85">
        <v>29770</v>
      </c>
      <c r="AX92" s="85">
        <v>29260</v>
      </c>
      <c r="AY92" s="85">
        <v>28560</v>
      </c>
      <c r="AZ92" s="85">
        <v>27770</v>
      </c>
      <c r="BA92" s="85">
        <v>26890</v>
      </c>
      <c r="BB92" s="85">
        <v>25800</v>
      </c>
      <c r="BC92" s="85">
        <v>26050</v>
      </c>
      <c r="BD92" s="85">
        <v>25820</v>
      </c>
      <c r="BE92" s="85">
        <v>26830</v>
      </c>
      <c r="BF92" s="85">
        <v>27030</v>
      </c>
      <c r="BG92" s="85">
        <v>27420</v>
      </c>
      <c r="BH92" s="85">
        <v>28340</v>
      </c>
      <c r="BI92" s="85">
        <v>29050</v>
      </c>
      <c r="BJ92" s="85">
        <v>29700</v>
      </c>
      <c r="BK92" s="85">
        <v>30740</v>
      </c>
      <c r="BL92" s="85">
        <v>31240</v>
      </c>
    </row>
    <row r="93" spans="1:64" x14ac:dyDescent="0.2">
      <c r="A93" s="29">
        <v>83</v>
      </c>
      <c r="B93" s="85">
        <v>8030</v>
      </c>
      <c r="C93" s="85">
        <v>8270</v>
      </c>
      <c r="D93" s="85">
        <v>8570</v>
      </c>
      <c r="E93" s="85">
        <v>8440</v>
      </c>
      <c r="F93" s="85">
        <v>8400</v>
      </c>
      <c r="G93" s="85">
        <v>8590</v>
      </c>
      <c r="H93" s="85">
        <v>8550</v>
      </c>
      <c r="I93" s="85">
        <v>8820</v>
      </c>
      <c r="J93" s="85">
        <v>9080</v>
      </c>
      <c r="K93" s="85">
        <v>8600</v>
      </c>
      <c r="L93" s="85">
        <v>8780</v>
      </c>
      <c r="M93" s="85">
        <v>8780</v>
      </c>
      <c r="N93" s="85">
        <v>8900</v>
      </c>
      <c r="O93" s="85">
        <v>9360</v>
      </c>
      <c r="P93" s="85">
        <v>9910</v>
      </c>
      <c r="Q93" s="85">
        <v>10360</v>
      </c>
      <c r="R93" s="85">
        <v>10940</v>
      </c>
      <c r="S93" s="85">
        <v>11970</v>
      </c>
      <c r="T93" s="85">
        <v>12990</v>
      </c>
      <c r="U93" s="85">
        <v>13320</v>
      </c>
      <c r="V93" s="85">
        <v>12080</v>
      </c>
      <c r="W93" s="85">
        <v>13510</v>
      </c>
      <c r="X93" s="85">
        <v>14430</v>
      </c>
      <c r="Y93" s="85">
        <v>15240</v>
      </c>
      <c r="Z93" s="85">
        <v>18080</v>
      </c>
      <c r="AA93" s="85">
        <v>18190</v>
      </c>
      <c r="AB93" s="85">
        <v>18110</v>
      </c>
      <c r="AC93" s="85">
        <v>18660</v>
      </c>
      <c r="AD93" s="85">
        <v>18710</v>
      </c>
      <c r="AE93" s="85">
        <v>19330</v>
      </c>
      <c r="AF93" s="85">
        <v>19750</v>
      </c>
      <c r="AG93" s="85">
        <v>20740</v>
      </c>
      <c r="AH93" s="85">
        <v>21390</v>
      </c>
      <c r="AI93" s="85">
        <v>22110</v>
      </c>
      <c r="AJ93" s="85">
        <v>22890</v>
      </c>
      <c r="AK93" s="85">
        <v>23350</v>
      </c>
      <c r="AL93" s="85">
        <v>24520</v>
      </c>
      <c r="AM93" s="85">
        <v>25060</v>
      </c>
      <c r="AN93" s="85">
        <v>26320</v>
      </c>
      <c r="AO93" s="85">
        <v>26960</v>
      </c>
      <c r="AP93" s="85">
        <v>27310</v>
      </c>
      <c r="AQ93" s="85">
        <v>26920</v>
      </c>
      <c r="AR93" s="85">
        <v>26160</v>
      </c>
      <c r="AS93" s="85">
        <v>26140</v>
      </c>
      <c r="AT93" s="85">
        <v>26750</v>
      </c>
      <c r="AU93" s="85">
        <v>27120</v>
      </c>
      <c r="AV93" s="85">
        <v>27740</v>
      </c>
      <c r="AW93" s="85">
        <v>27870</v>
      </c>
      <c r="AX93" s="85">
        <v>29100</v>
      </c>
      <c r="AY93" s="85">
        <v>28610</v>
      </c>
      <c r="AZ93" s="85">
        <v>27940</v>
      </c>
      <c r="BA93" s="85">
        <v>27180</v>
      </c>
      <c r="BB93" s="85">
        <v>26330</v>
      </c>
      <c r="BC93" s="85">
        <v>25280</v>
      </c>
      <c r="BD93" s="85">
        <v>25530</v>
      </c>
      <c r="BE93" s="85">
        <v>25320</v>
      </c>
      <c r="BF93" s="85">
        <v>26320</v>
      </c>
      <c r="BG93" s="85">
        <v>26520</v>
      </c>
      <c r="BH93" s="85">
        <v>26920</v>
      </c>
      <c r="BI93" s="85">
        <v>27830</v>
      </c>
      <c r="BJ93" s="85">
        <v>28540</v>
      </c>
      <c r="BK93" s="85">
        <v>29190</v>
      </c>
      <c r="BL93" s="85">
        <v>30210</v>
      </c>
    </row>
    <row r="94" spans="1:64" x14ac:dyDescent="0.2">
      <c r="A94" s="29">
        <v>84</v>
      </c>
      <c r="B94" s="85">
        <v>7700</v>
      </c>
      <c r="C94" s="85">
        <v>7490</v>
      </c>
      <c r="D94" s="85">
        <v>7730</v>
      </c>
      <c r="E94" s="85">
        <v>8040</v>
      </c>
      <c r="F94" s="85">
        <v>7890</v>
      </c>
      <c r="G94" s="85">
        <v>7870</v>
      </c>
      <c r="H94" s="85">
        <v>7980</v>
      </c>
      <c r="I94" s="85">
        <v>8060</v>
      </c>
      <c r="J94" s="85">
        <v>8360</v>
      </c>
      <c r="K94" s="85">
        <v>8550</v>
      </c>
      <c r="L94" s="85">
        <v>8170</v>
      </c>
      <c r="M94" s="85">
        <v>8310</v>
      </c>
      <c r="N94" s="85">
        <v>8320</v>
      </c>
      <c r="O94" s="85">
        <v>8440</v>
      </c>
      <c r="P94" s="85">
        <v>8880</v>
      </c>
      <c r="Q94" s="85">
        <v>9410</v>
      </c>
      <c r="R94" s="85">
        <v>9850</v>
      </c>
      <c r="S94" s="85">
        <v>10410</v>
      </c>
      <c r="T94" s="85">
        <v>11400</v>
      </c>
      <c r="U94" s="85">
        <v>12380</v>
      </c>
      <c r="V94" s="85">
        <v>12710</v>
      </c>
      <c r="W94" s="85">
        <v>11530</v>
      </c>
      <c r="X94" s="85">
        <v>12910</v>
      </c>
      <c r="Y94" s="85">
        <v>13810</v>
      </c>
      <c r="Z94" s="85">
        <v>14590</v>
      </c>
      <c r="AA94" s="85">
        <v>17320</v>
      </c>
      <c r="AB94" s="85">
        <v>17450</v>
      </c>
      <c r="AC94" s="85">
        <v>17380</v>
      </c>
      <c r="AD94" s="85">
        <v>17920</v>
      </c>
      <c r="AE94" s="85">
        <v>17980</v>
      </c>
      <c r="AF94" s="85">
        <v>18590</v>
      </c>
      <c r="AG94" s="85">
        <v>19020</v>
      </c>
      <c r="AH94" s="85">
        <v>19980</v>
      </c>
      <c r="AI94" s="85">
        <v>20620</v>
      </c>
      <c r="AJ94" s="85">
        <v>21330</v>
      </c>
      <c r="AK94" s="85">
        <v>22100</v>
      </c>
      <c r="AL94" s="85">
        <v>22560</v>
      </c>
      <c r="AM94" s="85">
        <v>23700</v>
      </c>
      <c r="AN94" s="85">
        <v>24230</v>
      </c>
      <c r="AO94" s="85">
        <v>25470</v>
      </c>
      <c r="AP94" s="85">
        <v>26100</v>
      </c>
      <c r="AQ94" s="85">
        <v>26460</v>
      </c>
      <c r="AR94" s="85">
        <v>26100</v>
      </c>
      <c r="AS94" s="85">
        <v>25370</v>
      </c>
      <c r="AT94" s="85">
        <v>25370</v>
      </c>
      <c r="AU94" s="85">
        <v>25980</v>
      </c>
      <c r="AV94" s="85">
        <v>26350</v>
      </c>
      <c r="AW94" s="85">
        <v>26960</v>
      </c>
      <c r="AX94" s="85">
        <v>27100</v>
      </c>
      <c r="AY94" s="85">
        <v>28320</v>
      </c>
      <c r="AZ94" s="85">
        <v>27860</v>
      </c>
      <c r="BA94" s="85">
        <v>27220</v>
      </c>
      <c r="BB94" s="85">
        <v>26490</v>
      </c>
      <c r="BC94" s="85">
        <v>25670</v>
      </c>
      <c r="BD94" s="85">
        <v>24660</v>
      </c>
      <c r="BE94" s="85">
        <v>24910</v>
      </c>
      <c r="BF94" s="85">
        <v>24720</v>
      </c>
      <c r="BG94" s="85">
        <v>25710</v>
      </c>
      <c r="BH94" s="85">
        <v>25920</v>
      </c>
      <c r="BI94" s="85">
        <v>26320</v>
      </c>
      <c r="BJ94" s="85">
        <v>27220</v>
      </c>
      <c r="BK94" s="85">
        <v>27920</v>
      </c>
      <c r="BL94" s="85">
        <v>28570</v>
      </c>
    </row>
    <row r="95" spans="1:64" x14ac:dyDescent="0.2">
      <c r="A95" s="29">
        <v>85</v>
      </c>
      <c r="B95" s="85">
        <v>6940</v>
      </c>
      <c r="C95" s="85">
        <v>7130</v>
      </c>
      <c r="D95" s="85">
        <v>6960</v>
      </c>
      <c r="E95" s="85">
        <v>7160</v>
      </c>
      <c r="F95" s="85">
        <v>7480</v>
      </c>
      <c r="G95" s="85">
        <v>7290</v>
      </c>
      <c r="H95" s="85">
        <v>7350</v>
      </c>
      <c r="I95" s="85">
        <v>7380</v>
      </c>
      <c r="J95" s="85">
        <v>7530</v>
      </c>
      <c r="K95" s="85">
        <v>7770</v>
      </c>
      <c r="L95" s="85">
        <v>8000</v>
      </c>
      <c r="M95" s="85">
        <v>7670</v>
      </c>
      <c r="N95" s="85">
        <v>7810</v>
      </c>
      <c r="O95" s="85">
        <v>7820</v>
      </c>
      <c r="P95" s="85">
        <v>7940</v>
      </c>
      <c r="Q95" s="85">
        <v>8370</v>
      </c>
      <c r="R95" s="85">
        <v>8870</v>
      </c>
      <c r="S95" s="85">
        <v>9300</v>
      </c>
      <c r="T95" s="85">
        <v>9830</v>
      </c>
      <c r="U95" s="85">
        <v>10780</v>
      </c>
      <c r="V95" s="85">
        <v>11720</v>
      </c>
      <c r="W95" s="85">
        <v>12050</v>
      </c>
      <c r="X95" s="85">
        <v>10940</v>
      </c>
      <c r="Y95" s="85">
        <v>12260</v>
      </c>
      <c r="Z95" s="85">
        <v>13120</v>
      </c>
      <c r="AA95" s="85">
        <v>13880</v>
      </c>
      <c r="AB95" s="85">
        <v>16490</v>
      </c>
      <c r="AC95" s="85">
        <v>16620</v>
      </c>
      <c r="AD95" s="85">
        <v>16570</v>
      </c>
      <c r="AE95" s="85">
        <v>17100</v>
      </c>
      <c r="AF95" s="85">
        <v>17170</v>
      </c>
      <c r="AG95" s="85">
        <v>17770</v>
      </c>
      <c r="AH95" s="85">
        <v>18190</v>
      </c>
      <c r="AI95" s="85">
        <v>19130</v>
      </c>
      <c r="AJ95" s="85">
        <v>19750</v>
      </c>
      <c r="AK95" s="85">
        <v>20440</v>
      </c>
      <c r="AL95" s="85">
        <v>21200</v>
      </c>
      <c r="AM95" s="85">
        <v>21650</v>
      </c>
      <c r="AN95" s="85">
        <v>22770</v>
      </c>
      <c r="AO95" s="85">
        <v>23290</v>
      </c>
      <c r="AP95" s="85">
        <v>24500</v>
      </c>
      <c r="AQ95" s="85">
        <v>25130</v>
      </c>
      <c r="AR95" s="85">
        <v>25480</v>
      </c>
      <c r="AS95" s="85">
        <v>25150</v>
      </c>
      <c r="AT95" s="85">
        <v>24470</v>
      </c>
      <c r="AU95" s="85">
        <v>24480</v>
      </c>
      <c r="AV95" s="85">
        <v>25090</v>
      </c>
      <c r="AW95" s="85">
        <v>25460</v>
      </c>
      <c r="AX95" s="85">
        <v>26070</v>
      </c>
      <c r="AY95" s="85">
        <v>26210</v>
      </c>
      <c r="AZ95" s="85">
        <v>27410</v>
      </c>
      <c r="BA95" s="85">
        <v>26980</v>
      </c>
      <c r="BB95" s="85">
        <v>26370</v>
      </c>
      <c r="BC95" s="85">
        <v>25680</v>
      </c>
      <c r="BD95" s="85">
        <v>24900</v>
      </c>
      <c r="BE95" s="85">
        <v>23930</v>
      </c>
      <c r="BF95" s="85">
        <v>24190</v>
      </c>
      <c r="BG95" s="85">
        <v>24010</v>
      </c>
      <c r="BH95" s="85">
        <v>24980</v>
      </c>
      <c r="BI95" s="85">
        <v>25200</v>
      </c>
      <c r="BJ95" s="85">
        <v>25600</v>
      </c>
      <c r="BK95" s="85">
        <v>26490</v>
      </c>
      <c r="BL95" s="85">
        <v>27190</v>
      </c>
    </row>
    <row r="96" spans="1:64" x14ac:dyDescent="0.2">
      <c r="A96" s="29">
        <v>86</v>
      </c>
      <c r="B96" s="85">
        <v>6240</v>
      </c>
      <c r="C96" s="85">
        <v>6390</v>
      </c>
      <c r="D96" s="85">
        <v>6540</v>
      </c>
      <c r="E96" s="85">
        <v>6380</v>
      </c>
      <c r="F96" s="85">
        <v>6560</v>
      </c>
      <c r="G96" s="85">
        <v>6900</v>
      </c>
      <c r="H96" s="85">
        <v>6650</v>
      </c>
      <c r="I96" s="85">
        <v>6750</v>
      </c>
      <c r="J96" s="85">
        <v>6850</v>
      </c>
      <c r="K96" s="85">
        <v>6960</v>
      </c>
      <c r="L96" s="85">
        <v>7200</v>
      </c>
      <c r="M96" s="85">
        <v>7430</v>
      </c>
      <c r="N96" s="85">
        <v>7130</v>
      </c>
      <c r="O96" s="85">
        <v>7270</v>
      </c>
      <c r="P96" s="85">
        <v>7290</v>
      </c>
      <c r="Q96" s="85">
        <v>7410</v>
      </c>
      <c r="R96" s="85">
        <v>7810</v>
      </c>
      <c r="S96" s="85">
        <v>8300</v>
      </c>
      <c r="T96" s="85">
        <v>8700</v>
      </c>
      <c r="U96" s="85">
        <v>9210</v>
      </c>
      <c r="V96" s="85">
        <v>10110</v>
      </c>
      <c r="W96" s="85">
        <v>11000</v>
      </c>
      <c r="X96" s="85">
        <v>11320</v>
      </c>
      <c r="Y96" s="85">
        <v>10290</v>
      </c>
      <c r="Z96" s="85">
        <v>11540</v>
      </c>
      <c r="AA96" s="85">
        <v>12360</v>
      </c>
      <c r="AB96" s="85">
        <v>13090</v>
      </c>
      <c r="AC96" s="85">
        <v>15560</v>
      </c>
      <c r="AD96" s="85">
        <v>15710</v>
      </c>
      <c r="AE96" s="85">
        <v>15670</v>
      </c>
      <c r="AF96" s="85">
        <v>16190</v>
      </c>
      <c r="AG96" s="85">
        <v>16270</v>
      </c>
      <c r="AH96" s="85">
        <v>16850</v>
      </c>
      <c r="AI96" s="85">
        <v>17260</v>
      </c>
      <c r="AJ96" s="85">
        <v>18160</v>
      </c>
      <c r="AK96" s="85">
        <v>18770</v>
      </c>
      <c r="AL96" s="85">
        <v>19450</v>
      </c>
      <c r="AM96" s="85">
        <v>20180</v>
      </c>
      <c r="AN96" s="85">
        <v>20630</v>
      </c>
      <c r="AO96" s="85">
        <v>21710</v>
      </c>
      <c r="AP96" s="85">
        <v>22220</v>
      </c>
      <c r="AQ96" s="85">
        <v>23390</v>
      </c>
      <c r="AR96" s="85">
        <v>24010</v>
      </c>
      <c r="AS96" s="85">
        <v>24370</v>
      </c>
      <c r="AT96" s="85">
        <v>24070</v>
      </c>
      <c r="AU96" s="85">
        <v>23430</v>
      </c>
      <c r="AV96" s="85">
        <v>23450</v>
      </c>
      <c r="AW96" s="85">
        <v>24050</v>
      </c>
      <c r="AX96" s="85">
        <v>24420</v>
      </c>
      <c r="AY96" s="85">
        <v>25020</v>
      </c>
      <c r="AZ96" s="85">
        <v>25180</v>
      </c>
      <c r="BA96" s="85">
        <v>26340</v>
      </c>
      <c r="BB96" s="85">
        <v>25940</v>
      </c>
      <c r="BC96" s="85">
        <v>25380</v>
      </c>
      <c r="BD96" s="85">
        <v>24730</v>
      </c>
      <c r="BE96" s="85">
        <v>23990</v>
      </c>
      <c r="BF96" s="85">
        <v>23070</v>
      </c>
      <c r="BG96" s="85">
        <v>23330</v>
      </c>
      <c r="BH96" s="85">
        <v>23170</v>
      </c>
      <c r="BI96" s="85">
        <v>24120</v>
      </c>
      <c r="BJ96" s="85">
        <v>24350</v>
      </c>
      <c r="BK96" s="85">
        <v>24750</v>
      </c>
      <c r="BL96" s="85">
        <v>25620</v>
      </c>
    </row>
    <row r="97" spans="1:64" x14ac:dyDescent="0.2">
      <c r="A97" s="29">
        <v>87</v>
      </c>
      <c r="B97" s="85">
        <v>4700</v>
      </c>
      <c r="C97" s="85">
        <v>5630</v>
      </c>
      <c r="D97" s="85">
        <v>5730</v>
      </c>
      <c r="E97" s="85">
        <v>5900</v>
      </c>
      <c r="F97" s="85">
        <v>5790</v>
      </c>
      <c r="G97" s="85">
        <v>5930</v>
      </c>
      <c r="H97" s="85">
        <v>6250</v>
      </c>
      <c r="I97" s="85">
        <v>6040</v>
      </c>
      <c r="J97" s="85">
        <v>6220</v>
      </c>
      <c r="K97" s="85">
        <v>6250</v>
      </c>
      <c r="L97" s="85">
        <v>6400</v>
      </c>
      <c r="M97" s="85">
        <v>6610</v>
      </c>
      <c r="N97" s="85">
        <v>6830</v>
      </c>
      <c r="O97" s="85">
        <v>6560</v>
      </c>
      <c r="P97" s="85">
        <v>6700</v>
      </c>
      <c r="Q97" s="85">
        <v>6720</v>
      </c>
      <c r="R97" s="85">
        <v>6840</v>
      </c>
      <c r="S97" s="85">
        <v>7220</v>
      </c>
      <c r="T97" s="85">
        <v>7680</v>
      </c>
      <c r="U97" s="85">
        <v>8060</v>
      </c>
      <c r="V97" s="85">
        <v>8540</v>
      </c>
      <c r="W97" s="85">
        <v>9390</v>
      </c>
      <c r="X97" s="85">
        <v>10230</v>
      </c>
      <c r="Y97" s="85">
        <v>10530</v>
      </c>
      <c r="Z97" s="85">
        <v>9580</v>
      </c>
      <c r="AA97" s="85">
        <v>10760</v>
      </c>
      <c r="AB97" s="85">
        <v>11530</v>
      </c>
      <c r="AC97" s="85">
        <v>12220</v>
      </c>
      <c r="AD97" s="85">
        <v>14550</v>
      </c>
      <c r="AE97" s="85">
        <v>14700</v>
      </c>
      <c r="AF97" s="85">
        <v>14680</v>
      </c>
      <c r="AG97" s="85">
        <v>15180</v>
      </c>
      <c r="AH97" s="85">
        <v>15260</v>
      </c>
      <c r="AI97" s="85">
        <v>15820</v>
      </c>
      <c r="AJ97" s="85">
        <v>16220</v>
      </c>
      <c r="AK97" s="85">
        <v>17090</v>
      </c>
      <c r="AL97" s="85">
        <v>17670</v>
      </c>
      <c r="AM97" s="85">
        <v>18330</v>
      </c>
      <c r="AN97" s="85">
        <v>19040</v>
      </c>
      <c r="AO97" s="85">
        <v>19470</v>
      </c>
      <c r="AP97" s="85">
        <v>20510</v>
      </c>
      <c r="AQ97" s="85">
        <v>21010</v>
      </c>
      <c r="AR97" s="85">
        <v>22130</v>
      </c>
      <c r="AS97" s="85">
        <v>22730</v>
      </c>
      <c r="AT97" s="85">
        <v>23090</v>
      </c>
      <c r="AU97" s="85">
        <v>22830</v>
      </c>
      <c r="AV97" s="85">
        <v>22240</v>
      </c>
      <c r="AW97" s="85">
        <v>22280</v>
      </c>
      <c r="AX97" s="85">
        <v>22860</v>
      </c>
      <c r="AY97" s="85">
        <v>23230</v>
      </c>
      <c r="AZ97" s="85">
        <v>23820</v>
      </c>
      <c r="BA97" s="85">
        <v>23990</v>
      </c>
      <c r="BB97" s="85">
        <v>25110</v>
      </c>
      <c r="BC97" s="85">
        <v>24750</v>
      </c>
      <c r="BD97" s="85">
        <v>24220</v>
      </c>
      <c r="BE97" s="85">
        <v>23610</v>
      </c>
      <c r="BF97" s="85">
        <v>22930</v>
      </c>
      <c r="BG97" s="85">
        <v>22060</v>
      </c>
      <c r="BH97" s="85">
        <v>22320</v>
      </c>
      <c r="BI97" s="85">
        <v>22190</v>
      </c>
      <c r="BJ97" s="85">
        <v>23110</v>
      </c>
      <c r="BK97" s="85">
        <v>23340</v>
      </c>
      <c r="BL97" s="85">
        <v>23740</v>
      </c>
    </row>
    <row r="98" spans="1:64" x14ac:dyDescent="0.2">
      <c r="A98" s="29">
        <v>88</v>
      </c>
      <c r="B98" s="85">
        <v>4260</v>
      </c>
      <c r="C98" s="85">
        <v>4210</v>
      </c>
      <c r="D98" s="85">
        <v>4990</v>
      </c>
      <c r="E98" s="85">
        <v>5140</v>
      </c>
      <c r="F98" s="85">
        <v>5280</v>
      </c>
      <c r="G98" s="85">
        <v>5170</v>
      </c>
      <c r="H98" s="85">
        <v>5280</v>
      </c>
      <c r="I98" s="85">
        <v>5610</v>
      </c>
      <c r="J98" s="85">
        <v>5470</v>
      </c>
      <c r="K98" s="85">
        <v>5620</v>
      </c>
      <c r="L98" s="85">
        <v>5630</v>
      </c>
      <c r="M98" s="85">
        <v>5800</v>
      </c>
      <c r="N98" s="85">
        <v>6000</v>
      </c>
      <c r="O98" s="85">
        <v>6210</v>
      </c>
      <c r="P98" s="85">
        <v>5970</v>
      </c>
      <c r="Q98" s="85">
        <v>6100</v>
      </c>
      <c r="R98" s="85">
        <v>6130</v>
      </c>
      <c r="S98" s="85">
        <v>6240</v>
      </c>
      <c r="T98" s="85">
        <v>6600</v>
      </c>
      <c r="U98" s="85">
        <v>7020</v>
      </c>
      <c r="V98" s="85">
        <v>7380</v>
      </c>
      <c r="W98" s="85">
        <v>7830</v>
      </c>
      <c r="X98" s="85">
        <v>8610</v>
      </c>
      <c r="Y98" s="85">
        <v>9390</v>
      </c>
      <c r="Z98" s="85">
        <v>9690</v>
      </c>
      <c r="AA98" s="85">
        <v>8820</v>
      </c>
      <c r="AB98" s="85">
        <v>9910</v>
      </c>
      <c r="AC98" s="85">
        <v>10640</v>
      </c>
      <c r="AD98" s="85">
        <v>11290</v>
      </c>
      <c r="AE98" s="85">
        <v>13450</v>
      </c>
      <c r="AF98" s="85">
        <v>13600</v>
      </c>
      <c r="AG98" s="85">
        <v>13600</v>
      </c>
      <c r="AH98" s="85">
        <v>14070</v>
      </c>
      <c r="AI98" s="85">
        <v>14170</v>
      </c>
      <c r="AJ98" s="85">
        <v>14700</v>
      </c>
      <c r="AK98" s="85">
        <v>15080</v>
      </c>
      <c r="AL98" s="85">
        <v>15900</v>
      </c>
      <c r="AM98" s="85">
        <v>16460</v>
      </c>
      <c r="AN98" s="85">
        <v>17090</v>
      </c>
      <c r="AO98" s="85">
        <v>17760</v>
      </c>
      <c r="AP98" s="85">
        <v>18180</v>
      </c>
      <c r="AQ98" s="85">
        <v>19170</v>
      </c>
      <c r="AR98" s="85">
        <v>19660</v>
      </c>
      <c r="AS98" s="85">
        <v>20720</v>
      </c>
      <c r="AT98" s="85">
        <v>21300</v>
      </c>
      <c r="AU98" s="85">
        <v>21660</v>
      </c>
      <c r="AV98" s="85">
        <v>21420</v>
      </c>
      <c r="AW98" s="85">
        <v>20890</v>
      </c>
      <c r="AX98" s="85">
        <v>20940</v>
      </c>
      <c r="AY98" s="85">
        <v>21510</v>
      </c>
      <c r="AZ98" s="85">
        <v>21870</v>
      </c>
      <c r="BA98" s="85">
        <v>22440</v>
      </c>
      <c r="BB98" s="85">
        <v>22620</v>
      </c>
      <c r="BC98" s="85">
        <v>23690</v>
      </c>
      <c r="BD98" s="85">
        <v>23370</v>
      </c>
      <c r="BE98" s="85">
        <v>22890</v>
      </c>
      <c r="BF98" s="85">
        <v>22330</v>
      </c>
      <c r="BG98" s="85">
        <v>21690</v>
      </c>
      <c r="BH98" s="85">
        <v>20890</v>
      </c>
      <c r="BI98" s="85">
        <v>21150</v>
      </c>
      <c r="BJ98" s="85">
        <v>21040</v>
      </c>
      <c r="BK98" s="85">
        <v>21930</v>
      </c>
      <c r="BL98" s="85">
        <v>22160</v>
      </c>
    </row>
    <row r="99" spans="1:64" x14ac:dyDescent="0.2">
      <c r="A99" s="29">
        <v>89</v>
      </c>
      <c r="B99" s="85">
        <v>3770</v>
      </c>
      <c r="C99" s="85">
        <v>3750</v>
      </c>
      <c r="D99" s="85">
        <v>3720</v>
      </c>
      <c r="E99" s="85">
        <v>4400</v>
      </c>
      <c r="F99" s="85">
        <v>4520</v>
      </c>
      <c r="G99" s="85">
        <v>4660</v>
      </c>
      <c r="H99" s="85">
        <v>4540</v>
      </c>
      <c r="I99" s="85">
        <v>4660</v>
      </c>
      <c r="J99" s="85">
        <v>5000</v>
      </c>
      <c r="K99" s="85">
        <v>4900</v>
      </c>
      <c r="L99" s="85">
        <v>5040</v>
      </c>
      <c r="M99" s="85">
        <v>5020</v>
      </c>
      <c r="N99" s="85">
        <v>5180</v>
      </c>
      <c r="O99" s="85">
        <v>5370</v>
      </c>
      <c r="P99" s="85">
        <v>5560</v>
      </c>
      <c r="Q99" s="85">
        <v>5350</v>
      </c>
      <c r="R99" s="85">
        <v>5480</v>
      </c>
      <c r="S99" s="85">
        <v>5510</v>
      </c>
      <c r="T99" s="85">
        <v>5620</v>
      </c>
      <c r="U99" s="85">
        <v>5950</v>
      </c>
      <c r="V99" s="85">
        <v>6340</v>
      </c>
      <c r="W99" s="85">
        <v>6670</v>
      </c>
      <c r="X99" s="85">
        <v>7080</v>
      </c>
      <c r="Y99" s="85">
        <v>7800</v>
      </c>
      <c r="Z99" s="85">
        <v>8520</v>
      </c>
      <c r="AA99" s="85">
        <v>8790</v>
      </c>
      <c r="AB99" s="85">
        <v>8010</v>
      </c>
      <c r="AC99" s="85">
        <v>9020</v>
      </c>
      <c r="AD99" s="85">
        <v>9690</v>
      </c>
      <c r="AE99" s="85">
        <v>10290</v>
      </c>
      <c r="AF99" s="85">
        <v>12270</v>
      </c>
      <c r="AG99" s="85">
        <v>12420</v>
      </c>
      <c r="AH99" s="85">
        <v>12430</v>
      </c>
      <c r="AI99" s="85">
        <v>12880</v>
      </c>
      <c r="AJ99" s="85">
        <v>12970</v>
      </c>
      <c r="AK99" s="85">
        <v>13470</v>
      </c>
      <c r="AL99" s="85">
        <v>13840</v>
      </c>
      <c r="AM99" s="85">
        <v>14610</v>
      </c>
      <c r="AN99" s="85">
        <v>15140</v>
      </c>
      <c r="AO99" s="85">
        <v>15720</v>
      </c>
      <c r="AP99" s="85">
        <v>16360</v>
      </c>
      <c r="AQ99" s="85">
        <v>16770</v>
      </c>
      <c r="AR99" s="85">
        <v>17690</v>
      </c>
      <c r="AS99" s="85">
        <v>18160</v>
      </c>
      <c r="AT99" s="85">
        <v>19160</v>
      </c>
      <c r="AU99" s="85">
        <v>19710</v>
      </c>
      <c r="AV99" s="85">
        <v>20060</v>
      </c>
      <c r="AW99" s="85">
        <v>19860</v>
      </c>
      <c r="AX99" s="85">
        <v>19370</v>
      </c>
      <c r="AY99" s="85">
        <v>19440</v>
      </c>
      <c r="AZ99" s="85">
        <v>19980</v>
      </c>
      <c r="BA99" s="85">
        <v>20340</v>
      </c>
      <c r="BB99" s="85">
        <v>20890</v>
      </c>
      <c r="BC99" s="85">
        <v>21070</v>
      </c>
      <c r="BD99" s="85">
        <v>22090</v>
      </c>
      <c r="BE99" s="85">
        <v>21800</v>
      </c>
      <c r="BF99" s="85">
        <v>21370</v>
      </c>
      <c r="BG99" s="85">
        <v>20860</v>
      </c>
      <c r="BH99" s="85">
        <v>20280</v>
      </c>
      <c r="BI99" s="85">
        <v>19550</v>
      </c>
      <c r="BJ99" s="85">
        <v>19810</v>
      </c>
      <c r="BK99" s="85">
        <v>19710</v>
      </c>
      <c r="BL99" s="85">
        <v>20560</v>
      </c>
    </row>
    <row r="100" spans="1:64" x14ac:dyDescent="0.2">
      <c r="A100" s="29" t="s">
        <v>3</v>
      </c>
      <c r="B100" s="85">
        <v>14040</v>
      </c>
      <c r="C100" s="85">
        <v>14320</v>
      </c>
      <c r="D100" s="85">
        <v>14710</v>
      </c>
      <c r="E100" s="85">
        <v>14850</v>
      </c>
      <c r="F100" s="85">
        <v>15750</v>
      </c>
      <c r="G100" s="85">
        <v>16430</v>
      </c>
      <c r="H100" s="85">
        <v>17040</v>
      </c>
      <c r="I100" s="85">
        <v>17440</v>
      </c>
      <c r="J100" s="85">
        <v>18150</v>
      </c>
      <c r="K100" s="85">
        <v>18970</v>
      </c>
      <c r="L100" s="85">
        <v>19460</v>
      </c>
      <c r="M100" s="85">
        <v>20120</v>
      </c>
      <c r="N100" s="85">
        <v>20650</v>
      </c>
      <c r="O100" s="85">
        <v>21240</v>
      </c>
      <c r="P100" s="85">
        <v>21830</v>
      </c>
      <c r="Q100" s="85">
        <v>22550</v>
      </c>
      <c r="R100" s="85">
        <v>22980</v>
      </c>
      <c r="S100" s="85">
        <v>23380</v>
      </c>
      <c r="T100" s="85">
        <v>23820</v>
      </c>
      <c r="U100" s="85">
        <v>24240</v>
      </c>
      <c r="V100" s="85">
        <v>24990</v>
      </c>
      <c r="W100" s="85">
        <v>25880</v>
      </c>
      <c r="X100" s="85">
        <v>26920</v>
      </c>
      <c r="Y100" s="85">
        <v>28300</v>
      </c>
      <c r="Z100" s="85">
        <v>30020</v>
      </c>
      <c r="AA100" s="85">
        <v>32220</v>
      </c>
      <c r="AB100" s="85">
        <v>34260</v>
      </c>
      <c r="AC100" s="85">
        <v>35330</v>
      </c>
      <c r="AD100" s="85">
        <v>37120</v>
      </c>
      <c r="AE100" s="85">
        <v>39170</v>
      </c>
      <c r="AF100" s="85">
        <v>41490</v>
      </c>
      <c r="AG100" s="85">
        <v>45190</v>
      </c>
      <c r="AH100" s="85">
        <v>48580</v>
      </c>
      <c r="AI100" s="85">
        <v>51330</v>
      </c>
      <c r="AJ100" s="85">
        <v>54090</v>
      </c>
      <c r="AK100" s="85">
        <v>56490</v>
      </c>
      <c r="AL100" s="85">
        <v>58930</v>
      </c>
      <c r="AM100" s="85">
        <v>61330</v>
      </c>
      <c r="AN100" s="85">
        <v>63960</v>
      </c>
      <c r="AO100" s="85">
        <v>66590</v>
      </c>
      <c r="AP100" s="85">
        <v>69490</v>
      </c>
      <c r="AQ100" s="85">
        <v>72390</v>
      </c>
      <c r="AR100" s="85">
        <v>75220</v>
      </c>
      <c r="AS100" s="85">
        <v>78500</v>
      </c>
      <c r="AT100" s="85">
        <v>81790</v>
      </c>
      <c r="AU100" s="85">
        <v>85360</v>
      </c>
      <c r="AV100" s="85">
        <v>89050</v>
      </c>
      <c r="AW100" s="85">
        <v>92440</v>
      </c>
      <c r="AX100" s="85">
        <v>95160</v>
      </c>
      <c r="AY100" s="85">
        <v>96940</v>
      </c>
      <c r="AZ100" s="85">
        <v>98450</v>
      </c>
      <c r="BA100" s="85">
        <v>100180</v>
      </c>
      <c r="BB100" s="85">
        <v>101970</v>
      </c>
      <c r="BC100" s="85">
        <v>104020</v>
      </c>
      <c r="BD100" s="85">
        <v>105850</v>
      </c>
      <c r="BE100" s="85">
        <v>108510</v>
      </c>
      <c r="BF100" s="85">
        <v>110450</v>
      </c>
      <c r="BG100" s="85">
        <v>111850</v>
      </c>
      <c r="BH100" s="85">
        <v>112540</v>
      </c>
      <c r="BI100" s="85">
        <v>112520</v>
      </c>
      <c r="BJ100" s="85">
        <v>111840</v>
      </c>
      <c r="BK100" s="85">
        <v>111450</v>
      </c>
      <c r="BL100" s="85">
        <v>111050</v>
      </c>
    </row>
    <row r="101" spans="1:64" x14ac:dyDescent="0.2">
      <c r="A101" s="76" t="s">
        <v>4</v>
      </c>
      <c r="B101" s="85">
        <f t="shared" ref="B101:BL101" si="2">SUM(B$10:B$100)</f>
        <v>2136250</v>
      </c>
      <c r="C101" s="85">
        <f t="shared" si="2"/>
        <v>2157370</v>
      </c>
      <c r="D101" s="85">
        <f t="shared" si="2"/>
        <v>2176330</v>
      </c>
      <c r="E101" s="85">
        <f t="shared" si="2"/>
        <v>2197940</v>
      </c>
      <c r="F101" s="85">
        <f t="shared" si="2"/>
        <v>2222920</v>
      </c>
      <c r="G101" s="85">
        <f t="shared" si="2"/>
        <v>2240410</v>
      </c>
      <c r="H101" s="85">
        <f t="shared" si="2"/>
        <v>2253000</v>
      </c>
      <c r="I101" s="85">
        <f t="shared" si="2"/>
        <v>2269940</v>
      </c>
      <c r="J101" s="85">
        <f t="shared" si="2"/>
        <v>2300150</v>
      </c>
      <c r="K101" s="85">
        <f t="shared" si="2"/>
        <v>2338550</v>
      </c>
      <c r="L101" s="85">
        <f t="shared" si="2"/>
        <v>2384160</v>
      </c>
      <c r="M101" s="85">
        <f t="shared" si="2"/>
        <v>2425550</v>
      </c>
      <c r="N101" s="85">
        <f t="shared" si="2"/>
        <v>2463610</v>
      </c>
      <c r="O101" s="85">
        <f t="shared" si="2"/>
        <v>2498170</v>
      </c>
      <c r="P101" s="85">
        <f t="shared" si="2"/>
        <v>2528960</v>
      </c>
      <c r="Q101" s="85">
        <f t="shared" si="2"/>
        <v>2556140</v>
      </c>
      <c r="R101" s="85">
        <f t="shared" si="2"/>
        <v>2579330</v>
      </c>
      <c r="S101" s="85">
        <f t="shared" si="2"/>
        <v>2602420</v>
      </c>
      <c r="T101" s="85">
        <f t="shared" si="2"/>
        <v>2625340</v>
      </c>
      <c r="U101" s="85">
        <f t="shared" si="2"/>
        <v>2648040</v>
      </c>
      <c r="V101" s="85">
        <f t="shared" si="2"/>
        <v>2670520</v>
      </c>
      <c r="W101" s="85">
        <f t="shared" si="2"/>
        <v>2692450</v>
      </c>
      <c r="X101" s="85">
        <f t="shared" si="2"/>
        <v>2713930</v>
      </c>
      <c r="Y101" s="85">
        <f t="shared" si="2"/>
        <v>2734980</v>
      </c>
      <c r="Z101" s="85">
        <f t="shared" si="2"/>
        <v>2755310</v>
      </c>
      <c r="AA101" s="85">
        <f t="shared" si="2"/>
        <v>2775070</v>
      </c>
      <c r="AB101" s="85">
        <f t="shared" si="2"/>
        <v>2794060</v>
      </c>
      <c r="AC101" s="85">
        <f t="shared" si="2"/>
        <v>2812450</v>
      </c>
      <c r="AD101" s="85">
        <f t="shared" si="2"/>
        <v>2830190</v>
      </c>
      <c r="AE101" s="85">
        <f t="shared" si="2"/>
        <v>2847280</v>
      </c>
      <c r="AF101" s="85">
        <f t="shared" si="2"/>
        <v>2863810</v>
      </c>
      <c r="AG101" s="85">
        <f t="shared" si="2"/>
        <v>2879770</v>
      </c>
      <c r="AH101" s="85">
        <f t="shared" si="2"/>
        <v>2895250</v>
      </c>
      <c r="AI101" s="85">
        <f t="shared" si="2"/>
        <v>2910100</v>
      </c>
      <c r="AJ101" s="85">
        <f t="shared" si="2"/>
        <v>2924680</v>
      </c>
      <c r="AK101" s="85">
        <f t="shared" si="2"/>
        <v>2938740</v>
      </c>
      <c r="AL101" s="85">
        <f t="shared" si="2"/>
        <v>2952460</v>
      </c>
      <c r="AM101" s="85">
        <f t="shared" si="2"/>
        <v>2965890</v>
      </c>
      <c r="AN101" s="85">
        <f t="shared" si="2"/>
        <v>2978850</v>
      </c>
      <c r="AO101" s="85">
        <f t="shared" si="2"/>
        <v>2991280</v>
      </c>
      <c r="AP101" s="85">
        <f t="shared" si="2"/>
        <v>3003510</v>
      </c>
      <c r="AQ101" s="85">
        <f t="shared" si="2"/>
        <v>3015270</v>
      </c>
      <c r="AR101" s="85">
        <f t="shared" si="2"/>
        <v>3026740</v>
      </c>
      <c r="AS101" s="85">
        <f t="shared" si="2"/>
        <v>3037880</v>
      </c>
      <c r="AT101" s="85">
        <f t="shared" si="2"/>
        <v>3048730</v>
      </c>
      <c r="AU101" s="85">
        <f t="shared" si="2"/>
        <v>3059130</v>
      </c>
      <c r="AV101" s="85">
        <f t="shared" si="2"/>
        <v>3069390</v>
      </c>
      <c r="AW101" s="85">
        <f t="shared" si="2"/>
        <v>3079230</v>
      </c>
      <c r="AX101" s="85">
        <f t="shared" si="2"/>
        <v>3088910</v>
      </c>
      <c r="AY101" s="85">
        <f t="shared" si="2"/>
        <v>3098280</v>
      </c>
      <c r="AZ101" s="85">
        <f t="shared" si="2"/>
        <v>3107550</v>
      </c>
      <c r="BA101" s="85">
        <f t="shared" si="2"/>
        <v>3116610</v>
      </c>
      <c r="BB101" s="85">
        <f t="shared" si="2"/>
        <v>3125500</v>
      </c>
      <c r="BC101" s="85">
        <f t="shared" si="2"/>
        <v>3134260</v>
      </c>
      <c r="BD101" s="85">
        <f t="shared" si="2"/>
        <v>3142900</v>
      </c>
      <c r="BE101" s="85">
        <f t="shared" si="2"/>
        <v>3151460</v>
      </c>
      <c r="BF101" s="85">
        <f t="shared" si="2"/>
        <v>3159870</v>
      </c>
      <c r="BG101" s="85">
        <f t="shared" si="2"/>
        <v>3168230</v>
      </c>
      <c r="BH101" s="85">
        <f t="shared" si="2"/>
        <v>3176480</v>
      </c>
      <c r="BI101" s="85">
        <f t="shared" si="2"/>
        <v>3184750</v>
      </c>
      <c r="BJ101" s="85">
        <f t="shared" si="2"/>
        <v>3193020</v>
      </c>
      <c r="BK101" s="85">
        <f t="shared" si="2"/>
        <v>3201250</v>
      </c>
      <c r="BL101" s="85">
        <f t="shared" si="2"/>
        <v>3209550</v>
      </c>
    </row>
    <row r="102" spans="1:64" x14ac:dyDescent="0.2">
      <c r="A102" s="76"/>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row>
    <row r="103" spans="1:64" x14ac:dyDescent="0.2">
      <c r="G103" s="76" t="s">
        <v>78</v>
      </c>
      <c r="K103" s="90">
        <v>83.9</v>
      </c>
      <c r="L103" s="90">
        <v>84.1</v>
      </c>
      <c r="M103" s="90">
        <v>84.3</v>
      </c>
      <c r="N103" s="90">
        <v>84.5</v>
      </c>
      <c r="O103" s="90">
        <v>84.7</v>
      </c>
      <c r="P103" s="90">
        <v>84.9</v>
      </c>
      <c r="Q103" s="90">
        <v>85.1</v>
      </c>
      <c r="R103" s="90">
        <v>85.3</v>
      </c>
      <c r="S103" s="90">
        <v>85.5</v>
      </c>
      <c r="T103" s="90">
        <v>85.7</v>
      </c>
      <c r="U103" s="90">
        <v>85.9</v>
      </c>
      <c r="V103" s="90">
        <v>86</v>
      </c>
      <c r="W103" s="90">
        <v>86.2</v>
      </c>
      <c r="X103" s="90">
        <v>86.4</v>
      </c>
      <c r="Y103" s="90">
        <v>86.6</v>
      </c>
      <c r="Z103" s="90">
        <v>86.7</v>
      </c>
      <c r="AA103" s="90">
        <v>86.9</v>
      </c>
      <c r="AB103" s="90">
        <v>87</v>
      </c>
      <c r="AC103" s="90">
        <v>87.2</v>
      </c>
      <c r="AD103" s="90">
        <v>87.4</v>
      </c>
      <c r="AE103" s="90">
        <v>87.5</v>
      </c>
      <c r="AF103" s="90">
        <v>87.7</v>
      </c>
      <c r="AG103" s="90">
        <v>87.8</v>
      </c>
      <c r="AH103" s="90">
        <v>88</v>
      </c>
      <c r="AI103" s="90">
        <v>88.1</v>
      </c>
      <c r="AJ103" s="90">
        <v>88.3</v>
      </c>
      <c r="AK103" s="90">
        <v>88.4</v>
      </c>
      <c r="AL103" s="90">
        <v>88.5</v>
      </c>
      <c r="AM103" s="90">
        <v>88.7</v>
      </c>
      <c r="AN103" s="90">
        <v>88.8</v>
      </c>
      <c r="AO103" s="90">
        <v>88.9</v>
      </c>
      <c r="AP103" s="90">
        <v>89.1</v>
      </c>
      <c r="AQ103" s="90">
        <v>89.2</v>
      </c>
      <c r="AR103" s="90">
        <v>89.3</v>
      </c>
      <c r="AS103" s="90">
        <v>89.5</v>
      </c>
      <c r="AT103" s="90">
        <v>89.6</v>
      </c>
      <c r="AU103" s="90">
        <v>89.7</v>
      </c>
      <c r="AV103" s="90">
        <v>89.8</v>
      </c>
      <c r="AW103" s="90">
        <v>89.9</v>
      </c>
      <c r="AX103" s="90">
        <v>90.1</v>
      </c>
      <c r="AY103" s="90">
        <v>90.2</v>
      </c>
      <c r="AZ103" s="90">
        <v>90.3</v>
      </c>
      <c r="BA103" s="90">
        <v>90.4</v>
      </c>
      <c r="BB103" s="90">
        <v>90.5</v>
      </c>
      <c r="BC103" s="90">
        <v>90.6</v>
      </c>
      <c r="BD103" s="90">
        <v>90.7</v>
      </c>
      <c r="BE103" s="90">
        <v>90.8</v>
      </c>
      <c r="BF103" s="90">
        <v>90.9</v>
      </c>
      <c r="BG103" s="90">
        <v>91</v>
      </c>
      <c r="BH103" s="90">
        <v>91.1</v>
      </c>
      <c r="BI103" s="90">
        <v>91.2</v>
      </c>
      <c r="BJ103" s="90">
        <v>91.3</v>
      </c>
      <c r="BK103" s="90">
        <v>91.4</v>
      </c>
      <c r="BL103" s="90">
        <v>91.5</v>
      </c>
    </row>
    <row r="104" spans="1:64" x14ac:dyDescent="0.2">
      <c r="G104" s="76" t="s">
        <v>79</v>
      </c>
      <c r="K104" s="90">
        <v>21.9</v>
      </c>
      <c r="L104" s="90">
        <v>22.1</v>
      </c>
      <c r="M104" s="90">
        <v>22.2</v>
      </c>
      <c r="N104" s="90">
        <v>22.3</v>
      </c>
      <c r="O104" s="90">
        <v>22.5</v>
      </c>
      <c r="P104" s="90">
        <v>22.6</v>
      </c>
      <c r="Q104" s="90">
        <v>22.7</v>
      </c>
      <c r="R104" s="90">
        <v>22.9</v>
      </c>
      <c r="S104" s="90">
        <v>23</v>
      </c>
      <c r="T104" s="90">
        <v>23.1</v>
      </c>
      <c r="U104" s="90">
        <v>23.3</v>
      </c>
      <c r="V104" s="90">
        <v>23.4</v>
      </c>
      <c r="W104" s="90">
        <v>23.5</v>
      </c>
      <c r="X104" s="90">
        <v>23.6</v>
      </c>
      <c r="Y104" s="90">
        <v>23.7</v>
      </c>
      <c r="Z104" s="90">
        <v>23.9</v>
      </c>
      <c r="AA104" s="90">
        <v>24</v>
      </c>
      <c r="AB104" s="90">
        <v>24.1</v>
      </c>
      <c r="AC104" s="90">
        <v>24.2</v>
      </c>
      <c r="AD104" s="90">
        <v>24.3</v>
      </c>
      <c r="AE104" s="90">
        <v>24.4</v>
      </c>
      <c r="AF104" s="90">
        <v>24.5</v>
      </c>
      <c r="AG104" s="90">
        <v>24.6</v>
      </c>
      <c r="AH104" s="90">
        <v>24.7</v>
      </c>
      <c r="AI104" s="90">
        <v>24.8</v>
      </c>
      <c r="AJ104" s="90">
        <v>25</v>
      </c>
      <c r="AK104" s="90">
        <v>25.1</v>
      </c>
      <c r="AL104" s="90">
        <v>25.2</v>
      </c>
      <c r="AM104" s="90">
        <v>25.3</v>
      </c>
      <c r="AN104" s="90">
        <v>25.4</v>
      </c>
      <c r="AO104" s="90">
        <v>25.5</v>
      </c>
      <c r="AP104" s="90">
        <v>25.6</v>
      </c>
      <c r="AQ104" s="90">
        <v>25.6</v>
      </c>
      <c r="AR104" s="90">
        <v>25.7</v>
      </c>
      <c r="AS104" s="90">
        <v>25.8</v>
      </c>
      <c r="AT104" s="90">
        <v>25.9</v>
      </c>
      <c r="AU104" s="90">
        <v>26</v>
      </c>
      <c r="AV104" s="90">
        <v>26.1</v>
      </c>
      <c r="AW104" s="90">
        <v>26.2</v>
      </c>
      <c r="AX104" s="90">
        <v>26.3</v>
      </c>
      <c r="AY104" s="90">
        <v>26.4</v>
      </c>
      <c r="AZ104" s="90">
        <v>26.5</v>
      </c>
      <c r="BA104" s="90">
        <v>26.5</v>
      </c>
      <c r="BB104" s="90">
        <v>26.6</v>
      </c>
      <c r="BC104" s="90">
        <v>26.7</v>
      </c>
      <c r="BD104" s="90">
        <v>26.8</v>
      </c>
      <c r="BE104" s="90">
        <v>26.9</v>
      </c>
      <c r="BF104" s="90">
        <v>27</v>
      </c>
      <c r="BG104" s="90">
        <v>27</v>
      </c>
      <c r="BH104" s="90">
        <v>27.1</v>
      </c>
      <c r="BI104" s="90">
        <v>27.2</v>
      </c>
      <c r="BJ104" s="90">
        <v>27.3</v>
      </c>
      <c r="BK104" s="90">
        <v>27.4</v>
      </c>
      <c r="BL104" s="90">
        <v>27.4</v>
      </c>
    </row>
    <row r="108" spans="1:64" x14ac:dyDescent="0.2">
      <c r="A108" s="76" t="s">
        <v>9</v>
      </c>
    </row>
    <row r="109" spans="1:64" x14ac:dyDescent="0.2">
      <c r="A109" s="76" t="s">
        <v>1274</v>
      </c>
    </row>
    <row r="110" spans="1:64" x14ac:dyDescent="0.2">
      <c r="A110" s="29">
        <v>0</v>
      </c>
      <c r="B110" s="85">
        <v>30150</v>
      </c>
      <c r="C110" s="85">
        <v>31900</v>
      </c>
      <c r="D110" s="85">
        <v>33050</v>
      </c>
      <c r="E110" s="85">
        <v>33060</v>
      </c>
      <c r="F110" s="85">
        <v>33020</v>
      </c>
      <c r="G110" s="85">
        <v>32130</v>
      </c>
      <c r="H110" s="85">
        <v>31320</v>
      </c>
      <c r="I110" s="85">
        <v>30890</v>
      </c>
      <c r="J110" s="85">
        <v>30330</v>
      </c>
      <c r="K110" s="85">
        <v>30440</v>
      </c>
      <c r="L110" s="29">
        <v>30590</v>
      </c>
      <c r="M110" s="29">
        <v>31270</v>
      </c>
      <c r="N110" s="29">
        <v>32080</v>
      </c>
      <c r="O110" s="29">
        <v>32790</v>
      </c>
      <c r="P110" s="29">
        <v>33360</v>
      </c>
      <c r="Q110" s="29">
        <v>33770</v>
      </c>
      <c r="R110" s="29">
        <v>34020</v>
      </c>
      <c r="S110" s="29">
        <v>34160</v>
      </c>
      <c r="T110" s="29">
        <v>34240</v>
      </c>
      <c r="U110" s="29">
        <v>34240</v>
      </c>
      <c r="V110" s="29">
        <v>34170</v>
      </c>
      <c r="W110" s="29">
        <v>34050</v>
      </c>
      <c r="X110" s="29">
        <v>33890</v>
      </c>
      <c r="Y110" s="29">
        <v>33680</v>
      </c>
      <c r="Z110" s="29">
        <v>33450</v>
      </c>
      <c r="AA110" s="29">
        <v>33200</v>
      </c>
      <c r="AB110" s="29">
        <v>32960</v>
      </c>
      <c r="AC110" s="29">
        <v>32730</v>
      </c>
      <c r="AD110" s="29">
        <v>32540</v>
      </c>
      <c r="AE110" s="29">
        <v>32390</v>
      </c>
      <c r="AF110" s="29">
        <v>32290</v>
      </c>
      <c r="AG110" s="29">
        <v>32250</v>
      </c>
      <c r="AH110" s="29">
        <v>32260</v>
      </c>
      <c r="AI110" s="29">
        <v>32300</v>
      </c>
      <c r="AJ110" s="29">
        <v>32380</v>
      </c>
      <c r="AK110" s="29">
        <v>32470</v>
      </c>
      <c r="AL110" s="29">
        <v>32570</v>
      </c>
      <c r="AM110" s="29">
        <v>32680</v>
      </c>
      <c r="AN110" s="29">
        <v>32780</v>
      </c>
      <c r="AO110" s="29">
        <v>32870</v>
      </c>
      <c r="AP110" s="29">
        <v>32960</v>
      </c>
      <c r="AQ110" s="29">
        <v>33050</v>
      </c>
      <c r="AR110" s="29">
        <v>33130</v>
      </c>
      <c r="AS110" s="29">
        <v>33210</v>
      </c>
      <c r="AT110" s="29">
        <v>33290</v>
      </c>
      <c r="AU110" s="29">
        <v>33370</v>
      </c>
      <c r="AV110" s="29">
        <v>33450</v>
      </c>
      <c r="AW110" s="29">
        <v>33520</v>
      </c>
      <c r="AX110" s="29">
        <v>33580</v>
      </c>
      <c r="AY110" s="29">
        <v>33640</v>
      </c>
      <c r="AZ110" s="29">
        <v>33670</v>
      </c>
      <c r="BA110" s="29">
        <v>33690</v>
      </c>
      <c r="BB110" s="29">
        <v>33690</v>
      </c>
      <c r="BC110" s="29">
        <v>33670</v>
      </c>
      <c r="BD110" s="29">
        <v>33630</v>
      </c>
      <c r="BE110" s="29">
        <v>33580</v>
      </c>
      <c r="BF110" s="29">
        <v>33510</v>
      </c>
      <c r="BG110" s="29">
        <v>33440</v>
      </c>
      <c r="BH110" s="29">
        <v>33370</v>
      </c>
      <c r="BI110" s="29">
        <v>33300</v>
      </c>
      <c r="BJ110" s="29">
        <v>33230</v>
      </c>
      <c r="BK110" s="29">
        <v>33180</v>
      </c>
      <c r="BL110" s="29">
        <v>33140</v>
      </c>
    </row>
    <row r="111" spans="1:64" x14ac:dyDescent="0.2">
      <c r="A111" s="29">
        <v>1</v>
      </c>
      <c r="B111" s="85">
        <v>29380</v>
      </c>
      <c r="C111" s="85">
        <v>30170</v>
      </c>
      <c r="D111" s="85">
        <v>31780</v>
      </c>
      <c r="E111" s="85">
        <v>32980</v>
      </c>
      <c r="F111" s="85">
        <v>33130</v>
      </c>
      <c r="G111" s="85">
        <v>33060</v>
      </c>
      <c r="H111" s="85">
        <v>32050</v>
      </c>
      <c r="I111" s="85">
        <v>31410</v>
      </c>
      <c r="J111" s="85">
        <v>31070</v>
      </c>
      <c r="K111" s="85">
        <v>30580</v>
      </c>
      <c r="L111" s="29">
        <v>30800</v>
      </c>
      <c r="M111" s="29">
        <v>30850</v>
      </c>
      <c r="N111" s="29">
        <v>31490</v>
      </c>
      <c r="O111" s="29">
        <v>32260</v>
      </c>
      <c r="P111" s="29">
        <v>32910</v>
      </c>
      <c r="Q111" s="29">
        <v>33440</v>
      </c>
      <c r="R111" s="29">
        <v>33810</v>
      </c>
      <c r="S111" s="29">
        <v>34050</v>
      </c>
      <c r="T111" s="29">
        <v>34200</v>
      </c>
      <c r="U111" s="29">
        <v>34270</v>
      </c>
      <c r="V111" s="29">
        <v>34270</v>
      </c>
      <c r="W111" s="29">
        <v>34210</v>
      </c>
      <c r="X111" s="29">
        <v>34090</v>
      </c>
      <c r="Y111" s="29">
        <v>33920</v>
      </c>
      <c r="Z111" s="29">
        <v>33720</v>
      </c>
      <c r="AA111" s="29">
        <v>33490</v>
      </c>
      <c r="AB111" s="29">
        <v>33240</v>
      </c>
      <c r="AC111" s="29">
        <v>33000</v>
      </c>
      <c r="AD111" s="29">
        <v>32770</v>
      </c>
      <c r="AE111" s="29">
        <v>32580</v>
      </c>
      <c r="AF111" s="29">
        <v>32430</v>
      </c>
      <c r="AG111" s="29">
        <v>32340</v>
      </c>
      <c r="AH111" s="29">
        <v>32300</v>
      </c>
      <c r="AI111" s="29">
        <v>32300</v>
      </c>
      <c r="AJ111" s="29">
        <v>32350</v>
      </c>
      <c r="AK111" s="29">
        <v>32420</v>
      </c>
      <c r="AL111" s="29">
        <v>32520</v>
      </c>
      <c r="AM111" s="29">
        <v>32620</v>
      </c>
      <c r="AN111" s="29">
        <v>32720</v>
      </c>
      <c r="AO111" s="29">
        <v>32820</v>
      </c>
      <c r="AP111" s="29">
        <v>32920</v>
      </c>
      <c r="AQ111" s="29">
        <v>33010</v>
      </c>
      <c r="AR111" s="29">
        <v>33100</v>
      </c>
      <c r="AS111" s="29">
        <v>33180</v>
      </c>
      <c r="AT111" s="29">
        <v>33260</v>
      </c>
      <c r="AU111" s="29">
        <v>33340</v>
      </c>
      <c r="AV111" s="29">
        <v>33420</v>
      </c>
      <c r="AW111" s="29">
        <v>33500</v>
      </c>
      <c r="AX111" s="29">
        <v>33570</v>
      </c>
      <c r="AY111" s="29">
        <v>33630</v>
      </c>
      <c r="AZ111" s="29">
        <v>33690</v>
      </c>
      <c r="BA111" s="29">
        <v>33720</v>
      </c>
      <c r="BB111" s="29">
        <v>33740</v>
      </c>
      <c r="BC111" s="29">
        <v>33740</v>
      </c>
      <c r="BD111" s="29">
        <v>33720</v>
      </c>
      <c r="BE111" s="29">
        <v>33680</v>
      </c>
      <c r="BF111" s="29">
        <v>33630</v>
      </c>
      <c r="BG111" s="29">
        <v>33560</v>
      </c>
      <c r="BH111" s="29">
        <v>33490</v>
      </c>
      <c r="BI111" s="29">
        <v>33420</v>
      </c>
      <c r="BJ111" s="29">
        <v>33350</v>
      </c>
      <c r="BK111" s="29">
        <v>33290</v>
      </c>
      <c r="BL111" s="29">
        <v>33230</v>
      </c>
    </row>
    <row r="112" spans="1:64" x14ac:dyDescent="0.2">
      <c r="A112" s="29">
        <v>2</v>
      </c>
      <c r="B112" s="85">
        <v>29510</v>
      </c>
      <c r="C112" s="85">
        <v>29490</v>
      </c>
      <c r="D112" s="85">
        <v>30170</v>
      </c>
      <c r="E112" s="85">
        <v>31800</v>
      </c>
      <c r="F112" s="85">
        <v>33070</v>
      </c>
      <c r="G112" s="85">
        <v>33070</v>
      </c>
      <c r="H112" s="85">
        <v>32930</v>
      </c>
      <c r="I112" s="85">
        <v>31970</v>
      </c>
      <c r="J112" s="85">
        <v>31630</v>
      </c>
      <c r="K112" s="85">
        <v>31410</v>
      </c>
      <c r="L112" s="29">
        <v>31000</v>
      </c>
      <c r="M112" s="29">
        <v>31130</v>
      </c>
      <c r="N112" s="29">
        <v>31130</v>
      </c>
      <c r="O112" s="29">
        <v>31710</v>
      </c>
      <c r="P112" s="29">
        <v>32430</v>
      </c>
      <c r="Q112" s="29">
        <v>33030</v>
      </c>
      <c r="R112" s="29">
        <v>33500</v>
      </c>
      <c r="S112" s="29">
        <v>33870</v>
      </c>
      <c r="T112" s="29">
        <v>34120</v>
      </c>
      <c r="U112" s="29">
        <v>34260</v>
      </c>
      <c r="V112" s="29">
        <v>34330</v>
      </c>
      <c r="W112" s="29">
        <v>34340</v>
      </c>
      <c r="X112" s="29">
        <v>34270</v>
      </c>
      <c r="Y112" s="29">
        <v>34150</v>
      </c>
      <c r="Z112" s="29">
        <v>33990</v>
      </c>
      <c r="AA112" s="29">
        <v>33780</v>
      </c>
      <c r="AB112" s="29">
        <v>33550</v>
      </c>
      <c r="AC112" s="29">
        <v>33310</v>
      </c>
      <c r="AD112" s="29">
        <v>33060</v>
      </c>
      <c r="AE112" s="29">
        <v>32840</v>
      </c>
      <c r="AF112" s="29">
        <v>32650</v>
      </c>
      <c r="AG112" s="29">
        <v>32500</v>
      </c>
      <c r="AH112" s="29">
        <v>32400</v>
      </c>
      <c r="AI112" s="29">
        <v>32360</v>
      </c>
      <c r="AJ112" s="29">
        <v>32370</v>
      </c>
      <c r="AK112" s="29">
        <v>32420</v>
      </c>
      <c r="AL112" s="29">
        <v>32490</v>
      </c>
      <c r="AM112" s="29">
        <v>32580</v>
      </c>
      <c r="AN112" s="29">
        <v>32690</v>
      </c>
      <c r="AO112" s="29">
        <v>32790</v>
      </c>
      <c r="AP112" s="29">
        <v>32890</v>
      </c>
      <c r="AQ112" s="29">
        <v>32990</v>
      </c>
      <c r="AR112" s="29">
        <v>33080</v>
      </c>
      <c r="AS112" s="29">
        <v>33160</v>
      </c>
      <c r="AT112" s="29">
        <v>33250</v>
      </c>
      <c r="AU112" s="29">
        <v>33330</v>
      </c>
      <c r="AV112" s="29">
        <v>33410</v>
      </c>
      <c r="AW112" s="29">
        <v>33490</v>
      </c>
      <c r="AX112" s="29">
        <v>33560</v>
      </c>
      <c r="AY112" s="29">
        <v>33640</v>
      </c>
      <c r="AZ112" s="29">
        <v>33700</v>
      </c>
      <c r="BA112" s="29">
        <v>33750</v>
      </c>
      <c r="BB112" s="29">
        <v>33790</v>
      </c>
      <c r="BC112" s="29">
        <v>33810</v>
      </c>
      <c r="BD112" s="29">
        <v>33810</v>
      </c>
      <c r="BE112" s="29">
        <v>33790</v>
      </c>
      <c r="BF112" s="29">
        <v>33750</v>
      </c>
      <c r="BG112" s="29">
        <v>33700</v>
      </c>
      <c r="BH112" s="29">
        <v>33630</v>
      </c>
      <c r="BI112" s="29">
        <v>33560</v>
      </c>
      <c r="BJ112" s="29">
        <v>33490</v>
      </c>
      <c r="BK112" s="29">
        <v>33420</v>
      </c>
      <c r="BL112" s="29">
        <v>33360</v>
      </c>
    </row>
    <row r="113" spans="1:64" x14ac:dyDescent="0.2">
      <c r="A113" s="29">
        <v>3</v>
      </c>
      <c r="B113" s="85">
        <v>28800</v>
      </c>
      <c r="C113" s="85">
        <v>29680</v>
      </c>
      <c r="D113" s="85">
        <v>29550</v>
      </c>
      <c r="E113" s="85">
        <v>30280</v>
      </c>
      <c r="F113" s="85">
        <v>31860</v>
      </c>
      <c r="G113" s="85">
        <v>32950</v>
      </c>
      <c r="H113" s="85">
        <v>32970</v>
      </c>
      <c r="I113" s="85">
        <v>32960</v>
      </c>
      <c r="J113" s="85">
        <v>32190</v>
      </c>
      <c r="K113" s="85">
        <v>31930</v>
      </c>
      <c r="L113" s="29">
        <v>31840</v>
      </c>
      <c r="M113" s="29">
        <v>31340</v>
      </c>
      <c r="N113" s="29">
        <v>31420</v>
      </c>
      <c r="O113" s="29">
        <v>31360</v>
      </c>
      <c r="P113" s="29">
        <v>31890</v>
      </c>
      <c r="Q113" s="29">
        <v>32560</v>
      </c>
      <c r="R113" s="29">
        <v>33110</v>
      </c>
      <c r="S113" s="29">
        <v>33580</v>
      </c>
      <c r="T113" s="29">
        <v>33950</v>
      </c>
      <c r="U113" s="29">
        <v>34190</v>
      </c>
      <c r="V113" s="29">
        <v>34340</v>
      </c>
      <c r="W113" s="29">
        <v>34410</v>
      </c>
      <c r="X113" s="29">
        <v>34410</v>
      </c>
      <c r="Y113" s="29">
        <v>34350</v>
      </c>
      <c r="Z113" s="29">
        <v>34230</v>
      </c>
      <c r="AA113" s="29">
        <v>34070</v>
      </c>
      <c r="AB113" s="29">
        <v>33860</v>
      </c>
      <c r="AC113" s="29">
        <v>33630</v>
      </c>
      <c r="AD113" s="29">
        <v>33390</v>
      </c>
      <c r="AE113" s="29">
        <v>33140</v>
      </c>
      <c r="AF113" s="29">
        <v>32920</v>
      </c>
      <c r="AG113" s="29">
        <v>32730</v>
      </c>
      <c r="AH113" s="29">
        <v>32580</v>
      </c>
      <c r="AI113" s="29">
        <v>32490</v>
      </c>
      <c r="AJ113" s="29">
        <v>32440</v>
      </c>
      <c r="AK113" s="29">
        <v>32450</v>
      </c>
      <c r="AL113" s="29">
        <v>32500</v>
      </c>
      <c r="AM113" s="29">
        <v>32570</v>
      </c>
      <c r="AN113" s="29">
        <v>32670</v>
      </c>
      <c r="AO113" s="29">
        <v>32770</v>
      </c>
      <c r="AP113" s="29">
        <v>32870</v>
      </c>
      <c r="AQ113" s="29">
        <v>32970</v>
      </c>
      <c r="AR113" s="29">
        <v>33070</v>
      </c>
      <c r="AS113" s="29">
        <v>33160</v>
      </c>
      <c r="AT113" s="29">
        <v>33250</v>
      </c>
      <c r="AU113" s="29">
        <v>33330</v>
      </c>
      <c r="AV113" s="29">
        <v>33410</v>
      </c>
      <c r="AW113" s="29">
        <v>33490</v>
      </c>
      <c r="AX113" s="29">
        <v>33570</v>
      </c>
      <c r="AY113" s="29">
        <v>33650</v>
      </c>
      <c r="AZ113" s="29">
        <v>33720</v>
      </c>
      <c r="BA113" s="29">
        <v>33780</v>
      </c>
      <c r="BB113" s="29">
        <v>33840</v>
      </c>
      <c r="BC113" s="29">
        <v>33870</v>
      </c>
      <c r="BD113" s="29">
        <v>33890</v>
      </c>
      <c r="BE113" s="29">
        <v>33890</v>
      </c>
      <c r="BF113" s="29">
        <v>33870</v>
      </c>
      <c r="BG113" s="29">
        <v>33830</v>
      </c>
      <c r="BH113" s="29">
        <v>33780</v>
      </c>
      <c r="BI113" s="29">
        <v>33720</v>
      </c>
      <c r="BJ113" s="29">
        <v>33650</v>
      </c>
      <c r="BK113" s="29">
        <v>33570</v>
      </c>
      <c r="BL113" s="29">
        <v>33500</v>
      </c>
    </row>
    <row r="114" spans="1:64" x14ac:dyDescent="0.2">
      <c r="A114" s="29">
        <v>4</v>
      </c>
      <c r="B114" s="85">
        <v>28370</v>
      </c>
      <c r="C114" s="85">
        <v>28970</v>
      </c>
      <c r="D114" s="85">
        <v>29740</v>
      </c>
      <c r="E114" s="85">
        <v>29670</v>
      </c>
      <c r="F114" s="85">
        <v>30290</v>
      </c>
      <c r="G114" s="85">
        <v>31810</v>
      </c>
      <c r="H114" s="85">
        <v>32820</v>
      </c>
      <c r="I114" s="85">
        <v>32930</v>
      </c>
      <c r="J114" s="85">
        <v>33140</v>
      </c>
      <c r="K114" s="85">
        <v>32510</v>
      </c>
      <c r="L114" s="29">
        <v>32300</v>
      </c>
      <c r="M114" s="29">
        <v>32170</v>
      </c>
      <c r="N114" s="29">
        <v>31610</v>
      </c>
      <c r="O114" s="29">
        <v>31640</v>
      </c>
      <c r="P114" s="29">
        <v>31540</v>
      </c>
      <c r="Q114" s="29">
        <v>32020</v>
      </c>
      <c r="R114" s="29">
        <v>32640</v>
      </c>
      <c r="S114" s="29">
        <v>33190</v>
      </c>
      <c r="T114" s="29">
        <v>33660</v>
      </c>
      <c r="U114" s="29">
        <v>34030</v>
      </c>
      <c r="V114" s="29">
        <v>34280</v>
      </c>
      <c r="W114" s="29">
        <v>34420</v>
      </c>
      <c r="X114" s="29">
        <v>34500</v>
      </c>
      <c r="Y114" s="29">
        <v>34500</v>
      </c>
      <c r="Z114" s="29">
        <v>34430</v>
      </c>
      <c r="AA114" s="29">
        <v>34320</v>
      </c>
      <c r="AB114" s="29">
        <v>34150</v>
      </c>
      <c r="AC114" s="29">
        <v>33950</v>
      </c>
      <c r="AD114" s="29">
        <v>33710</v>
      </c>
      <c r="AE114" s="29">
        <v>33470</v>
      </c>
      <c r="AF114" s="29">
        <v>33230</v>
      </c>
      <c r="AG114" s="29">
        <v>33000</v>
      </c>
      <c r="AH114" s="29">
        <v>32810</v>
      </c>
      <c r="AI114" s="29">
        <v>32660</v>
      </c>
      <c r="AJ114" s="29">
        <v>32570</v>
      </c>
      <c r="AK114" s="29">
        <v>32530</v>
      </c>
      <c r="AL114" s="29">
        <v>32530</v>
      </c>
      <c r="AM114" s="29">
        <v>32580</v>
      </c>
      <c r="AN114" s="29">
        <v>32660</v>
      </c>
      <c r="AO114" s="29">
        <v>32750</v>
      </c>
      <c r="AP114" s="29">
        <v>32850</v>
      </c>
      <c r="AQ114" s="29">
        <v>32960</v>
      </c>
      <c r="AR114" s="29">
        <v>33060</v>
      </c>
      <c r="AS114" s="29">
        <v>33150</v>
      </c>
      <c r="AT114" s="29">
        <v>33240</v>
      </c>
      <c r="AU114" s="29">
        <v>33330</v>
      </c>
      <c r="AV114" s="29">
        <v>33410</v>
      </c>
      <c r="AW114" s="29">
        <v>33490</v>
      </c>
      <c r="AX114" s="29">
        <v>33570</v>
      </c>
      <c r="AY114" s="29">
        <v>33650</v>
      </c>
      <c r="AZ114" s="29">
        <v>33730</v>
      </c>
      <c r="BA114" s="29">
        <v>33800</v>
      </c>
      <c r="BB114" s="29">
        <v>33870</v>
      </c>
      <c r="BC114" s="29">
        <v>33920</v>
      </c>
      <c r="BD114" s="29">
        <v>33960</v>
      </c>
      <c r="BE114" s="29">
        <v>33980</v>
      </c>
      <c r="BF114" s="29">
        <v>33980</v>
      </c>
      <c r="BG114" s="29">
        <v>33960</v>
      </c>
      <c r="BH114" s="29">
        <v>33920</v>
      </c>
      <c r="BI114" s="29">
        <v>33870</v>
      </c>
      <c r="BJ114" s="29">
        <v>33800</v>
      </c>
      <c r="BK114" s="29">
        <v>33730</v>
      </c>
      <c r="BL114" s="29">
        <v>33660</v>
      </c>
    </row>
    <row r="115" spans="1:64" x14ac:dyDescent="0.2">
      <c r="A115" s="29">
        <v>5</v>
      </c>
      <c r="B115" s="85">
        <v>29670</v>
      </c>
      <c r="C115" s="85">
        <v>28590</v>
      </c>
      <c r="D115" s="85">
        <v>29100</v>
      </c>
      <c r="E115" s="85">
        <v>29870</v>
      </c>
      <c r="F115" s="85">
        <v>29760</v>
      </c>
      <c r="G115" s="85">
        <v>30240</v>
      </c>
      <c r="H115" s="85">
        <v>31670</v>
      </c>
      <c r="I115" s="85">
        <v>32730</v>
      </c>
      <c r="J115" s="85">
        <v>33070</v>
      </c>
      <c r="K115" s="85">
        <v>33390</v>
      </c>
      <c r="L115" s="29">
        <v>32900</v>
      </c>
      <c r="M115" s="29">
        <v>32590</v>
      </c>
      <c r="N115" s="29">
        <v>32420</v>
      </c>
      <c r="O115" s="29">
        <v>31820</v>
      </c>
      <c r="P115" s="29">
        <v>31810</v>
      </c>
      <c r="Q115" s="29">
        <v>31660</v>
      </c>
      <c r="R115" s="29">
        <v>32100</v>
      </c>
      <c r="S115" s="29">
        <v>32720</v>
      </c>
      <c r="T115" s="29">
        <v>33270</v>
      </c>
      <c r="U115" s="29">
        <v>33740</v>
      </c>
      <c r="V115" s="29">
        <v>34110</v>
      </c>
      <c r="W115" s="29">
        <v>34360</v>
      </c>
      <c r="X115" s="29">
        <v>34500</v>
      </c>
      <c r="Y115" s="29">
        <v>34580</v>
      </c>
      <c r="Z115" s="29">
        <v>34580</v>
      </c>
      <c r="AA115" s="29">
        <v>34510</v>
      </c>
      <c r="AB115" s="29">
        <v>34400</v>
      </c>
      <c r="AC115" s="29">
        <v>34230</v>
      </c>
      <c r="AD115" s="29">
        <v>34030</v>
      </c>
      <c r="AE115" s="29">
        <v>33790</v>
      </c>
      <c r="AF115" s="29">
        <v>33550</v>
      </c>
      <c r="AG115" s="29">
        <v>33310</v>
      </c>
      <c r="AH115" s="29">
        <v>33080</v>
      </c>
      <c r="AI115" s="29">
        <v>32890</v>
      </c>
      <c r="AJ115" s="29">
        <v>32740</v>
      </c>
      <c r="AK115" s="29">
        <v>32650</v>
      </c>
      <c r="AL115" s="29">
        <v>32610</v>
      </c>
      <c r="AM115" s="29">
        <v>32610</v>
      </c>
      <c r="AN115" s="29">
        <v>32660</v>
      </c>
      <c r="AO115" s="29">
        <v>32740</v>
      </c>
      <c r="AP115" s="29">
        <v>32830</v>
      </c>
      <c r="AQ115" s="29">
        <v>32930</v>
      </c>
      <c r="AR115" s="29">
        <v>33040</v>
      </c>
      <c r="AS115" s="29">
        <v>33140</v>
      </c>
      <c r="AT115" s="29">
        <v>33230</v>
      </c>
      <c r="AU115" s="29">
        <v>33330</v>
      </c>
      <c r="AV115" s="29">
        <v>33410</v>
      </c>
      <c r="AW115" s="29">
        <v>33490</v>
      </c>
      <c r="AX115" s="29">
        <v>33570</v>
      </c>
      <c r="AY115" s="29">
        <v>33660</v>
      </c>
      <c r="AZ115" s="29">
        <v>33740</v>
      </c>
      <c r="BA115" s="29">
        <v>33810</v>
      </c>
      <c r="BB115" s="29">
        <v>33880</v>
      </c>
      <c r="BC115" s="29">
        <v>33950</v>
      </c>
      <c r="BD115" s="29">
        <v>34000</v>
      </c>
      <c r="BE115" s="29">
        <v>34040</v>
      </c>
      <c r="BF115" s="29">
        <v>34060</v>
      </c>
      <c r="BG115" s="29">
        <v>34060</v>
      </c>
      <c r="BH115" s="29">
        <v>34040</v>
      </c>
      <c r="BI115" s="29">
        <v>34000</v>
      </c>
      <c r="BJ115" s="29">
        <v>33950</v>
      </c>
      <c r="BK115" s="29">
        <v>33880</v>
      </c>
      <c r="BL115" s="29">
        <v>33810</v>
      </c>
    </row>
    <row r="116" spans="1:64" x14ac:dyDescent="0.2">
      <c r="A116" s="29">
        <v>6</v>
      </c>
      <c r="B116" s="85">
        <v>30280</v>
      </c>
      <c r="C116" s="85">
        <v>29980</v>
      </c>
      <c r="D116" s="85">
        <v>28760</v>
      </c>
      <c r="E116" s="85">
        <v>29210</v>
      </c>
      <c r="F116" s="85">
        <v>29950</v>
      </c>
      <c r="G116" s="85">
        <v>29730</v>
      </c>
      <c r="H116" s="85">
        <v>30080</v>
      </c>
      <c r="I116" s="85">
        <v>31520</v>
      </c>
      <c r="J116" s="85">
        <v>32870</v>
      </c>
      <c r="K116" s="85">
        <v>33310</v>
      </c>
      <c r="L116" s="29">
        <v>33680</v>
      </c>
      <c r="M116" s="29">
        <v>33170</v>
      </c>
      <c r="N116" s="29">
        <v>32830</v>
      </c>
      <c r="O116" s="29">
        <v>32610</v>
      </c>
      <c r="P116" s="29">
        <v>31970</v>
      </c>
      <c r="Q116" s="29">
        <v>31920</v>
      </c>
      <c r="R116" s="29">
        <v>31740</v>
      </c>
      <c r="S116" s="29">
        <v>32170</v>
      </c>
      <c r="T116" s="29">
        <v>32790</v>
      </c>
      <c r="U116" s="29">
        <v>33340</v>
      </c>
      <c r="V116" s="29">
        <v>33810</v>
      </c>
      <c r="W116" s="29">
        <v>34180</v>
      </c>
      <c r="X116" s="29">
        <v>34430</v>
      </c>
      <c r="Y116" s="29">
        <v>34570</v>
      </c>
      <c r="Z116" s="29">
        <v>34650</v>
      </c>
      <c r="AA116" s="29">
        <v>34650</v>
      </c>
      <c r="AB116" s="29">
        <v>34590</v>
      </c>
      <c r="AC116" s="29">
        <v>34470</v>
      </c>
      <c r="AD116" s="29">
        <v>34300</v>
      </c>
      <c r="AE116" s="29">
        <v>34100</v>
      </c>
      <c r="AF116" s="29">
        <v>33870</v>
      </c>
      <c r="AG116" s="29">
        <v>33620</v>
      </c>
      <c r="AH116" s="29">
        <v>33380</v>
      </c>
      <c r="AI116" s="29">
        <v>33160</v>
      </c>
      <c r="AJ116" s="29">
        <v>32970</v>
      </c>
      <c r="AK116" s="29">
        <v>32820</v>
      </c>
      <c r="AL116" s="29">
        <v>32720</v>
      </c>
      <c r="AM116" s="29">
        <v>32680</v>
      </c>
      <c r="AN116" s="29">
        <v>32690</v>
      </c>
      <c r="AO116" s="29">
        <v>32740</v>
      </c>
      <c r="AP116" s="29">
        <v>32810</v>
      </c>
      <c r="AQ116" s="29">
        <v>32900</v>
      </c>
      <c r="AR116" s="29">
        <v>33010</v>
      </c>
      <c r="AS116" s="29">
        <v>33110</v>
      </c>
      <c r="AT116" s="29">
        <v>33210</v>
      </c>
      <c r="AU116" s="29">
        <v>33310</v>
      </c>
      <c r="AV116" s="29">
        <v>33400</v>
      </c>
      <c r="AW116" s="29">
        <v>33490</v>
      </c>
      <c r="AX116" s="29">
        <v>33570</v>
      </c>
      <c r="AY116" s="29">
        <v>33650</v>
      </c>
      <c r="AZ116" s="29">
        <v>33730</v>
      </c>
      <c r="BA116" s="29">
        <v>33810</v>
      </c>
      <c r="BB116" s="29">
        <v>33890</v>
      </c>
      <c r="BC116" s="29">
        <v>33960</v>
      </c>
      <c r="BD116" s="29">
        <v>34020</v>
      </c>
      <c r="BE116" s="29">
        <v>34080</v>
      </c>
      <c r="BF116" s="29">
        <v>34110</v>
      </c>
      <c r="BG116" s="29">
        <v>34130</v>
      </c>
      <c r="BH116" s="29">
        <v>34130</v>
      </c>
      <c r="BI116" s="29">
        <v>34110</v>
      </c>
      <c r="BJ116" s="29">
        <v>34080</v>
      </c>
      <c r="BK116" s="29">
        <v>34020</v>
      </c>
      <c r="BL116" s="29">
        <v>33960</v>
      </c>
    </row>
    <row r="117" spans="1:64" x14ac:dyDescent="0.2">
      <c r="A117" s="29">
        <v>7</v>
      </c>
      <c r="B117" s="85">
        <v>29500</v>
      </c>
      <c r="C117" s="85">
        <v>30570</v>
      </c>
      <c r="D117" s="85">
        <v>30180</v>
      </c>
      <c r="E117" s="85">
        <v>28890</v>
      </c>
      <c r="F117" s="85">
        <v>29340</v>
      </c>
      <c r="G117" s="85">
        <v>29910</v>
      </c>
      <c r="H117" s="85">
        <v>29610</v>
      </c>
      <c r="I117" s="85">
        <v>29960</v>
      </c>
      <c r="J117" s="85">
        <v>31620</v>
      </c>
      <c r="K117" s="85">
        <v>33060</v>
      </c>
      <c r="L117" s="29">
        <v>33600</v>
      </c>
      <c r="M117" s="29">
        <v>33940</v>
      </c>
      <c r="N117" s="29">
        <v>33380</v>
      </c>
      <c r="O117" s="29">
        <v>33000</v>
      </c>
      <c r="P117" s="29">
        <v>32750</v>
      </c>
      <c r="Q117" s="29">
        <v>32080</v>
      </c>
      <c r="R117" s="29">
        <v>31990</v>
      </c>
      <c r="S117" s="29">
        <v>31800</v>
      </c>
      <c r="T117" s="29">
        <v>32240</v>
      </c>
      <c r="U117" s="29">
        <v>32860</v>
      </c>
      <c r="V117" s="29">
        <v>33410</v>
      </c>
      <c r="W117" s="29">
        <v>33880</v>
      </c>
      <c r="X117" s="29">
        <v>34250</v>
      </c>
      <c r="Y117" s="29">
        <v>34500</v>
      </c>
      <c r="Z117" s="29">
        <v>34640</v>
      </c>
      <c r="AA117" s="29">
        <v>34720</v>
      </c>
      <c r="AB117" s="29">
        <v>34720</v>
      </c>
      <c r="AC117" s="29">
        <v>34650</v>
      </c>
      <c r="AD117" s="29">
        <v>34540</v>
      </c>
      <c r="AE117" s="29">
        <v>34370</v>
      </c>
      <c r="AF117" s="29">
        <v>34170</v>
      </c>
      <c r="AG117" s="29">
        <v>33940</v>
      </c>
      <c r="AH117" s="29">
        <v>33690</v>
      </c>
      <c r="AI117" s="29">
        <v>33450</v>
      </c>
      <c r="AJ117" s="29">
        <v>33230</v>
      </c>
      <c r="AK117" s="29">
        <v>33030</v>
      </c>
      <c r="AL117" s="29">
        <v>32890</v>
      </c>
      <c r="AM117" s="29">
        <v>32790</v>
      </c>
      <c r="AN117" s="29">
        <v>32750</v>
      </c>
      <c r="AO117" s="29">
        <v>32760</v>
      </c>
      <c r="AP117" s="29">
        <v>32800</v>
      </c>
      <c r="AQ117" s="29">
        <v>32880</v>
      </c>
      <c r="AR117" s="29">
        <v>32970</v>
      </c>
      <c r="AS117" s="29">
        <v>33080</v>
      </c>
      <c r="AT117" s="29">
        <v>33180</v>
      </c>
      <c r="AU117" s="29">
        <v>33280</v>
      </c>
      <c r="AV117" s="29">
        <v>33380</v>
      </c>
      <c r="AW117" s="29">
        <v>33470</v>
      </c>
      <c r="AX117" s="29">
        <v>33550</v>
      </c>
      <c r="AY117" s="29">
        <v>33640</v>
      </c>
      <c r="AZ117" s="29">
        <v>33720</v>
      </c>
      <c r="BA117" s="29">
        <v>33800</v>
      </c>
      <c r="BB117" s="29">
        <v>33880</v>
      </c>
      <c r="BC117" s="29">
        <v>33960</v>
      </c>
      <c r="BD117" s="29">
        <v>34030</v>
      </c>
      <c r="BE117" s="29">
        <v>34090</v>
      </c>
      <c r="BF117" s="29">
        <v>34150</v>
      </c>
      <c r="BG117" s="29">
        <v>34180</v>
      </c>
      <c r="BH117" s="29">
        <v>34200</v>
      </c>
      <c r="BI117" s="29">
        <v>34200</v>
      </c>
      <c r="BJ117" s="29">
        <v>34180</v>
      </c>
      <c r="BK117" s="29">
        <v>34140</v>
      </c>
      <c r="BL117" s="29">
        <v>34090</v>
      </c>
    </row>
    <row r="118" spans="1:64" x14ac:dyDescent="0.2">
      <c r="A118" s="29">
        <v>8</v>
      </c>
      <c r="B118" s="85">
        <v>29960</v>
      </c>
      <c r="C118" s="85">
        <v>29810</v>
      </c>
      <c r="D118" s="85">
        <v>30860</v>
      </c>
      <c r="E118" s="85">
        <v>30370</v>
      </c>
      <c r="F118" s="85">
        <v>29120</v>
      </c>
      <c r="G118" s="85">
        <v>29410</v>
      </c>
      <c r="H118" s="85">
        <v>29840</v>
      </c>
      <c r="I118" s="85">
        <v>29550</v>
      </c>
      <c r="J118" s="85">
        <v>30060</v>
      </c>
      <c r="K118" s="85">
        <v>31800</v>
      </c>
      <c r="L118" s="29">
        <v>33310</v>
      </c>
      <c r="M118" s="29">
        <v>33840</v>
      </c>
      <c r="N118" s="29">
        <v>34140</v>
      </c>
      <c r="O118" s="29">
        <v>33550</v>
      </c>
      <c r="P118" s="29">
        <v>33140</v>
      </c>
      <c r="Q118" s="29">
        <v>32860</v>
      </c>
      <c r="R118" s="29">
        <v>32150</v>
      </c>
      <c r="S118" s="29">
        <v>32060</v>
      </c>
      <c r="T118" s="29">
        <v>31870</v>
      </c>
      <c r="U118" s="29">
        <v>32310</v>
      </c>
      <c r="V118" s="29">
        <v>32920</v>
      </c>
      <c r="W118" s="29">
        <v>33480</v>
      </c>
      <c r="X118" s="29">
        <v>33950</v>
      </c>
      <c r="Y118" s="29">
        <v>34320</v>
      </c>
      <c r="Z118" s="29">
        <v>34560</v>
      </c>
      <c r="AA118" s="29">
        <v>34710</v>
      </c>
      <c r="AB118" s="29">
        <v>34780</v>
      </c>
      <c r="AC118" s="29">
        <v>34790</v>
      </c>
      <c r="AD118" s="29">
        <v>34720</v>
      </c>
      <c r="AE118" s="29">
        <v>34610</v>
      </c>
      <c r="AF118" s="29">
        <v>34440</v>
      </c>
      <c r="AG118" s="29">
        <v>34240</v>
      </c>
      <c r="AH118" s="29">
        <v>34010</v>
      </c>
      <c r="AI118" s="29">
        <v>33760</v>
      </c>
      <c r="AJ118" s="29">
        <v>33520</v>
      </c>
      <c r="AK118" s="29">
        <v>33300</v>
      </c>
      <c r="AL118" s="29">
        <v>33100</v>
      </c>
      <c r="AM118" s="29">
        <v>32960</v>
      </c>
      <c r="AN118" s="29">
        <v>32860</v>
      </c>
      <c r="AO118" s="29">
        <v>32820</v>
      </c>
      <c r="AP118" s="29">
        <v>32830</v>
      </c>
      <c r="AQ118" s="29">
        <v>32870</v>
      </c>
      <c r="AR118" s="29">
        <v>32950</v>
      </c>
      <c r="AS118" s="29">
        <v>33040</v>
      </c>
      <c r="AT118" s="29">
        <v>33150</v>
      </c>
      <c r="AU118" s="29">
        <v>33250</v>
      </c>
      <c r="AV118" s="29">
        <v>33350</v>
      </c>
      <c r="AW118" s="29">
        <v>33450</v>
      </c>
      <c r="AX118" s="29">
        <v>33540</v>
      </c>
      <c r="AY118" s="29">
        <v>33620</v>
      </c>
      <c r="AZ118" s="29">
        <v>33710</v>
      </c>
      <c r="BA118" s="29">
        <v>33790</v>
      </c>
      <c r="BB118" s="29">
        <v>33870</v>
      </c>
      <c r="BC118" s="29">
        <v>33950</v>
      </c>
      <c r="BD118" s="29">
        <v>34030</v>
      </c>
      <c r="BE118" s="29">
        <v>34100</v>
      </c>
      <c r="BF118" s="29">
        <v>34160</v>
      </c>
      <c r="BG118" s="29">
        <v>34220</v>
      </c>
      <c r="BH118" s="29">
        <v>34250</v>
      </c>
      <c r="BI118" s="29">
        <v>34270</v>
      </c>
      <c r="BJ118" s="29">
        <v>34270</v>
      </c>
      <c r="BK118" s="29">
        <v>34250</v>
      </c>
      <c r="BL118" s="29">
        <v>34220</v>
      </c>
    </row>
    <row r="119" spans="1:64" x14ac:dyDescent="0.2">
      <c r="A119" s="29">
        <v>9</v>
      </c>
      <c r="B119" s="85">
        <v>29820</v>
      </c>
      <c r="C119" s="85">
        <v>30270</v>
      </c>
      <c r="D119" s="85">
        <v>30090</v>
      </c>
      <c r="E119" s="85">
        <v>31080</v>
      </c>
      <c r="F119" s="85">
        <v>30610</v>
      </c>
      <c r="G119" s="85">
        <v>29220</v>
      </c>
      <c r="H119" s="85">
        <v>29330</v>
      </c>
      <c r="I119" s="85">
        <v>29810</v>
      </c>
      <c r="J119" s="85">
        <v>29610</v>
      </c>
      <c r="K119" s="85">
        <v>30230</v>
      </c>
      <c r="L119" s="29">
        <v>32090</v>
      </c>
      <c r="M119" s="29">
        <v>33550</v>
      </c>
      <c r="N119" s="29">
        <v>34040</v>
      </c>
      <c r="O119" s="29">
        <v>34320</v>
      </c>
      <c r="P119" s="29">
        <v>33700</v>
      </c>
      <c r="Q119" s="29">
        <v>33250</v>
      </c>
      <c r="R119" s="29">
        <v>32930</v>
      </c>
      <c r="S119" s="29">
        <v>32220</v>
      </c>
      <c r="T119" s="29">
        <v>32130</v>
      </c>
      <c r="U119" s="29">
        <v>31950</v>
      </c>
      <c r="V119" s="29">
        <v>32390</v>
      </c>
      <c r="W119" s="29">
        <v>33000</v>
      </c>
      <c r="X119" s="29">
        <v>33550</v>
      </c>
      <c r="Y119" s="29">
        <v>34020</v>
      </c>
      <c r="Z119" s="29">
        <v>34400</v>
      </c>
      <c r="AA119" s="29">
        <v>34640</v>
      </c>
      <c r="AB119" s="29">
        <v>34790</v>
      </c>
      <c r="AC119" s="29">
        <v>34860</v>
      </c>
      <c r="AD119" s="29">
        <v>34860</v>
      </c>
      <c r="AE119" s="29">
        <v>34800</v>
      </c>
      <c r="AF119" s="29">
        <v>34680</v>
      </c>
      <c r="AG119" s="29">
        <v>34520</v>
      </c>
      <c r="AH119" s="29">
        <v>34320</v>
      </c>
      <c r="AI119" s="29">
        <v>34080</v>
      </c>
      <c r="AJ119" s="29">
        <v>33840</v>
      </c>
      <c r="AK119" s="29">
        <v>33600</v>
      </c>
      <c r="AL119" s="29">
        <v>33370</v>
      </c>
      <c r="AM119" s="29">
        <v>33180</v>
      </c>
      <c r="AN119" s="29">
        <v>33040</v>
      </c>
      <c r="AO119" s="29">
        <v>32940</v>
      </c>
      <c r="AP119" s="29">
        <v>32900</v>
      </c>
      <c r="AQ119" s="29">
        <v>32910</v>
      </c>
      <c r="AR119" s="29">
        <v>32950</v>
      </c>
      <c r="AS119" s="29">
        <v>33030</v>
      </c>
      <c r="AT119" s="29">
        <v>33120</v>
      </c>
      <c r="AU119" s="29">
        <v>33220</v>
      </c>
      <c r="AV119" s="29">
        <v>33330</v>
      </c>
      <c r="AW119" s="29">
        <v>33430</v>
      </c>
      <c r="AX119" s="29">
        <v>33530</v>
      </c>
      <c r="AY119" s="29">
        <v>33620</v>
      </c>
      <c r="AZ119" s="29">
        <v>33700</v>
      </c>
      <c r="BA119" s="29">
        <v>33790</v>
      </c>
      <c r="BB119" s="29">
        <v>33870</v>
      </c>
      <c r="BC119" s="29">
        <v>33950</v>
      </c>
      <c r="BD119" s="29">
        <v>34030</v>
      </c>
      <c r="BE119" s="29">
        <v>34110</v>
      </c>
      <c r="BF119" s="29">
        <v>34180</v>
      </c>
      <c r="BG119" s="29">
        <v>34240</v>
      </c>
      <c r="BH119" s="29">
        <v>34300</v>
      </c>
      <c r="BI119" s="29">
        <v>34330</v>
      </c>
      <c r="BJ119" s="29">
        <v>34350</v>
      </c>
      <c r="BK119" s="29">
        <v>34350</v>
      </c>
      <c r="BL119" s="29">
        <v>34330</v>
      </c>
    </row>
    <row r="120" spans="1:64" x14ac:dyDescent="0.2">
      <c r="A120" s="29">
        <v>10</v>
      </c>
      <c r="B120" s="85">
        <v>31100</v>
      </c>
      <c r="C120" s="85">
        <v>30190</v>
      </c>
      <c r="D120" s="85">
        <v>30480</v>
      </c>
      <c r="E120" s="85">
        <v>30320</v>
      </c>
      <c r="F120" s="85">
        <v>31360</v>
      </c>
      <c r="G120" s="85">
        <v>30720</v>
      </c>
      <c r="H120" s="85">
        <v>29220</v>
      </c>
      <c r="I120" s="85">
        <v>29330</v>
      </c>
      <c r="J120" s="85">
        <v>29910</v>
      </c>
      <c r="K120" s="85">
        <v>29830</v>
      </c>
      <c r="L120" s="29">
        <v>30490</v>
      </c>
      <c r="M120" s="29">
        <v>32320</v>
      </c>
      <c r="N120" s="29">
        <v>33760</v>
      </c>
      <c r="O120" s="29">
        <v>34220</v>
      </c>
      <c r="P120" s="29">
        <v>34460</v>
      </c>
      <c r="Q120" s="29">
        <v>33810</v>
      </c>
      <c r="R120" s="29">
        <v>33330</v>
      </c>
      <c r="S120" s="29">
        <v>33020</v>
      </c>
      <c r="T120" s="29">
        <v>32310</v>
      </c>
      <c r="U120" s="29">
        <v>32220</v>
      </c>
      <c r="V120" s="29">
        <v>32030</v>
      </c>
      <c r="W120" s="29">
        <v>32470</v>
      </c>
      <c r="X120" s="29">
        <v>33090</v>
      </c>
      <c r="Y120" s="29">
        <v>33640</v>
      </c>
      <c r="Z120" s="29">
        <v>34110</v>
      </c>
      <c r="AA120" s="29">
        <v>34480</v>
      </c>
      <c r="AB120" s="29">
        <v>34730</v>
      </c>
      <c r="AC120" s="29">
        <v>34880</v>
      </c>
      <c r="AD120" s="29">
        <v>34950</v>
      </c>
      <c r="AE120" s="29">
        <v>34950</v>
      </c>
      <c r="AF120" s="29">
        <v>34890</v>
      </c>
      <c r="AG120" s="29">
        <v>34770</v>
      </c>
      <c r="AH120" s="29">
        <v>34610</v>
      </c>
      <c r="AI120" s="29">
        <v>34400</v>
      </c>
      <c r="AJ120" s="29">
        <v>34170</v>
      </c>
      <c r="AK120" s="29">
        <v>33930</v>
      </c>
      <c r="AL120" s="29">
        <v>33680</v>
      </c>
      <c r="AM120" s="29">
        <v>33460</v>
      </c>
      <c r="AN120" s="29">
        <v>33270</v>
      </c>
      <c r="AO120" s="29">
        <v>33120</v>
      </c>
      <c r="AP120" s="29">
        <v>33030</v>
      </c>
      <c r="AQ120" s="29">
        <v>32990</v>
      </c>
      <c r="AR120" s="29">
        <v>32990</v>
      </c>
      <c r="AS120" s="29">
        <v>33040</v>
      </c>
      <c r="AT120" s="29">
        <v>33120</v>
      </c>
      <c r="AU120" s="29">
        <v>33210</v>
      </c>
      <c r="AV120" s="29">
        <v>33310</v>
      </c>
      <c r="AW120" s="29">
        <v>33420</v>
      </c>
      <c r="AX120" s="29">
        <v>33520</v>
      </c>
      <c r="AY120" s="29">
        <v>33610</v>
      </c>
      <c r="AZ120" s="29">
        <v>33710</v>
      </c>
      <c r="BA120" s="29">
        <v>33790</v>
      </c>
      <c r="BB120" s="29">
        <v>33870</v>
      </c>
      <c r="BC120" s="29">
        <v>33960</v>
      </c>
      <c r="BD120" s="29">
        <v>34040</v>
      </c>
      <c r="BE120" s="29">
        <v>34120</v>
      </c>
      <c r="BF120" s="29">
        <v>34190</v>
      </c>
      <c r="BG120" s="29">
        <v>34270</v>
      </c>
      <c r="BH120" s="29">
        <v>34330</v>
      </c>
      <c r="BI120" s="29">
        <v>34380</v>
      </c>
      <c r="BJ120" s="29">
        <v>34420</v>
      </c>
      <c r="BK120" s="29">
        <v>34440</v>
      </c>
      <c r="BL120" s="29">
        <v>34440</v>
      </c>
    </row>
    <row r="121" spans="1:64" x14ac:dyDescent="0.2">
      <c r="A121" s="29">
        <v>11</v>
      </c>
      <c r="B121" s="85">
        <v>31570</v>
      </c>
      <c r="C121" s="85">
        <v>31310</v>
      </c>
      <c r="D121" s="85">
        <v>30420</v>
      </c>
      <c r="E121" s="85">
        <v>30690</v>
      </c>
      <c r="F121" s="85">
        <v>30620</v>
      </c>
      <c r="G121" s="85">
        <v>31500</v>
      </c>
      <c r="H121" s="85">
        <v>30790</v>
      </c>
      <c r="I121" s="85">
        <v>29240</v>
      </c>
      <c r="J121" s="85">
        <v>29430</v>
      </c>
      <c r="K121" s="85">
        <v>30070</v>
      </c>
      <c r="L121" s="29">
        <v>30030</v>
      </c>
      <c r="M121" s="29">
        <v>30730</v>
      </c>
      <c r="N121" s="29">
        <v>32530</v>
      </c>
      <c r="O121" s="29">
        <v>33940</v>
      </c>
      <c r="P121" s="29">
        <v>34370</v>
      </c>
      <c r="Q121" s="29">
        <v>34580</v>
      </c>
      <c r="R121" s="29">
        <v>33900</v>
      </c>
      <c r="S121" s="29">
        <v>33430</v>
      </c>
      <c r="T121" s="29">
        <v>33110</v>
      </c>
      <c r="U121" s="29">
        <v>32400</v>
      </c>
      <c r="V121" s="29">
        <v>32310</v>
      </c>
      <c r="W121" s="29">
        <v>32130</v>
      </c>
      <c r="X121" s="29">
        <v>32570</v>
      </c>
      <c r="Y121" s="29">
        <v>33180</v>
      </c>
      <c r="Z121" s="29">
        <v>33730</v>
      </c>
      <c r="AA121" s="29">
        <v>34200</v>
      </c>
      <c r="AB121" s="29">
        <v>34570</v>
      </c>
      <c r="AC121" s="29">
        <v>34820</v>
      </c>
      <c r="AD121" s="29">
        <v>34970</v>
      </c>
      <c r="AE121" s="29">
        <v>35040</v>
      </c>
      <c r="AF121" s="29">
        <v>35040</v>
      </c>
      <c r="AG121" s="29">
        <v>34980</v>
      </c>
      <c r="AH121" s="29">
        <v>34860</v>
      </c>
      <c r="AI121" s="29">
        <v>34700</v>
      </c>
      <c r="AJ121" s="29">
        <v>34500</v>
      </c>
      <c r="AK121" s="29">
        <v>34260</v>
      </c>
      <c r="AL121" s="29">
        <v>34020</v>
      </c>
      <c r="AM121" s="29">
        <v>33780</v>
      </c>
      <c r="AN121" s="29">
        <v>33560</v>
      </c>
      <c r="AO121" s="29">
        <v>33360</v>
      </c>
      <c r="AP121" s="29">
        <v>33220</v>
      </c>
      <c r="AQ121" s="29">
        <v>33120</v>
      </c>
      <c r="AR121" s="29">
        <v>33080</v>
      </c>
      <c r="AS121" s="29">
        <v>33090</v>
      </c>
      <c r="AT121" s="29">
        <v>33130</v>
      </c>
      <c r="AU121" s="29">
        <v>33210</v>
      </c>
      <c r="AV121" s="29">
        <v>33300</v>
      </c>
      <c r="AW121" s="29">
        <v>33410</v>
      </c>
      <c r="AX121" s="29">
        <v>33510</v>
      </c>
      <c r="AY121" s="29">
        <v>33610</v>
      </c>
      <c r="AZ121" s="29">
        <v>33710</v>
      </c>
      <c r="BA121" s="29">
        <v>33800</v>
      </c>
      <c r="BB121" s="29">
        <v>33890</v>
      </c>
      <c r="BC121" s="29">
        <v>33970</v>
      </c>
      <c r="BD121" s="29">
        <v>34050</v>
      </c>
      <c r="BE121" s="29">
        <v>34130</v>
      </c>
      <c r="BF121" s="29">
        <v>34210</v>
      </c>
      <c r="BG121" s="29">
        <v>34290</v>
      </c>
      <c r="BH121" s="29">
        <v>34360</v>
      </c>
      <c r="BI121" s="29">
        <v>34430</v>
      </c>
      <c r="BJ121" s="29">
        <v>34480</v>
      </c>
      <c r="BK121" s="29">
        <v>34520</v>
      </c>
      <c r="BL121" s="29">
        <v>34540</v>
      </c>
    </row>
    <row r="122" spans="1:64" x14ac:dyDescent="0.2">
      <c r="A122" s="29">
        <v>12</v>
      </c>
      <c r="B122" s="85">
        <v>31640</v>
      </c>
      <c r="C122" s="85">
        <v>31640</v>
      </c>
      <c r="D122" s="85">
        <v>31450</v>
      </c>
      <c r="E122" s="85">
        <v>30620</v>
      </c>
      <c r="F122" s="85">
        <v>30980</v>
      </c>
      <c r="G122" s="85">
        <v>30730</v>
      </c>
      <c r="H122" s="85">
        <v>31640</v>
      </c>
      <c r="I122" s="85">
        <v>30870</v>
      </c>
      <c r="J122" s="85">
        <v>29290</v>
      </c>
      <c r="K122" s="85">
        <v>29580</v>
      </c>
      <c r="L122" s="29">
        <v>30320</v>
      </c>
      <c r="M122" s="29">
        <v>30270</v>
      </c>
      <c r="N122" s="29">
        <v>30940</v>
      </c>
      <c r="O122" s="29">
        <v>32720</v>
      </c>
      <c r="P122" s="29">
        <v>34090</v>
      </c>
      <c r="Q122" s="29">
        <v>34500</v>
      </c>
      <c r="R122" s="29">
        <v>34680</v>
      </c>
      <c r="S122" s="29">
        <v>34000</v>
      </c>
      <c r="T122" s="29">
        <v>33530</v>
      </c>
      <c r="U122" s="29">
        <v>33210</v>
      </c>
      <c r="V122" s="29">
        <v>32500</v>
      </c>
      <c r="W122" s="29">
        <v>32420</v>
      </c>
      <c r="X122" s="29">
        <v>32230</v>
      </c>
      <c r="Y122" s="29">
        <v>32670</v>
      </c>
      <c r="Z122" s="29">
        <v>33280</v>
      </c>
      <c r="AA122" s="29">
        <v>33840</v>
      </c>
      <c r="AB122" s="29">
        <v>34310</v>
      </c>
      <c r="AC122" s="29">
        <v>34680</v>
      </c>
      <c r="AD122" s="29">
        <v>34930</v>
      </c>
      <c r="AE122" s="29">
        <v>35070</v>
      </c>
      <c r="AF122" s="29">
        <v>35150</v>
      </c>
      <c r="AG122" s="29">
        <v>35150</v>
      </c>
      <c r="AH122" s="29">
        <v>35090</v>
      </c>
      <c r="AI122" s="29">
        <v>34970</v>
      </c>
      <c r="AJ122" s="29">
        <v>34800</v>
      </c>
      <c r="AK122" s="29">
        <v>34600</v>
      </c>
      <c r="AL122" s="29">
        <v>34370</v>
      </c>
      <c r="AM122" s="29">
        <v>34120</v>
      </c>
      <c r="AN122" s="29">
        <v>33880</v>
      </c>
      <c r="AO122" s="29">
        <v>33660</v>
      </c>
      <c r="AP122" s="29">
        <v>33470</v>
      </c>
      <c r="AQ122" s="29">
        <v>33320</v>
      </c>
      <c r="AR122" s="29">
        <v>33230</v>
      </c>
      <c r="AS122" s="29">
        <v>33180</v>
      </c>
      <c r="AT122" s="29">
        <v>33190</v>
      </c>
      <c r="AU122" s="29">
        <v>33240</v>
      </c>
      <c r="AV122" s="29">
        <v>33310</v>
      </c>
      <c r="AW122" s="29">
        <v>33410</v>
      </c>
      <c r="AX122" s="29">
        <v>33510</v>
      </c>
      <c r="AY122" s="29">
        <v>33620</v>
      </c>
      <c r="AZ122" s="29">
        <v>33720</v>
      </c>
      <c r="BA122" s="29">
        <v>33810</v>
      </c>
      <c r="BB122" s="29">
        <v>33900</v>
      </c>
      <c r="BC122" s="29">
        <v>33990</v>
      </c>
      <c r="BD122" s="29">
        <v>34070</v>
      </c>
      <c r="BE122" s="29">
        <v>34150</v>
      </c>
      <c r="BF122" s="29">
        <v>34240</v>
      </c>
      <c r="BG122" s="29">
        <v>34320</v>
      </c>
      <c r="BH122" s="29">
        <v>34390</v>
      </c>
      <c r="BI122" s="29">
        <v>34470</v>
      </c>
      <c r="BJ122" s="29">
        <v>34530</v>
      </c>
      <c r="BK122" s="29">
        <v>34580</v>
      </c>
      <c r="BL122" s="29">
        <v>34620</v>
      </c>
    </row>
    <row r="123" spans="1:64" x14ac:dyDescent="0.2">
      <c r="A123" s="29">
        <v>13</v>
      </c>
      <c r="B123" s="85">
        <v>32400</v>
      </c>
      <c r="C123" s="85">
        <v>31620</v>
      </c>
      <c r="D123" s="85">
        <v>31620</v>
      </c>
      <c r="E123" s="85">
        <v>31610</v>
      </c>
      <c r="F123" s="85">
        <v>30840</v>
      </c>
      <c r="G123" s="85">
        <v>31190</v>
      </c>
      <c r="H123" s="85">
        <v>30830</v>
      </c>
      <c r="I123" s="85">
        <v>31780</v>
      </c>
      <c r="J123" s="85">
        <v>30950</v>
      </c>
      <c r="K123" s="85">
        <v>29470</v>
      </c>
      <c r="L123" s="29">
        <v>29860</v>
      </c>
      <c r="M123" s="29">
        <v>30560</v>
      </c>
      <c r="N123" s="29">
        <v>30490</v>
      </c>
      <c r="O123" s="29">
        <v>31130</v>
      </c>
      <c r="P123" s="29">
        <v>32880</v>
      </c>
      <c r="Q123" s="29">
        <v>34230</v>
      </c>
      <c r="R123" s="29">
        <v>34610</v>
      </c>
      <c r="S123" s="29">
        <v>34800</v>
      </c>
      <c r="T123" s="29">
        <v>34120</v>
      </c>
      <c r="U123" s="29">
        <v>33640</v>
      </c>
      <c r="V123" s="29">
        <v>33330</v>
      </c>
      <c r="W123" s="29">
        <v>32620</v>
      </c>
      <c r="X123" s="29">
        <v>32530</v>
      </c>
      <c r="Y123" s="29">
        <v>32340</v>
      </c>
      <c r="Z123" s="29">
        <v>32780</v>
      </c>
      <c r="AA123" s="29">
        <v>33400</v>
      </c>
      <c r="AB123" s="29">
        <v>33950</v>
      </c>
      <c r="AC123" s="29">
        <v>34420</v>
      </c>
      <c r="AD123" s="29">
        <v>34790</v>
      </c>
      <c r="AE123" s="29">
        <v>35040</v>
      </c>
      <c r="AF123" s="29">
        <v>35190</v>
      </c>
      <c r="AG123" s="29">
        <v>35260</v>
      </c>
      <c r="AH123" s="29">
        <v>35260</v>
      </c>
      <c r="AI123" s="29">
        <v>35200</v>
      </c>
      <c r="AJ123" s="29">
        <v>35080</v>
      </c>
      <c r="AK123" s="29">
        <v>34920</v>
      </c>
      <c r="AL123" s="29">
        <v>34710</v>
      </c>
      <c r="AM123" s="29">
        <v>34480</v>
      </c>
      <c r="AN123" s="29">
        <v>34240</v>
      </c>
      <c r="AO123" s="29">
        <v>34000</v>
      </c>
      <c r="AP123" s="29">
        <v>33770</v>
      </c>
      <c r="AQ123" s="29">
        <v>33580</v>
      </c>
      <c r="AR123" s="29">
        <v>33440</v>
      </c>
      <c r="AS123" s="29">
        <v>33340</v>
      </c>
      <c r="AT123" s="29">
        <v>33300</v>
      </c>
      <c r="AU123" s="29">
        <v>33310</v>
      </c>
      <c r="AV123" s="29">
        <v>33350</v>
      </c>
      <c r="AW123" s="29">
        <v>33430</v>
      </c>
      <c r="AX123" s="29">
        <v>33520</v>
      </c>
      <c r="AY123" s="29">
        <v>33630</v>
      </c>
      <c r="AZ123" s="29">
        <v>33730</v>
      </c>
      <c r="BA123" s="29">
        <v>33830</v>
      </c>
      <c r="BB123" s="29">
        <v>33930</v>
      </c>
      <c r="BC123" s="29">
        <v>34020</v>
      </c>
      <c r="BD123" s="29">
        <v>34110</v>
      </c>
      <c r="BE123" s="29">
        <v>34190</v>
      </c>
      <c r="BF123" s="29">
        <v>34270</v>
      </c>
      <c r="BG123" s="29">
        <v>34350</v>
      </c>
      <c r="BH123" s="29">
        <v>34430</v>
      </c>
      <c r="BI123" s="29">
        <v>34510</v>
      </c>
      <c r="BJ123" s="29">
        <v>34580</v>
      </c>
      <c r="BK123" s="29">
        <v>34650</v>
      </c>
      <c r="BL123" s="29">
        <v>34700</v>
      </c>
    </row>
    <row r="124" spans="1:64" x14ac:dyDescent="0.2">
      <c r="A124" s="29">
        <v>14</v>
      </c>
      <c r="B124" s="85">
        <v>32800</v>
      </c>
      <c r="C124" s="85">
        <v>32260</v>
      </c>
      <c r="D124" s="85">
        <v>31550</v>
      </c>
      <c r="E124" s="85">
        <v>31640</v>
      </c>
      <c r="F124" s="85">
        <v>31810</v>
      </c>
      <c r="G124" s="85">
        <v>31060</v>
      </c>
      <c r="H124" s="85">
        <v>31400</v>
      </c>
      <c r="I124" s="85">
        <v>30980</v>
      </c>
      <c r="J124" s="85">
        <v>31870</v>
      </c>
      <c r="K124" s="85">
        <v>31130</v>
      </c>
      <c r="L124" s="29">
        <v>29780</v>
      </c>
      <c r="M124" s="29">
        <v>30160</v>
      </c>
      <c r="N124" s="29">
        <v>30830</v>
      </c>
      <c r="O124" s="29">
        <v>30730</v>
      </c>
      <c r="P124" s="29">
        <v>31350</v>
      </c>
      <c r="Q124" s="29">
        <v>33070</v>
      </c>
      <c r="R124" s="29">
        <v>34390</v>
      </c>
      <c r="S124" s="29">
        <v>34760</v>
      </c>
      <c r="T124" s="29">
        <v>34950</v>
      </c>
      <c r="U124" s="29">
        <v>34270</v>
      </c>
      <c r="V124" s="29">
        <v>33800</v>
      </c>
      <c r="W124" s="29">
        <v>33480</v>
      </c>
      <c r="X124" s="29">
        <v>32770</v>
      </c>
      <c r="Y124" s="29">
        <v>32680</v>
      </c>
      <c r="Z124" s="29">
        <v>32500</v>
      </c>
      <c r="AA124" s="29">
        <v>32940</v>
      </c>
      <c r="AB124" s="29">
        <v>33550</v>
      </c>
      <c r="AC124" s="29">
        <v>34100</v>
      </c>
      <c r="AD124" s="29">
        <v>34580</v>
      </c>
      <c r="AE124" s="29">
        <v>34950</v>
      </c>
      <c r="AF124" s="29">
        <v>35190</v>
      </c>
      <c r="AG124" s="29">
        <v>35340</v>
      </c>
      <c r="AH124" s="29">
        <v>35420</v>
      </c>
      <c r="AI124" s="29">
        <v>35420</v>
      </c>
      <c r="AJ124" s="29">
        <v>35360</v>
      </c>
      <c r="AK124" s="29">
        <v>35240</v>
      </c>
      <c r="AL124" s="29">
        <v>35070</v>
      </c>
      <c r="AM124" s="29">
        <v>34870</v>
      </c>
      <c r="AN124" s="29">
        <v>34640</v>
      </c>
      <c r="AO124" s="29">
        <v>34400</v>
      </c>
      <c r="AP124" s="29">
        <v>34150</v>
      </c>
      <c r="AQ124" s="29">
        <v>33930</v>
      </c>
      <c r="AR124" s="29">
        <v>33740</v>
      </c>
      <c r="AS124" s="29">
        <v>33590</v>
      </c>
      <c r="AT124" s="29">
        <v>33500</v>
      </c>
      <c r="AU124" s="29">
        <v>33460</v>
      </c>
      <c r="AV124" s="29">
        <v>33460</v>
      </c>
      <c r="AW124" s="29">
        <v>33510</v>
      </c>
      <c r="AX124" s="29">
        <v>33590</v>
      </c>
      <c r="AY124" s="29">
        <v>33680</v>
      </c>
      <c r="AZ124" s="29">
        <v>33780</v>
      </c>
      <c r="BA124" s="29">
        <v>33890</v>
      </c>
      <c r="BB124" s="29">
        <v>33990</v>
      </c>
      <c r="BC124" s="29">
        <v>34090</v>
      </c>
      <c r="BD124" s="29">
        <v>34180</v>
      </c>
      <c r="BE124" s="29">
        <v>34270</v>
      </c>
      <c r="BF124" s="29">
        <v>34350</v>
      </c>
      <c r="BG124" s="29">
        <v>34430</v>
      </c>
      <c r="BH124" s="29">
        <v>34510</v>
      </c>
      <c r="BI124" s="29">
        <v>34590</v>
      </c>
      <c r="BJ124" s="29">
        <v>34670</v>
      </c>
      <c r="BK124" s="29">
        <v>34740</v>
      </c>
      <c r="BL124" s="29">
        <v>34810</v>
      </c>
    </row>
    <row r="125" spans="1:64" x14ac:dyDescent="0.2">
      <c r="A125" s="29">
        <v>15</v>
      </c>
      <c r="B125" s="85">
        <v>33590</v>
      </c>
      <c r="C125" s="85">
        <v>32590</v>
      </c>
      <c r="D125" s="85">
        <v>32100</v>
      </c>
      <c r="E125" s="85">
        <v>31480</v>
      </c>
      <c r="F125" s="85">
        <v>31790</v>
      </c>
      <c r="G125" s="85">
        <v>31950</v>
      </c>
      <c r="H125" s="85">
        <v>31310</v>
      </c>
      <c r="I125" s="85">
        <v>31620</v>
      </c>
      <c r="J125" s="85">
        <v>31180</v>
      </c>
      <c r="K125" s="85">
        <v>32190</v>
      </c>
      <c r="L125" s="29">
        <v>31480</v>
      </c>
      <c r="M125" s="29">
        <v>30190</v>
      </c>
      <c r="N125" s="29">
        <v>30530</v>
      </c>
      <c r="O125" s="29">
        <v>31180</v>
      </c>
      <c r="P125" s="29">
        <v>31040</v>
      </c>
      <c r="Q125" s="29">
        <v>31620</v>
      </c>
      <c r="R125" s="29">
        <v>33310</v>
      </c>
      <c r="S125" s="29">
        <v>34630</v>
      </c>
      <c r="T125" s="29">
        <v>35010</v>
      </c>
      <c r="U125" s="29">
        <v>35190</v>
      </c>
      <c r="V125" s="29">
        <v>34520</v>
      </c>
      <c r="W125" s="29">
        <v>34040</v>
      </c>
      <c r="X125" s="29">
        <v>33730</v>
      </c>
      <c r="Y125" s="29">
        <v>33020</v>
      </c>
      <c r="Z125" s="29">
        <v>32930</v>
      </c>
      <c r="AA125" s="29">
        <v>32740</v>
      </c>
      <c r="AB125" s="29">
        <v>33180</v>
      </c>
      <c r="AC125" s="29">
        <v>33800</v>
      </c>
      <c r="AD125" s="29">
        <v>34350</v>
      </c>
      <c r="AE125" s="29">
        <v>34820</v>
      </c>
      <c r="AF125" s="29">
        <v>35190</v>
      </c>
      <c r="AG125" s="29">
        <v>35440</v>
      </c>
      <c r="AH125" s="29">
        <v>35590</v>
      </c>
      <c r="AI125" s="29">
        <v>35660</v>
      </c>
      <c r="AJ125" s="29">
        <v>35660</v>
      </c>
      <c r="AK125" s="29">
        <v>35600</v>
      </c>
      <c r="AL125" s="29">
        <v>35490</v>
      </c>
      <c r="AM125" s="29">
        <v>35320</v>
      </c>
      <c r="AN125" s="29">
        <v>35120</v>
      </c>
      <c r="AO125" s="29">
        <v>34890</v>
      </c>
      <c r="AP125" s="29">
        <v>34640</v>
      </c>
      <c r="AQ125" s="29">
        <v>34400</v>
      </c>
      <c r="AR125" s="29">
        <v>34180</v>
      </c>
      <c r="AS125" s="29">
        <v>33990</v>
      </c>
      <c r="AT125" s="29">
        <v>33840</v>
      </c>
      <c r="AU125" s="29">
        <v>33750</v>
      </c>
      <c r="AV125" s="29">
        <v>33710</v>
      </c>
      <c r="AW125" s="29">
        <v>33710</v>
      </c>
      <c r="AX125" s="29">
        <v>33760</v>
      </c>
      <c r="AY125" s="29">
        <v>33840</v>
      </c>
      <c r="AZ125" s="29">
        <v>33930</v>
      </c>
      <c r="BA125" s="29">
        <v>34030</v>
      </c>
      <c r="BB125" s="29">
        <v>34140</v>
      </c>
      <c r="BC125" s="29">
        <v>34240</v>
      </c>
      <c r="BD125" s="29">
        <v>34340</v>
      </c>
      <c r="BE125" s="29">
        <v>34430</v>
      </c>
      <c r="BF125" s="29">
        <v>34510</v>
      </c>
      <c r="BG125" s="29">
        <v>34600</v>
      </c>
      <c r="BH125" s="29">
        <v>34680</v>
      </c>
      <c r="BI125" s="29">
        <v>34760</v>
      </c>
      <c r="BJ125" s="29">
        <v>34840</v>
      </c>
      <c r="BK125" s="29">
        <v>34920</v>
      </c>
      <c r="BL125" s="29">
        <v>34990</v>
      </c>
    </row>
    <row r="126" spans="1:64" x14ac:dyDescent="0.2">
      <c r="A126" s="29">
        <v>16</v>
      </c>
      <c r="B126" s="85">
        <v>32610</v>
      </c>
      <c r="C126" s="85">
        <v>33310</v>
      </c>
      <c r="D126" s="85">
        <v>32300</v>
      </c>
      <c r="E126" s="85">
        <v>32050</v>
      </c>
      <c r="F126" s="85">
        <v>31680</v>
      </c>
      <c r="G126" s="85">
        <v>31980</v>
      </c>
      <c r="H126" s="85">
        <v>32180</v>
      </c>
      <c r="I126" s="85">
        <v>31650</v>
      </c>
      <c r="J126" s="85">
        <v>31910</v>
      </c>
      <c r="K126" s="85">
        <v>31590</v>
      </c>
      <c r="L126" s="29">
        <v>32700</v>
      </c>
      <c r="M126" s="29">
        <v>31960</v>
      </c>
      <c r="N126" s="29">
        <v>30630</v>
      </c>
      <c r="O126" s="29">
        <v>30940</v>
      </c>
      <c r="P126" s="29">
        <v>31550</v>
      </c>
      <c r="Q126" s="29">
        <v>31380</v>
      </c>
      <c r="R126" s="29">
        <v>31930</v>
      </c>
      <c r="S126" s="29">
        <v>33610</v>
      </c>
      <c r="T126" s="29">
        <v>34930</v>
      </c>
      <c r="U126" s="29">
        <v>35310</v>
      </c>
      <c r="V126" s="29">
        <v>35500</v>
      </c>
      <c r="W126" s="29">
        <v>34820</v>
      </c>
      <c r="X126" s="29">
        <v>34350</v>
      </c>
      <c r="Y126" s="29">
        <v>34030</v>
      </c>
      <c r="Z126" s="29">
        <v>33320</v>
      </c>
      <c r="AA126" s="29">
        <v>33240</v>
      </c>
      <c r="AB126" s="29">
        <v>33050</v>
      </c>
      <c r="AC126" s="29">
        <v>33490</v>
      </c>
      <c r="AD126" s="29">
        <v>34110</v>
      </c>
      <c r="AE126" s="29">
        <v>34660</v>
      </c>
      <c r="AF126" s="29">
        <v>35130</v>
      </c>
      <c r="AG126" s="29">
        <v>35500</v>
      </c>
      <c r="AH126" s="29">
        <v>35750</v>
      </c>
      <c r="AI126" s="29">
        <v>35890</v>
      </c>
      <c r="AJ126" s="29">
        <v>35970</v>
      </c>
      <c r="AK126" s="29">
        <v>35970</v>
      </c>
      <c r="AL126" s="29">
        <v>35910</v>
      </c>
      <c r="AM126" s="29">
        <v>35790</v>
      </c>
      <c r="AN126" s="29">
        <v>35630</v>
      </c>
      <c r="AO126" s="29">
        <v>35430</v>
      </c>
      <c r="AP126" s="29">
        <v>35200</v>
      </c>
      <c r="AQ126" s="29">
        <v>34950</v>
      </c>
      <c r="AR126" s="29">
        <v>34710</v>
      </c>
      <c r="AS126" s="29">
        <v>34490</v>
      </c>
      <c r="AT126" s="29">
        <v>34300</v>
      </c>
      <c r="AU126" s="29">
        <v>34150</v>
      </c>
      <c r="AV126" s="29">
        <v>34060</v>
      </c>
      <c r="AW126" s="29">
        <v>34020</v>
      </c>
      <c r="AX126" s="29">
        <v>34020</v>
      </c>
      <c r="AY126" s="29">
        <v>34070</v>
      </c>
      <c r="AZ126" s="29">
        <v>34150</v>
      </c>
      <c r="BA126" s="29">
        <v>34240</v>
      </c>
      <c r="BB126" s="29">
        <v>34340</v>
      </c>
      <c r="BC126" s="29">
        <v>34450</v>
      </c>
      <c r="BD126" s="29">
        <v>34550</v>
      </c>
      <c r="BE126" s="29">
        <v>34650</v>
      </c>
      <c r="BF126" s="29">
        <v>34740</v>
      </c>
      <c r="BG126" s="29">
        <v>34830</v>
      </c>
      <c r="BH126" s="29">
        <v>34910</v>
      </c>
      <c r="BI126" s="29">
        <v>34990</v>
      </c>
      <c r="BJ126" s="29">
        <v>35070</v>
      </c>
      <c r="BK126" s="29">
        <v>35150</v>
      </c>
      <c r="BL126" s="29">
        <v>35230</v>
      </c>
    </row>
    <row r="127" spans="1:64" x14ac:dyDescent="0.2">
      <c r="A127" s="29">
        <v>17</v>
      </c>
      <c r="B127" s="85">
        <v>31820</v>
      </c>
      <c r="C127" s="85">
        <v>32260</v>
      </c>
      <c r="D127" s="85">
        <v>33160</v>
      </c>
      <c r="E127" s="85">
        <v>32180</v>
      </c>
      <c r="F127" s="85">
        <v>32210</v>
      </c>
      <c r="G127" s="85">
        <v>31800</v>
      </c>
      <c r="H127" s="85">
        <v>32120</v>
      </c>
      <c r="I127" s="85">
        <v>32430</v>
      </c>
      <c r="J127" s="85">
        <v>32040</v>
      </c>
      <c r="K127" s="85">
        <v>32400</v>
      </c>
      <c r="L127" s="29">
        <v>32130</v>
      </c>
      <c r="M127" s="29">
        <v>33190</v>
      </c>
      <c r="N127" s="29">
        <v>32410</v>
      </c>
      <c r="O127" s="29">
        <v>31050</v>
      </c>
      <c r="P127" s="29">
        <v>31320</v>
      </c>
      <c r="Q127" s="29">
        <v>31890</v>
      </c>
      <c r="R127" s="29">
        <v>31680</v>
      </c>
      <c r="S127" s="29">
        <v>32230</v>
      </c>
      <c r="T127" s="29">
        <v>33920</v>
      </c>
      <c r="U127" s="29">
        <v>35240</v>
      </c>
      <c r="V127" s="29">
        <v>35620</v>
      </c>
      <c r="W127" s="29">
        <v>35800</v>
      </c>
      <c r="X127" s="29">
        <v>35130</v>
      </c>
      <c r="Y127" s="29">
        <v>34650</v>
      </c>
      <c r="Z127" s="29">
        <v>34340</v>
      </c>
      <c r="AA127" s="29">
        <v>33630</v>
      </c>
      <c r="AB127" s="29">
        <v>33540</v>
      </c>
      <c r="AC127" s="29">
        <v>33360</v>
      </c>
      <c r="AD127" s="29">
        <v>33800</v>
      </c>
      <c r="AE127" s="29">
        <v>34410</v>
      </c>
      <c r="AF127" s="29">
        <v>34960</v>
      </c>
      <c r="AG127" s="29">
        <v>35440</v>
      </c>
      <c r="AH127" s="29">
        <v>35810</v>
      </c>
      <c r="AI127" s="29">
        <v>36050</v>
      </c>
      <c r="AJ127" s="29">
        <v>36200</v>
      </c>
      <c r="AK127" s="29">
        <v>36280</v>
      </c>
      <c r="AL127" s="29">
        <v>36280</v>
      </c>
      <c r="AM127" s="29">
        <v>36220</v>
      </c>
      <c r="AN127" s="29">
        <v>36100</v>
      </c>
      <c r="AO127" s="29">
        <v>35940</v>
      </c>
      <c r="AP127" s="29">
        <v>35730</v>
      </c>
      <c r="AQ127" s="29">
        <v>35500</v>
      </c>
      <c r="AR127" s="29">
        <v>35260</v>
      </c>
      <c r="AS127" s="29">
        <v>35020</v>
      </c>
      <c r="AT127" s="29">
        <v>34800</v>
      </c>
      <c r="AU127" s="29">
        <v>34610</v>
      </c>
      <c r="AV127" s="29">
        <v>34460</v>
      </c>
      <c r="AW127" s="29">
        <v>34370</v>
      </c>
      <c r="AX127" s="29">
        <v>34330</v>
      </c>
      <c r="AY127" s="29">
        <v>34330</v>
      </c>
      <c r="AZ127" s="29">
        <v>34380</v>
      </c>
      <c r="BA127" s="29">
        <v>34460</v>
      </c>
      <c r="BB127" s="29">
        <v>34550</v>
      </c>
      <c r="BC127" s="29">
        <v>34650</v>
      </c>
      <c r="BD127" s="29">
        <v>34760</v>
      </c>
      <c r="BE127" s="29">
        <v>34860</v>
      </c>
      <c r="BF127" s="29">
        <v>34960</v>
      </c>
      <c r="BG127" s="29">
        <v>35050</v>
      </c>
      <c r="BH127" s="29">
        <v>35140</v>
      </c>
      <c r="BI127" s="29">
        <v>35220</v>
      </c>
      <c r="BJ127" s="29">
        <v>35300</v>
      </c>
      <c r="BK127" s="29">
        <v>35380</v>
      </c>
      <c r="BL127" s="29">
        <v>35460</v>
      </c>
    </row>
    <row r="128" spans="1:64" x14ac:dyDescent="0.2">
      <c r="A128" s="29">
        <v>18</v>
      </c>
      <c r="B128" s="85">
        <v>31140</v>
      </c>
      <c r="C128" s="85">
        <v>31370</v>
      </c>
      <c r="D128" s="85">
        <v>31770</v>
      </c>
      <c r="E128" s="85">
        <v>32780</v>
      </c>
      <c r="F128" s="85">
        <v>32130</v>
      </c>
      <c r="G128" s="85">
        <v>32140</v>
      </c>
      <c r="H128" s="85">
        <v>31760</v>
      </c>
      <c r="I128" s="85">
        <v>32160</v>
      </c>
      <c r="J128" s="85">
        <v>32930</v>
      </c>
      <c r="K128" s="85">
        <v>32750</v>
      </c>
      <c r="L128" s="29">
        <v>33130</v>
      </c>
      <c r="M128" s="29">
        <v>32990</v>
      </c>
      <c r="N128" s="29">
        <v>33950</v>
      </c>
      <c r="O128" s="29">
        <v>33090</v>
      </c>
      <c r="P128" s="29">
        <v>31640</v>
      </c>
      <c r="Q128" s="29">
        <v>31830</v>
      </c>
      <c r="R128" s="29">
        <v>32310</v>
      </c>
      <c r="S128" s="29">
        <v>32110</v>
      </c>
      <c r="T128" s="29">
        <v>32650</v>
      </c>
      <c r="U128" s="29">
        <v>34340</v>
      </c>
      <c r="V128" s="29">
        <v>35660</v>
      </c>
      <c r="W128" s="29">
        <v>36040</v>
      </c>
      <c r="X128" s="29">
        <v>36220</v>
      </c>
      <c r="Y128" s="29">
        <v>35550</v>
      </c>
      <c r="Z128" s="29">
        <v>35070</v>
      </c>
      <c r="AA128" s="29">
        <v>34760</v>
      </c>
      <c r="AB128" s="29">
        <v>34050</v>
      </c>
      <c r="AC128" s="29">
        <v>33970</v>
      </c>
      <c r="AD128" s="29">
        <v>33780</v>
      </c>
      <c r="AE128" s="29">
        <v>34220</v>
      </c>
      <c r="AF128" s="29">
        <v>34840</v>
      </c>
      <c r="AG128" s="29">
        <v>35390</v>
      </c>
      <c r="AH128" s="29">
        <v>35860</v>
      </c>
      <c r="AI128" s="29">
        <v>36230</v>
      </c>
      <c r="AJ128" s="29">
        <v>36480</v>
      </c>
      <c r="AK128" s="29">
        <v>36630</v>
      </c>
      <c r="AL128" s="29">
        <v>36700</v>
      </c>
      <c r="AM128" s="29">
        <v>36710</v>
      </c>
      <c r="AN128" s="29">
        <v>36640</v>
      </c>
      <c r="AO128" s="29">
        <v>36530</v>
      </c>
      <c r="AP128" s="29">
        <v>36360</v>
      </c>
      <c r="AQ128" s="29">
        <v>36160</v>
      </c>
      <c r="AR128" s="29">
        <v>35930</v>
      </c>
      <c r="AS128" s="29">
        <v>35690</v>
      </c>
      <c r="AT128" s="29">
        <v>35450</v>
      </c>
      <c r="AU128" s="29">
        <v>35230</v>
      </c>
      <c r="AV128" s="29">
        <v>35040</v>
      </c>
      <c r="AW128" s="29">
        <v>34890</v>
      </c>
      <c r="AX128" s="29">
        <v>34800</v>
      </c>
      <c r="AY128" s="29">
        <v>34760</v>
      </c>
      <c r="AZ128" s="29">
        <v>34760</v>
      </c>
      <c r="BA128" s="29">
        <v>34810</v>
      </c>
      <c r="BB128" s="29">
        <v>34890</v>
      </c>
      <c r="BC128" s="29">
        <v>34980</v>
      </c>
      <c r="BD128" s="29">
        <v>35090</v>
      </c>
      <c r="BE128" s="29">
        <v>35190</v>
      </c>
      <c r="BF128" s="29">
        <v>35290</v>
      </c>
      <c r="BG128" s="29">
        <v>35390</v>
      </c>
      <c r="BH128" s="29">
        <v>35480</v>
      </c>
      <c r="BI128" s="29">
        <v>35570</v>
      </c>
      <c r="BJ128" s="29">
        <v>35650</v>
      </c>
      <c r="BK128" s="29">
        <v>35730</v>
      </c>
      <c r="BL128" s="29">
        <v>35820</v>
      </c>
    </row>
    <row r="129" spans="1:64" x14ac:dyDescent="0.2">
      <c r="A129" s="29">
        <v>19</v>
      </c>
      <c r="B129" s="85">
        <v>30250</v>
      </c>
      <c r="C129" s="85">
        <v>30770</v>
      </c>
      <c r="D129" s="85">
        <v>31170</v>
      </c>
      <c r="E129" s="85">
        <v>31800</v>
      </c>
      <c r="F129" s="85">
        <v>33050</v>
      </c>
      <c r="G129" s="85">
        <v>32460</v>
      </c>
      <c r="H129" s="85">
        <v>32470</v>
      </c>
      <c r="I129" s="85">
        <v>32290</v>
      </c>
      <c r="J129" s="85">
        <v>33370</v>
      </c>
      <c r="K129" s="85">
        <v>34550</v>
      </c>
      <c r="L129" s="29">
        <v>34400</v>
      </c>
      <c r="M129" s="29">
        <v>34530</v>
      </c>
      <c r="N129" s="29">
        <v>34210</v>
      </c>
      <c r="O129" s="29">
        <v>35020</v>
      </c>
      <c r="P129" s="29">
        <v>33990</v>
      </c>
      <c r="Q129" s="29">
        <v>32380</v>
      </c>
      <c r="R129" s="29">
        <v>32390</v>
      </c>
      <c r="S129" s="29">
        <v>32880</v>
      </c>
      <c r="T129" s="29">
        <v>32670</v>
      </c>
      <c r="U129" s="29">
        <v>33220</v>
      </c>
      <c r="V129" s="29">
        <v>34900</v>
      </c>
      <c r="W129" s="29">
        <v>36220</v>
      </c>
      <c r="X129" s="29">
        <v>36600</v>
      </c>
      <c r="Y129" s="29">
        <v>36790</v>
      </c>
      <c r="Z129" s="29">
        <v>36110</v>
      </c>
      <c r="AA129" s="29">
        <v>35640</v>
      </c>
      <c r="AB129" s="29">
        <v>35330</v>
      </c>
      <c r="AC129" s="29">
        <v>34620</v>
      </c>
      <c r="AD129" s="29">
        <v>34540</v>
      </c>
      <c r="AE129" s="29">
        <v>34350</v>
      </c>
      <c r="AF129" s="29">
        <v>34790</v>
      </c>
      <c r="AG129" s="29">
        <v>35410</v>
      </c>
      <c r="AH129" s="29">
        <v>35960</v>
      </c>
      <c r="AI129" s="29">
        <v>36430</v>
      </c>
      <c r="AJ129" s="29">
        <v>36800</v>
      </c>
      <c r="AK129" s="29">
        <v>37050</v>
      </c>
      <c r="AL129" s="29">
        <v>37200</v>
      </c>
      <c r="AM129" s="29">
        <v>37270</v>
      </c>
      <c r="AN129" s="29">
        <v>37280</v>
      </c>
      <c r="AO129" s="29">
        <v>37220</v>
      </c>
      <c r="AP129" s="29">
        <v>37100</v>
      </c>
      <c r="AQ129" s="29">
        <v>36940</v>
      </c>
      <c r="AR129" s="29">
        <v>36730</v>
      </c>
      <c r="AS129" s="29">
        <v>36510</v>
      </c>
      <c r="AT129" s="29">
        <v>36260</v>
      </c>
      <c r="AU129" s="29">
        <v>36020</v>
      </c>
      <c r="AV129" s="29">
        <v>35800</v>
      </c>
      <c r="AW129" s="29">
        <v>35610</v>
      </c>
      <c r="AX129" s="29">
        <v>35470</v>
      </c>
      <c r="AY129" s="29">
        <v>35370</v>
      </c>
      <c r="AZ129" s="29">
        <v>35330</v>
      </c>
      <c r="BA129" s="29">
        <v>35340</v>
      </c>
      <c r="BB129" s="29">
        <v>35390</v>
      </c>
      <c r="BC129" s="29">
        <v>35460</v>
      </c>
      <c r="BD129" s="29">
        <v>35560</v>
      </c>
      <c r="BE129" s="29">
        <v>35660</v>
      </c>
      <c r="BF129" s="29">
        <v>35770</v>
      </c>
      <c r="BG129" s="29">
        <v>35870</v>
      </c>
      <c r="BH129" s="29">
        <v>35970</v>
      </c>
      <c r="BI129" s="29">
        <v>36060</v>
      </c>
      <c r="BJ129" s="29">
        <v>36150</v>
      </c>
      <c r="BK129" s="29">
        <v>36230</v>
      </c>
      <c r="BL129" s="29">
        <v>36310</v>
      </c>
    </row>
    <row r="130" spans="1:64" x14ac:dyDescent="0.2">
      <c r="A130" s="29">
        <v>20</v>
      </c>
      <c r="B130" s="85">
        <v>29830</v>
      </c>
      <c r="C130" s="85">
        <v>29900</v>
      </c>
      <c r="D130" s="85">
        <v>30470</v>
      </c>
      <c r="E130" s="85">
        <v>31180</v>
      </c>
      <c r="F130" s="85">
        <v>32100</v>
      </c>
      <c r="G130" s="85">
        <v>33380</v>
      </c>
      <c r="H130" s="85">
        <v>32580</v>
      </c>
      <c r="I130" s="85">
        <v>32810</v>
      </c>
      <c r="J130" s="85">
        <v>33420</v>
      </c>
      <c r="K130" s="85">
        <v>34970</v>
      </c>
      <c r="L130" s="29">
        <v>36190</v>
      </c>
      <c r="M130" s="29">
        <v>35870</v>
      </c>
      <c r="N130" s="29">
        <v>35790</v>
      </c>
      <c r="O130" s="29">
        <v>35280</v>
      </c>
      <c r="P130" s="29">
        <v>35880</v>
      </c>
      <c r="Q130" s="29">
        <v>34650</v>
      </c>
      <c r="R130" s="29">
        <v>32840</v>
      </c>
      <c r="S130" s="29">
        <v>32860</v>
      </c>
      <c r="T130" s="29">
        <v>33340</v>
      </c>
      <c r="U130" s="29">
        <v>33140</v>
      </c>
      <c r="V130" s="29">
        <v>33680</v>
      </c>
      <c r="W130" s="29">
        <v>35370</v>
      </c>
      <c r="X130" s="29">
        <v>36690</v>
      </c>
      <c r="Y130" s="29">
        <v>37070</v>
      </c>
      <c r="Z130" s="29">
        <v>37250</v>
      </c>
      <c r="AA130" s="29">
        <v>36580</v>
      </c>
      <c r="AB130" s="29">
        <v>36110</v>
      </c>
      <c r="AC130" s="29">
        <v>35790</v>
      </c>
      <c r="AD130" s="29">
        <v>35090</v>
      </c>
      <c r="AE130" s="29">
        <v>35000</v>
      </c>
      <c r="AF130" s="29">
        <v>34820</v>
      </c>
      <c r="AG130" s="29">
        <v>35260</v>
      </c>
      <c r="AH130" s="29">
        <v>35870</v>
      </c>
      <c r="AI130" s="29">
        <v>36430</v>
      </c>
      <c r="AJ130" s="29">
        <v>36900</v>
      </c>
      <c r="AK130" s="29">
        <v>37270</v>
      </c>
      <c r="AL130" s="29">
        <v>37520</v>
      </c>
      <c r="AM130" s="29">
        <v>37670</v>
      </c>
      <c r="AN130" s="29">
        <v>37740</v>
      </c>
      <c r="AO130" s="29">
        <v>37750</v>
      </c>
      <c r="AP130" s="29">
        <v>37690</v>
      </c>
      <c r="AQ130" s="29">
        <v>37570</v>
      </c>
      <c r="AR130" s="29">
        <v>37410</v>
      </c>
      <c r="AS130" s="29">
        <v>37210</v>
      </c>
      <c r="AT130" s="29">
        <v>36980</v>
      </c>
      <c r="AU130" s="29">
        <v>36730</v>
      </c>
      <c r="AV130" s="29">
        <v>36490</v>
      </c>
      <c r="AW130" s="29">
        <v>36270</v>
      </c>
      <c r="AX130" s="29">
        <v>36080</v>
      </c>
      <c r="AY130" s="29">
        <v>35940</v>
      </c>
      <c r="AZ130" s="29">
        <v>35840</v>
      </c>
      <c r="BA130" s="29">
        <v>35800</v>
      </c>
      <c r="BB130" s="29">
        <v>35810</v>
      </c>
      <c r="BC130" s="29">
        <v>35860</v>
      </c>
      <c r="BD130" s="29">
        <v>35940</v>
      </c>
      <c r="BE130" s="29">
        <v>36030</v>
      </c>
      <c r="BF130" s="29">
        <v>36140</v>
      </c>
      <c r="BG130" s="29">
        <v>36240</v>
      </c>
      <c r="BH130" s="29">
        <v>36340</v>
      </c>
      <c r="BI130" s="29">
        <v>36440</v>
      </c>
      <c r="BJ130" s="29">
        <v>36530</v>
      </c>
      <c r="BK130" s="29">
        <v>36620</v>
      </c>
      <c r="BL130" s="29">
        <v>36700</v>
      </c>
    </row>
    <row r="131" spans="1:64" x14ac:dyDescent="0.2">
      <c r="A131" s="29">
        <v>21</v>
      </c>
      <c r="B131" s="85">
        <v>29560</v>
      </c>
      <c r="C131" s="85">
        <v>29170</v>
      </c>
      <c r="D131" s="85">
        <v>29450</v>
      </c>
      <c r="E131" s="85">
        <v>30280</v>
      </c>
      <c r="F131" s="85">
        <v>31170</v>
      </c>
      <c r="G131" s="85">
        <v>32090</v>
      </c>
      <c r="H131" s="85">
        <v>33060</v>
      </c>
      <c r="I131" s="85">
        <v>32490</v>
      </c>
      <c r="J131" s="85">
        <v>33640</v>
      </c>
      <c r="K131" s="85">
        <v>34720</v>
      </c>
      <c r="L131" s="29">
        <v>36220</v>
      </c>
      <c r="M131" s="29">
        <v>37410</v>
      </c>
      <c r="N131" s="29">
        <v>36880</v>
      </c>
      <c r="O131" s="29">
        <v>36600</v>
      </c>
      <c r="P131" s="29">
        <v>35870</v>
      </c>
      <c r="Q131" s="29">
        <v>36260</v>
      </c>
      <c r="R131" s="29">
        <v>34820</v>
      </c>
      <c r="S131" s="29">
        <v>33010</v>
      </c>
      <c r="T131" s="29">
        <v>33030</v>
      </c>
      <c r="U131" s="29">
        <v>33520</v>
      </c>
      <c r="V131" s="29">
        <v>33310</v>
      </c>
      <c r="W131" s="29">
        <v>33860</v>
      </c>
      <c r="X131" s="29">
        <v>35540</v>
      </c>
      <c r="Y131" s="29">
        <v>36860</v>
      </c>
      <c r="Z131" s="29">
        <v>37240</v>
      </c>
      <c r="AA131" s="29">
        <v>37430</v>
      </c>
      <c r="AB131" s="29">
        <v>36760</v>
      </c>
      <c r="AC131" s="29">
        <v>36290</v>
      </c>
      <c r="AD131" s="29">
        <v>35970</v>
      </c>
      <c r="AE131" s="29">
        <v>35270</v>
      </c>
      <c r="AF131" s="29">
        <v>35180</v>
      </c>
      <c r="AG131" s="29">
        <v>35000</v>
      </c>
      <c r="AH131" s="29">
        <v>35440</v>
      </c>
      <c r="AI131" s="29">
        <v>36060</v>
      </c>
      <c r="AJ131" s="29">
        <v>36610</v>
      </c>
      <c r="AK131" s="29">
        <v>37080</v>
      </c>
      <c r="AL131" s="29">
        <v>37450</v>
      </c>
      <c r="AM131" s="29">
        <v>37700</v>
      </c>
      <c r="AN131" s="29">
        <v>37850</v>
      </c>
      <c r="AO131" s="29">
        <v>37920</v>
      </c>
      <c r="AP131" s="29">
        <v>37930</v>
      </c>
      <c r="AQ131" s="29">
        <v>37870</v>
      </c>
      <c r="AR131" s="29">
        <v>37750</v>
      </c>
      <c r="AS131" s="29">
        <v>37590</v>
      </c>
      <c r="AT131" s="29">
        <v>37390</v>
      </c>
      <c r="AU131" s="29">
        <v>37160</v>
      </c>
      <c r="AV131" s="29">
        <v>36920</v>
      </c>
      <c r="AW131" s="29">
        <v>36680</v>
      </c>
      <c r="AX131" s="29">
        <v>36460</v>
      </c>
      <c r="AY131" s="29">
        <v>36270</v>
      </c>
      <c r="AZ131" s="29">
        <v>36120</v>
      </c>
      <c r="BA131" s="29">
        <v>36030</v>
      </c>
      <c r="BB131" s="29">
        <v>35990</v>
      </c>
      <c r="BC131" s="29">
        <v>36000</v>
      </c>
      <c r="BD131" s="29">
        <v>36050</v>
      </c>
      <c r="BE131" s="29">
        <v>36130</v>
      </c>
      <c r="BF131" s="29">
        <v>36220</v>
      </c>
      <c r="BG131" s="29">
        <v>36320</v>
      </c>
      <c r="BH131" s="29">
        <v>36430</v>
      </c>
      <c r="BI131" s="29">
        <v>36530</v>
      </c>
      <c r="BJ131" s="29">
        <v>36630</v>
      </c>
      <c r="BK131" s="29">
        <v>36720</v>
      </c>
      <c r="BL131" s="29">
        <v>36810</v>
      </c>
    </row>
    <row r="132" spans="1:64" x14ac:dyDescent="0.2">
      <c r="A132" s="29">
        <v>22</v>
      </c>
      <c r="B132" s="85">
        <v>29400</v>
      </c>
      <c r="C132" s="85">
        <v>28750</v>
      </c>
      <c r="D132" s="85">
        <v>28560</v>
      </c>
      <c r="E132" s="85">
        <v>29170</v>
      </c>
      <c r="F132" s="85">
        <v>30130</v>
      </c>
      <c r="G132" s="85">
        <v>30860</v>
      </c>
      <c r="H132" s="85">
        <v>31510</v>
      </c>
      <c r="I132" s="85">
        <v>32760</v>
      </c>
      <c r="J132" s="85">
        <v>33320</v>
      </c>
      <c r="K132" s="85">
        <v>35180</v>
      </c>
      <c r="L132" s="29">
        <v>35960</v>
      </c>
      <c r="M132" s="29">
        <v>37520</v>
      </c>
      <c r="N132" s="29">
        <v>38460</v>
      </c>
      <c r="O132" s="29">
        <v>37680</v>
      </c>
      <c r="P132" s="29">
        <v>37140</v>
      </c>
      <c r="Q132" s="29">
        <v>36160</v>
      </c>
      <c r="R132" s="29">
        <v>36290</v>
      </c>
      <c r="S132" s="29">
        <v>34860</v>
      </c>
      <c r="T132" s="29">
        <v>33050</v>
      </c>
      <c r="U132" s="29">
        <v>33070</v>
      </c>
      <c r="V132" s="29">
        <v>33550</v>
      </c>
      <c r="W132" s="29">
        <v>33350</v>
      </c>
      <c r="X132" s="29">
        <v>33900</v>
      </c>
      <c r="Y132" s="29">
        <v>35580</v>
      </c>
      <c r="Z132" s="29">
        <v>36900</v>
      </c>
      <c r="AA132" s="29">
        <v>37280</v>
      </c>
      <c r="AB132" s="29">
        <v>37460</v>
      </c>
      <c r="AC132" s="29">
        <v>36790</v>
      </c>
      <c r="AD132" s="29">
        <v>36320</v>
      </c>
      <c r="AE132" s="29">
        <v>36010</v>
      </c>
      <c r="AF132" s="29">
        <v>35310</v>
      </c>
      <c r="AG132" s="29">
        <v>35220</v>
      </c>
      <c r="AH132" s="29">
        <v>35040</v>
      </c>
      <c r="AI132" s="29">
        <v>35480</v>
      </c>
      <c r="AJ132" s="29">
        <v>36090</v>
      </c>
      <c r="AK132" s="29">
        <v>36650</v>
      </c>
      <c r="AL132" s="29">
        <v>37120</v>
      </c>
      <c r="AM132" s="29">
        <v>37490</v>
      </c>
      <c r="AN132" s="29">
        <v>37740</v>
      </c>
      <c r="AO132" s="29">
        <v>37890</v>
      </c>
      <c r="AP132" s="29">
        <v>37960</v>
      </c>
      <c r="AQ132" s="29">
        <v>37970</v>
      </c>
      <c r="AR132" s="29">
        <v>37910</v>
      </c>
      <c r="AS132" s="29">
        <v>37790</v>
      </c>
      <c r="AT132" s="29">
        <v>37630</v>
      </c>
      <c r="AU132" s="29">
        <v>37430</v>
      </c>
      <c r="AV132" s="29">
        <v>37200</v>
      </c>
      <c r="AW132" s="29">
        <v>36960</v>
      </c>
      <c r="AX132" s="29">
        <v>36720</v>
      </c>
      <c r="AY132" s="29">
        <v>36500</v>
      </c>
      <c r="AZ132" s="29">
        <v>36310</v>
      </c>
      <c r="BA132" s="29">
        <v>36170</v>
      </c>
      <c r="BB132" s="29">
        <v>36070</v>
      </c>
      <c r="BC132" s="29">
        <v>36030</v>
      </c>
      <c r="BD132" s="29">
        <v>36040</v>
      </c>
      <c r="BE132" s="29">
        <v>36090</v>
      </c>
      <c r="BF132" s="29">
        <v>36170</v>
      </c>
      <c r="BG132" s="29">
        <v>36260</v>
      </c>
      <c r="BH132" s="29">
        <v>36370</v>
      </c>
      <c r="BI132" s="29">
        <v>36470</v>
      </c>
      <c r="BJ132" s="29">
        <v>36580</v>
      </c>
      <c r="BK132" s="29">
        <v>36680</v>
      </c>
      <c r="BL132" s="29">
        <v>36770</v>
      </c>
    </row>
    <row r="133" spans="1:64" x14ac:dyDescent="0.2">
      <c r="A133" s="29">
        <v>23</v>
      </c>
      <c r="B133" s="85">
        <v>29090</v>
      </c>
      <c r="C133" s="85">
        <v>28510</v>
      </c>
      <c r="D133" s="85">
        <v>28050</v>
      </c>
      <c r="E133" s="85">
        <v>28280</v>
      </c>
      <c r="F133" s="85">
        <v>28950</v>
      </c>
      <c r="G133" s="85">
        <v>29690</v>
      </c>
      <c r="H133" s="85">
        <v>30250</v>
      </c>
      <c r="I133" s="85">
        <v>31220</v>
      </c>
      <c r="J133" s="85">
        <v>33660</v>
      </c>
      <c r="K133" s="85">
        <v>35120</v>
      </c>
      <c r="L133" s="29">
        <v>36870</v>
      </c>
      <c r="M133" s="29">
        <v>37510</v>
      </c>
      <c r="N133" s="29">
        <v>38770</v>
      </c>
      <c r="O133" s="29">
        <v>39400</v>
      </c>
      <c r="P133" s="29">
        <v>38320</v>
      </c>
      <c r="Q133" s="29">
        <v>37470</v>
      </c>
      <c r="R133" s="29">
        <v>36190</v>
      </c>
      <c r="S133" s="29">
        <v>36330</v>
      </c>
      <c r="T133" s="29">
        <v>34890</v>
      </c>
      <c r="U133" s="29">
        <v>33090</v>
      </c>
      <c r="V133" s="29">
        <v>33110</v>
      </c>
      <c r="W133" s="29">
        <v>33590</v>
      </c>
      <c r="X133" s="29">
        <v>33390</v>
      </c>
      <c r="Y133" s="29">
        <v>33930</v>
      </c>
      <c r="Z133" s="29">
        <v>35620</v>
      </c>
      <c r="AA133" s="29">
        <v>36940</v>
      </c>
      <c r="AB133" s="29">
        <v>37320</v>
      </c>
      <c r="AC133" s="29">
        <v>37500</v>
      </c>
      <c r="AD133" s="29">
        <v>36830</v>
      </c>
      <c r="AE133" s="29">
        <v>36360</v>
      </c>
      <c r="AF133" s="29">
        <v>36050</v>
      </c>
      <c r="AG133" s="29">
        <v>35350</v>
      </c>
      <c r="AH133" s="29">
        <v>35260</v>
      </c>
      <c r="AI133" s="29">
        <v>35080</v>
      </c>
      <c r="AJ133" s="29">
        <v>35520</v>
      </c>
      <c r="AK133" s="29">
        <v>36140</v>
      </c>
      <c r="AL133" s="29">
        <v>36690</v>
      </c>
      <c r="AM133" s="29">
        <v>37160</v>
      </c>
      <c r="AN133" s="29">
        <v>37530</v>
      </c>
      <c r="AO133" s="29">
        <v>37780</v>
      </c>
      <c r="AP133" s="29">
        <v>37930</v>
      </c>
      <c r="AQ133" s="29">
        <v>38010</v>
      </c>
      <c r="AR133" s="29">
        <v>38010</v>
      </c>
      <c r="AS133" s="29">
        <v>37950</v>
      </c>
      <c r="AT133" s="29">
        <v>37840</v>
      </c>
      <c r="AU133" s="29">
        <v>37680</v>
      </c>
      <c r="AV133" s="29">
        <v>37480</v>
      </c>
      <c r="AW133" s="29">
        <v>37250</v>
      </c>
      <c r="AX133" s="29">
        <v>37010</v>
      </c>
      <c r="AY133" s="29">
        <v>36770</v>
      </c>
      <c r="AZ133" s="29">
        <v>36550</v>
      </c>
      <c r="BA133" s="29">
        <v>36360</v>
      </c>
      <c r="BB133" s="29">
        <v>36210</v>
      </c>
      <c r="BC133" s="29">
        <v>36120</v>
      </c>
      <c r="BD133" s="29">
        <v>36080</v>
      </c>
      <c r="BE133" s="29">
        <v>36090</v>
      </c>
      <c r="BF133" s="29">
        <v>36140</v>
      </c>
      <c r="BG133" s="29">
        <v>36220</v>
      </c>
      <c r="BH133" s="29">
        <v>36310</v>
      </c>
      <c r="BI133" s="29">
        <v>36420</v>
      </c>
      <c r="BJ133" s="29">
        <v>36520</v>
      </c>
      <c r="BK133" s="29">
        <v>36630</v>
      </c>
      <c r="BL133" s="29">
        <v>36720</v>
      </c>
    </row>
    <row r="134" spans="1:64" x14ac:dyDescent="0.2">
      <c r="A134" s="29">
        <v>24</v>
      </c>
      <c r="B134" s="85">
        <v>27970</v>
      </c>
      <c r="C134" s="85">
        <v>28320</v>
      </c>
      <c r="D134" s="85">
        <v>27860</v>
      </c>
      <c r="E134" s="85">
        <v>27710</v>
      </c>
      <c r="F134" s="85">
        <v>28100</v>
      </c>
      <c r="G134" s="85">
        <v>28460</v>
      </c>
      <c r="H134" s="85">
        <v>28950</v>
      </c>
      <c r="I134" s="85">
        <v>29910</v>
      </c>
      <c r="J134" s="85">
        <v>32280</v>
      </c>
      <c r="K134" s="85">
        <v>35460</v>
      </c>
      <c r="L134" s="29">
        <v>36930</v>
      </c>
      <c r="M134" s="29">
        <v>38470</v>
      </c>
      <c r="N134" s="29">
        <v>38790</v>
      </c>
      <c r="O134" s="29">
        <v>39740</v>
      </c>
      <c r="P134" s="29">
        <v>40060</v>
      </c>
      <c r="Q134" s="29">
        <v>38670</v>
      </c>
      <c r="R134" s="29">
        <v>37510</v>
      </c>
      <c r="S134" s="29">
        <v>36230</v>
      </c>
      <c r="T134" s="29">
        <v>36370</v>
      </c>
      <c r="U134" s="29">
        <v>34930</v>
      </c>
      <c r="V134" s="29">
        <v>33130</v>
      </c>
      <c r="W134" s="29">
        <v>33150</v>
      </c>
      <c r="X134" s="29">
        <v>33640</v>
      </c>
      <c r="Y134" s="29">
        <v>33430</v>
      </c>
      <c r="Z134" s="29">
        <v>33980</v>
      </c>
      <c r="AA134" s="29">
        <v>35660</v>
      </c>
      <c r="AB134" s="29">
        <v>36980</v>
      </c>
      <c r="AC134" s="29">
        <v>37360</v>
      </c>
      <c r="AD134" s="29">
        <v>37550</v>
      </c>
      <c r="AE134" s="29">
        <v>36880</v>
      </c>
      <c r="AF134" s="29">
        <v>36410</v>
      </c>
      <c r="AG134" s="29">
        <v>36100</v>
      </c>
      <c r="AH134" s="29">
        <v>35390</v>
      </c>
      <c r="AI134" s="29">
        <v>35310</v>
      </c>
      <c r="AJ134" s="29">
        <v>35130</v>
      </c>
      <c r="AK134" s="29">
        <v>35570</v>
      </c>
      <c r="AL134" s="29">
        <v>36180</v>
      </c>
      <c r="AM134" s="29">
        <v>36740</v>
      </c>
      <c r="AN134" s="29">
        <v>37210</v>
      </c>
      <c r="AO134" s="29">
        <v>37580</v>
      </c>
      <c r="AP134" s="29">
        <v>37830</v>
      </c>
      <c r="AQ134" s="29">
        <v>37980</v>
      </c>
      <c r="AR134" s="29">
        <v>38060</v>
      </c>
      <c r="AS134" s="29">
        <v>38060</v>
      </c>
      <c r="AT134" s="29">
        <v>38000</v>
      </c>
      <c r="AU134" s="29">
        <v>37890</v>
      </c>
      <c r="AV134" s="29">
        <v>37730</v>
      </c>
      <c r="AW134" s="29">
        <v>37530</v>
      </c>
      <c r="AX134" s="29">
        <v>37300</v>
      </c>
      <c r="AY134" s="29">
        <v>37060</v>
      </c>
      <c r="AZ134" s="29">
        <v>36820</v>
      </c>
      <c r="BA134" s="29">
        <v>36600</v>
      </c>
      <c r="BB134" s="29">
        <v>36410</v>
      </c>
      <c r="BC134" s="29">
        <v>36270</v>
      </c>
      <c r="BD134" s="29">
        <v>36170</v>
      </c>
      <c r="BE134" s="29">
        <v>36140</v>
      </c>
      <c r="BF134" s="29">
        <v>36140</v>
      </c>
      <c r="BG134" s="29">
        <v>36190</v>
      </c>
      <c r="BH134" s="29">
        <v>36270</v>
      </c>
      <c r="BI134" s="29">
        <v>36370</v>
      </c>
      <c r="BJ134" s="29">
        <v>36470</v>
      </c>
      <c r="BK134" s="29">
        <v>36580</v>
      </c>
      <c r="BL134" s="29">
        <v>36680</v>
      </c>
    </row>
    <row r="135" spans="1:64" x14ac:dyDescent="0.2">
      <c r="A135" s="29">
        <v>25</v>
      </c>
      <c r="B135" s="85">
        <v>26850</v>
      </c>
      <c r="C135" s="85">
        <v>27330</v>
      </c>
      <c r="D135" s="85">
        <v>27690</v>
      </c>
      <c r="E135" s="85">
        <v>27550</v>
      </c>
      <c r="F135" s="85">
        <v>27400</v>
      </c>
      <c r="G135" s="85">
        <v>27490</v>
      </c>
      <c r="H135" s="85">
        <v>27780</v>
      </c>
      <c r="I135" s="85">
        <v>28550</v>
      </c>
      <c r="J135" s="85">
        <v>30920</v>
      </c>
      <c r="K135" s="85">
        <v>33930</v>
      </c>
      <c r="L135" s="29">
        <v>37210</v>
      </c>
      <c r="M135" s="29">
        <v>38460</v>
      </c>
      <c r="N135" s="29">
        <v>39700</v>
      </c>
      <c r="O135" s="29">
        <v>39730</v>
      </c>
      <c r="P135" s="29">
        <v>40380</v>
      </c>
      <c r="Q135" s="29">
        <v>40410</v>
      </c>
      <c r="R135" s="29">
        <v>38720</v>
      </c>
      <c r="S135" s="29">
        <v>37570</v>
      </c>
      <c r="T135" s="29">
        <v>36290</v>
      </c>
      <c r="U135" s="29">
        <v>36420</v>
      </c>
      <c r="V135" s="29">
        <v>34990</v>
      </c>
      <c r="W135" s="29">
        <v>33190</v>
      </c>
      <c r="X135" s="29">
        <v>33210</v>
      </c>
      <c r="Y135" s="29">
        <v>33690</v>
      </c>
      <c r="Z135" s="29">
        <v>33490</v>
      </c>
      <c r="AA135" s="29">
        <v>34040</v>
      </c>
      <c r="AB135" s="29">
        <v>35720</v>
      </c>
      <c r="AC135" s="29">
        <v>37040</v>
      </c>
      <c r="AD135" s="29">
        <v>37420</v>
      </c>
      <c r="AE135" s="29">
        <v>37610</v>
      </c>
      <c r="AF135" s="29">
        <v>36940</v>
      </c>
      <c r="AG135" s="29">
        <v>36470</v>
      </c>
      <c r="AH135" s="29">
        <v>36160</v>
      </c>
      <c r="AI135" s="29">
        <v>35460</v>
      </c>
      <c r="AJ135" s="29">
        <v>35370</v>
      </c>
      <c r="AK135" s="29">
        <v>35190</v>
      </c>
      <c r="AL135" s="29">
        <v>35630</v>
      </c>
      <c r="AM135" s="29">
        <v>36250</v>
      </c>
      <c r="AN135" s="29">
        <v>36800</v>
      </c>
      <c r="AO135" s="29">
        <v>37270</v>
      </c>
      <c r="AP135" s="29">
        <v>37640</v>
      </c>
      <c r="AQ135" s="29">
        <v>37890</v>
      </c>
      <c r="AR135" s="29">
        <v>38040</v>
      </c>
      <c r="AS135" s="29">
        <v>38120</v>
      </c>
      <c r="AT135" s="29">
        <v>38120</v>
      </c>
      <c r="AU135" s="29">
        <v>38070</v>
      </c>
      <c r="AV135" s="29">
        <v>37950</v>
      </c>
      <c r="AW135" s="29">
        <v>37790</v>
      </c>
      <c r="AX135" s="29">
        <v>37590</v>
      </c>
      <c r="AY135" s="29">
        <v>37360</v>
      </c>
      <c r="AZ135" s="29">
        <v>37120</v>
      </c>
      <c r="BA135" s="29">
        <v>36880</v>
      </c>
      <c r="BB135" s="29">
        <v>36660</v>
      </c>
      <c r="BC135" s="29">
        <v>36480</v>
      </c>
      <c r="BD135" s="29">
        <v>36330</v>
      </c>
      <c r="BE135" s="29">
        <v>36240</v>
      </c>
      <c r="BF135" s="29">
        <v>36200</v>
      </c>
      <c r="BG135" s="29">
        <v>36210</v>
      </c>
      <c r="BH135" s="29">
        <v>36260</v>
      </c>
      <c r="BI135" s="29">
        <v>36340</v>
      </c>
      <c r="BJ135" s="29">
        <v>36430</v>
      </c>
      <c r="BK135" s="29">
        <v>36540</v>
      </c>
      <c r="BL135" s="29">
        <v>36640</v>
      </c>
    </row>
    <row r="136" spans="1:64" x14ac:dyDescent="0.2">
      <c r="A136" s="29">
        <v>26</v>
      </c>
      <c r="B136" s="85">
        <v>25810</v>
      </c>
      <c r="C136" s="85">
        <v>26520</v>
      </c>
      <c r="D136" s="85">
        <v>26680</v>
      </c>
      <c r="E136" s="85">
        <v>27300</v>
      </c>
      <c r="F136" s="85">
        <v>27360</v>
      </c>
      <c r="G136" s="85">
        <v>26870</v>
      </c>
      <c r="H136" s="85">
        <v>26900</v>
      </c>
      <c r="I136" s="85">
        <v>27500</v>
      </c>
      <c r="J136" s="85">
        <v>29460</v>
      </c>
      <c r="K136" s="85">
        <v>32350</v>
      </c>
      <c r="L136" s="29">
        <v>35620</v>
      </c>
      <c r="M136" s="29">
        <v>38570</v>
      </c>
      <c r="N136" s="29">
        <v>39560</v>
      </c>
      <c r="O136" s="29">
        <v>40550</v>
      </c>
      <c r="P136" s="29">
        <v>40320</v>
      </c>
      <c r="Q136" s="29">
        <v>40710</v>
      </c>
      <c r="R136" s="29">
        <v>40470</v>
      </c>
      <c r="S136" s="29">
        <v>38780</v>
      </c>
      <c r="T136" s="29">
        <v>37630</v>
      </c>
      <c r="U136" s="29">
        <v>36360</v>
      </c>
      <c r="V136" s="29">
        <v>36490</v>
      </c>
      <c r="W136" s="29">
        <v>35060</v>
      </c>
      <c r="X136" s="29">
        <v>33260</v>
      </c>
      <c r="Y136" s="29">
        <v>33280</v>
      </c>
      <c r="Z136" s="29">
        <v>33770</v>
      </c>
      <c r="AA136" s="29">
        <v>33560</v>
      </c>
      <c r="AB136" s="29">
        <v>34110</v>
      </c>
      <c r="AC136" s="29">
        <v>35790</v>
      </c>
      <c r="AD136" s="29">
        <v>37110</v>
      </c>
      <c r="AE136" s="29">
        <v>37490</v>
      </c>
      <c r="AF136" s="29">
        <v>37680</v>
      </c>
      <c r="AG136" s="29">
        <v>37010</v>
      </c>
      <c r="AH136" s="29">
        <v>36540</v>
      </c>
      <c r="AI136" s="29">
        <v>36230</v>
      </c>
      <c r="AJ136" s="29">
        <v>35530</v>
      </c>
      <c r="AK136" s="29">
        <v>35450</v>
      </c>
      <c r="AL136" s="29">
        <v>35260</v>
      </c>
      <c r="AM136" s="29">
        <v>35710</v>
      </c>
      <c r="AN136" s="29">
        <v>36320</v>
      </c>
      <c r="AO136" s="29">
        <v>36870</v>
      </c>
      <c r="AP136" s="29">
        <v>37350</v>
      </c>
      <c r="AQ136" s="29">
        <v>37720</v>
      </c>
      <c r="AR136" s="29">
        <v>37970</v>
      </c>
      <c r="AS136" s="29">
        <v>38120</v>
      </c>
      <c r="AT136" s="29">
        <v>38200</v>
      </c>
      <c r="AU136" s="29">
        <v>38200</v>
      </c>
      <c r="AV136" s="29">
        <v>38140</v>
      </c>
      <c r="AW136" s="29">
        <v>38030</v>
      </c>
      <c r="AX136" s="29">
        <v>37870</v>
      </c>
      <c r="AY136" s="29">
        <v>37670</v>
      </c>
      <c r="AZ136" s="29">
        <v>37440</v>
      </c>
      <c r="BA136" s="29">
        <v>37200</v>
      </c>
      <c r="BB136" s="29">
        <v>36960</v>
      </c>
      <c r="BC136" s="29">
        <v>36740</v>
      </c>
      <c r="BD136" s="29">
        <v>36560</v>
      </c>
      <c r="BE136" s="29">
        <v>36410</v>
      </c>
      <c r="BF136" s="29">
        <v>36320</v>
      </c>
      <c r="BG136" s="29">
        <v>36280</v>
      </c>
      <c r="BH136" s="29">
        <v>36290</v>
      </c>
      <c r="BI136" s="29">
        <v>36340</v>
      </c>
      <c r="BJ136" s="29">
        <v>36420</v>
      </c>
      <c r="BK136" s="29">
        <v>36510</v>
      </c>
      <c r="BL136" s="29">
        <v>36620</v>
      </c>
    </row>
    <row r="137" spans="1:64" x14ac:dyDescent="0.2">
      <c r="A137" s="29">
        <v>27</v>
      </c>
      <c r="B137" s="85">
        <v>24950</v>
      </c>
      <c r="C137" s="85">
        <v>25500</v>
      </c>
      <c r="D137" s="85">
        <v>26180</v>
      </c>
      <c r="E137" s="85">
        <v>26500</v>
      </c>
      <c r="F137" s="85">
        <v>27160</v>
      </c>
      <c r="G137" s="85">
        <v>26830</v>
      </c>
      <c r="H137" s="85">
        <v>26330</v>
      </c>
      <c r="I137" s="85">
        <v>26710</v>
      </c>
      <c r="J137" s="85">
        <v>28340</v>
      </c>
      <c r="K137" s="85">
        <v>30790</v>
      </c>
      <c r="L137" s="29">
        <v>33750</v>
      </c>
      <c r="M137" s="29">
        <v>36870</v>
      </c>
      <c r="N137" s="29">
        <v>39590</v>
      </c>
      <c r="O137" s="29">
        <v>40340</v>
      </c>
      <c r="P137" s="29">
        <v>41100</v>
      </c>
      <c r="Q137" s="29">
        <v>40640</v>
      </c>
      <c r="R137" s="29">
        <v>40800</v>
      </c>
      <c r="S137" s="29">
        <v>40570</v>
      </c>
      <c r="T137" s="29">
        <v>38880</v>
      </c>
      <c r="U137" s="29">
        <v>37730</v>
      </c>
      <c r="V137" s="29">
        <v>36450</v>
      </c>
      <c r="W137" s="29">
        <v>36590</v>
      </c>
      <c r="X137" s="29">
        <v>35160</v>
      </c>
      <c r="Y137" s="29">
        <v>33360</v>
      </c>
      <c r="Z137" s="29">
        <v>33380</v>
      </c>
      <c r="AA137" s="29">
        <v>33870</v>
      </c>
      <c r="AB137" s="29">
        <v>33660</v>
      </c>
      <c r="AC137" s="29">
        <v>34210</v>
      </c>
      <c r="AD137" s="29">
        <v>35890</v>
      </c>
      <c r="AE137" s="29">
        <v>37210</v>
      </c>
      <c r="AF137" s="29">
        <v>37590</v>
      </c>
      <c r="AG137" s="29">
        <v>37780</v>
      </c>
      <c r="AH137" s="29">
        <v>37110</v>
      </c>
      <c r="AI137" s="29">
        <v>36640</v>
      </c>
      <c r="AJ137" s="29">
        <v>36330</v>
      </c>
      <c r="AK137" s="29">
        <v>35630</v>
      </c>
      <c r="AL137" s="29">
        <v>35550</v>
      </c>
      <c r="AM137" s="29">
        <v>35370</v>
      </c>
      <c r="AN137" s="29">
        <v>35810</v>
      </c>
      <c r="AO137" s="29">
        <v>36420</v>
      </c>
      <c r="AP137" s="29">
        <v>36980</v>
      </c>
      <c r="AQ137" s="29">
        <v>37450</v>
      </c>
      <c r="AR137" s="29">
        <v>37820</v>
      </c>
      <c r="AS137" s="29">
        <v>38070</v>
      </c>
      <c r="AT137" s="29">
        <v>38220</v>
      </c>
      <c r="AU137" s="29">
        <v>38300</v>
      </c>
      <c r="AV137" s="29">
        <v>38310</v>
      </c>
      <c r="AW137" s="29">
        <v>38250</v>
      </c>
      <c r="AX137" s="29">
        <v>38130</v>
      </c>
      <c r="AY137" s="29">
        <v>37970</v>
      </c>
      <c r="AZ137" s="29">
        <v>37770</v>
      </c>
      <c r="BA137" s="29">
        <v>37550</v>
      </c>
      <c r="BB137" s="29">
        <v>37310</v>
      </c>
      <c r="BC137" s="29">
        <v>37070</v>
      </c>
      <c r="BD137" s="29">
        <v>36850</v>
      </c>
      <c r="BE137" s="29">
        <v>36660</v>
      </c>
      <c r="BF137" s="29">
        <v>36520</v>
      </c>
      <c r="BG137" s="29">
        <v>36430</v>
      </c>
      <c r="BH137" s="29">
        <v>36390</v>
      </c>
      <c r="BI137" s="29">
        <v>36400</v>
      </c>
      <c r="BJ137" s="29">
        <v>36450</v>
      </c>
      <c r="BK137" s="29">
        <v>36530</v>
      </c>
      <c r="BL137" s="29">
        <v>36620</v>
      </c>
    </row>
    <row r="138" spans="1:64" x14ac:dyDescent="0.2">
      <c r="A138" s="29">
        <v>28</v>
      </c>
      <c r="B138" s="85">
        <v>24310</v>
      </c>
      <c r="C138" s="85">
        <v>25050</v>
      </c>
      <c r="D138" s="85">
        <v>25420</v>
      </c>
      <c r="E138" s="85">
        <v>26210</v>
      </c>
      <c r="F138" s="85">
        <v>26400</v>
      </c>
      <c r="G138" s="85">
        <v>26740</v>
      </c>
      <c r="H138" s="85">
        <v>26420</v>
      </c>
      <c r="I138" s="85">
        <v>26240</v>
      </c>
      <c r="J138" s="85">
        <v>27610</v>
      </c>
      <c r="K138" s="85">
        <v>29680</v>
      </c>
      <c r="L138" s="29">
        <v>32170</v>
      </c>
      <c r="M138" s="29">
        <v>34970</v>
      </c>
      <c r="N138" s="29">
        <v>37890</v>
      </c>
      <c r="O138" s="29">
        <v>40420</v>
      </c>
      <c r="P138" s="29">
        <v>40980</v>
      </c>
      <c r="Q138" s="29">
        <v>41530</v>
      </c>
      <c r="R138" s="29">
        <v>40880</v>
      </c>
      <c r="S138" s="29">
        <v>41040</v>
      </c>
      <c r="T138" s="29">
        <v>40810</v>
      </c>
      <c r="U138" s="29">
        <v>39120</v>
      </c>
      <c r="V138" s="29">
        <v>37980</v>
      </c>
      <c r="W138" s="29">
        <v>36700</v>
      </c>
      <c r="X138" s="29">
        <v>36840</v>
      </c>
      <c r="Y138" s="29">
        <v>35410</v>
      </c>
      <c r="Z138" s="29">
        <v>33610</v>
      </c>
      <c r="AA138" s="29">
        <v>33630</v>
      </c>
      <c r="AB138" s="29">
        <v>34120</v>
      </c>
      <c r="AC138" s="29">
        <v>33910</v>
      </c>
      <c r="AD138" s="29">
        <v>34460</v>
      </c>
      <c r="AE138" s="29">
        <v>36140</v>
      </c>
      <c r="AF138" s="29">
        <v>37460</v>
      </c>
      <c r="AG138" s="29">
        <v>37840</v>
      </c>
      <c r="AH138" s="29">
        <v>38030</v>
      </c>
      <c r="AI138" s="29">
        <v>37360</v>
      </c>
      <c r="AJ138" s="29">
        <v>36890</v>
      </c>
      <c r="AK138" s="29">
        <v>36580</v>
      </c>
      <c r="AL138" s="29">
        <v>35890</v>
      </c>
      <c r="AM138" s="29">
        <v>35800</v>
      </c>
      <c r="AN138" s="29">
        <v>35620</v>
      </c>
      <c r="AO138" s="29">
        <v>36060</v>
      </c>
      <c r="AP138" s="29">
        <v>36680</v>
      </c>
      <c r="AQ138" s="29">
        <v>37230</v>
      </c>
      <c r="AR138" s="29">
        <v>37700</v>
      </c>
      <c r="AS138" s="29">
        <v>38080</v>
      </c>
      <c r="AT138" s="29">
        <v>38330</v>
      </c>
      <c r="AU138" s="29">
        <v>38480</v>
      </c>
      <c r="AV138" s="29">
        <v>38560</v>
      </c>
      <c r="AW138" s="29">
        <v>38560</v>
      </c>
      <c r="AX138" s="29">
        <v>38500</v>
      </c>
      <c r="AY138" s="29">
        <v>38390</v>
      </c>
      <c r="AZ138" s="29">
        <v>38230</v>
      </c>
      <c r="BA138" s="29">
        <v>38030</v>
      </c>
      <c r="BB138" s="29">
        <v>37800</v>
      </c>
      <c r="BC138" s="29">
        <v>37560</v>
      </c>
      <c r="BD138" s="29">
        <v>37330</v>
      </c>
      <c r="BE138" s="29">
        <v>37110</v>
      </c>
      <c r="BF138" s="29">
        <v>36920</v>
      </c>
      <c r="BG138" s="29">
        <v>36780</v>
      </c>
      <c r="BH138" s="29">
        <v>36690</v>
      </c>
      <c r="BI138" s="29">
        <v>36650</v>
      </c>
      <c r="BJ138" s="29">
        <v>36660</v>
      </c>
      <c r="BK138" s="29">
        <v>36710</v>
      </c>
      <c r="BL138" s="29">
        <v>36790</v>
      </c>
    </row>
    <row r="139" spans="1:64" x14ac:dyDescent="0.2">
      <c r="A139" s="29">
        <v>29</v>
      </c>
      <c r="B139" s="85">
        <v>24860</v>
      </c>
      <c r="C139" s="85">
        <v>24580</v>
      </c>
      <c r="D139" s="85">
        <v>25170</v>
      </c>
      <c r="E139" s="85">
        <v>25650</v>
      </c>
      <c r="F139" s="85">
        <v>26170</v>
      </c>
      <c r="G139" s="85">
        <v>26150</v>
      </c>
      <c r="H139" s="85">
        <v>26520</v>
      </c>
      <c r="I139" s="85">
        <v>26330</v>
      </c>
      <c r="J139" s="85">
        <v>27060</v>
      </c>
      <c r="K139" s="85">
        <v>28820</v>
      </c>
      <c r="L139" s="29">
        <v>31080</v>
      </c>
      <c r="M139" s="29">
        <v>33340</v>
      </c>
      <c r="N139" s="29">
        <v>35980</v>
      </c>
      <c r="O139" s="29">
        <v>38750</v>
      </c>
      <c r="P139" s="29">
        <v>41110</v>
      </c>
      <c r="Q139" s="29">
        <v>41520</v>
      </c>
      <c r="R139" s="29">
        <v>41920</v>
      </c>
      <c r="S139" s="29">
        <v>41270</v>
      </c>
      <c r="T139" s="29">
        <v>41430</v>
      </c>
      <c r="U139" s="29">
        <v>41200</v>
      </c>
      <c r="V139" s="29">
        <v>39510</v>
      </c>
      <c r="W139" s="29">
        <v>38360</v>
      </c>
      <c r="X139" s="29">
        <v>37090</v>
      </c>
      <c r="Y139" s="29">
        <v>37230</v>
      </c>
      <c r="Z139" s="29">
        <v>35800</v>
      </c>
      <c r="AA139" s="29">
        <v>34000</v>
      </c>
      <c r="AB139" s="29">
        <v>34020</v>
      </c>
      <c r="AC139" s="29">
        <v>34510</v>
      </c>
      <c r="AD139" s="29">
        <v>34310</v>
      </c>
      <c r="AE139" s="29">
        <v>34850</v>
      </c>
      <c r="AF139" s="29">
        <v>36530</v>
      </c>
      <c r="AG139" s="29">
        <v>37850</v>
      </c>
      <c r="AH139" s="29">
        <v>38230</v>
      </c>
      <c r="AI139" s="29">
        <v>38420</v>
      </c>
      <c r="AJ139" s="29">
        <v>37750</v>
      </c>
      <c r="AK139" s="29">
        <v>37290</v>
      </c>
      <c r="AL139" s="29">
        <v>36980</v>
      </c>
      <c r="AM139" s="29">
        <v>36280</v>
      </c>
      <c r="AN139" s="29">
        <v>36200</v>
      </c>
      <c r="AO139" s="29">
        <v>36020</v>
      </c>
      <c r="AP139" s="29">
        <v>36460</v>
      </c>
      <c r="AQ139" s="29">
        <v>37070</v>
      </c>
      <c r="AR139" s="29">
        <v>37630</v>
      </c>
      <c r="AS139" s="29">
        <v>38100</v>
      </c>
      <c r="AT139" s="29">
        <v>38470</v>
      </c>
      <c r="AU139" s="29">
        <v>38720</v>
      </c>
      <c r="AV139" s="29">
        <v>38870</v>
      </c>
      <c r="AW139" s="29">
        <v>38950</v>
      </c>
      <c r="AX139" s="29">
        <v>38960</v>
      </c>
      <c r="AY139" s="29">
        <v>38900</v>
      </c>
      <c r="AZ139" s="29">
        <v>38790</v>
      </c>
      <c r="BA139" s="29">
        <v>38630</v>
      </c>
      <c r="BB139" s="29">
        <v>38430</v>
      </c>
      <c r="BC139" s="29">
        <v>38200</v>
      </c>
      <c r="BD139" s="29">
        <v>37960</v>
      </c>
      <c r="BE139" s="29">
        <v>37730</v>
      </c>
      <c r="BF139" s="29">
        <v>37510</v>
      </c>
      <c r="BG139" s="29">
        <v>37320</v>
      </c>
      <c r="BH139" s="29">
        <v>37180</v>
      </c>
      <c r="BI139" s="29">
        <v>37080</v>
      </c>
      <c r="BJ139" s="29">
        <v>37050</v>
      </c>
      <c r="BK139" s="29">
        <v>37060</v>
      </c>
      <c r="BL139" s="29">
        <v>37110</v>
      </c>
    </row>
    <row r="140" spans="1:64" x14ac:dyDescent="0.2">
      <c r="A140" s="29">
        <v>30</v>
      </c>
      <c r="B140" s="85">
        <v>25180</v>
      </c>
      <c r="C140" s="85">
        <v>25160</v>
      </c>
      <c r="D140" s="85">
        <v>24780</v>
      </c>
      <c r="E140" s="85">
        <v>25430</v>
      </c>
      <c r="F140" s="85">
        <v>25770</v>
      </c>
      <c r="G140" s="85">
        <v>26150</v>
      </c>
      <c r="H140" s="85">
        <v>26000</v>
      </c>
      <c r="I140" s="85">
        <v>26530</v>
      </c>
      <c r="J140" s="85">
        <v>27170</v>
      </c>
      <c r="K140" s="85">
        <v>28170</v>
      </c>
      <c r="L140" s="29">
        <v>30100</v>
      </c>
      <c r="M140" s="29">
        <v>32180</v>
      </c>
      <c r="N140" s="29">
        <v>34290</v>
      </c>
      <c r="O140" s="29">
        <v>36790</v>
      </c>
      <c r="P140" s="29">
        <v>39400</v>
      </c>
      <c r="Q140" s="29">
        <v>41620</v>
      </c>
      <c r="R140" s="29">
        <v>41880</v>
      </c>
      <c r="S140" s="29">
        <v>42280</v>
      </c>
      <c r="T140" s="29">
        <v>41630</v>
      </c>
      <c r="U140" s="29">
        <v>41790</v>
      </c>
      <c r="V140" s="29">
        <v>41560</v>
      </c>
      <c r="W140" s="29">
        <v>39870</v>
      </c>
      <c r="X140" s="29">
        <v>38730</v>
      </c>
      <c r="Y140" s="29">
        <v>37450</v>
      </c>
      <c r="Z140" s="29">
        <v>37590</v>
      </c>
      <c r="AA140" s="29">
        <v>36160</v>
      </c>
      <c r="AB140" s="29">
        <v>34370</v>
      </c>
      <c r="AC140" s="29">
        <v>34390</v>
      </c>
      <c r="AD140" s="29">
        <v>34880</v>
      </c>
      <c r="AE140" s="29">
        <v>34670</v>
      </c>
      <c r="AF140" s="29">
        <v>35220</v>
      </c>
      <c r="AG140" s="29">
        <v>36900</v>
      </c>
      <c r="AH140" s="29">
        <v>38220</v>
      </c>
      <c r="AI140" s="29">
        <v>38600</v>
      </c>
      <c r="AJ140" s="29">
        <v>38790</v>
      </c>
      <c r="AK140" s="29">
        <v>38120</v>
      </c>
      <c r="AL140" s="29">
        <v>37660</v>
      </c>
      <c r="AM140" s="29">
        <v>37350</v>
      </c>
      <c r="AN140" s="29">
        <v>36650</v>
      </c>
      <c r="AO140" s="29">
        <v>36570</v>
      </c>
      <c r="AP140" s="29">
        <v>36390</v>
      </c>
      <c r="AQ140" s="29">
        <v>36830</v>
      </c>
      <c r="AR140" s="29">
        <v>37440</v>
      </c>
      <c r="AS140" s="29">
        <v>38000</v>
      </c>
      <c r="AT140" s="29">
        <v>38470</v>
      </c>
      <c r="AU140" s="29">
        <v>38840</v>
      </c>
      <c r="AV140" s="29">
        <v>39090</v>
      </c>
      <c r="AW140" s="29">
        <v>39240</v>
      </c>
      <c r="AX140" s="29">
        <v>39320</v>
      </c>
      <c r="AY140" s="29">
        <v>39330</v>
      </c>
      <c r="AZ140" s="29">
        <v>39270</v>
      </c>
      <c r="BA140" s="29">
        <v>39160</v>
      </c>
      <c r="BB140" s="29">
        <v>39000</v>
      </c>
      <c r="BC140" s="29">
        <v>38800</v>
      </c>
      <c r="BD140" s="29">
        <v>38570</v>
      </c>
      <c r="BE140" s="29">
        <v>38340</v>
      </c>
      <c r="BF140" s="29">
        <v>38100</v>
      </c>
      <c r="BG140" s="29">
        <v>37880</v>
      </c>
      <c r="BH140" s="29">
        <v>37690</v>
      </c>
      <c r="BI140" s="29">
        <v>37550</v>
      </c>
      <c r="BJ140" s="29">
        <v>37460</v>
      </c>
      <c r="BK140" s="29">
        <v>37420</v>
      </c>
      <c r="BL140" s="29">
        <v>37430</v>
      </c>
    </row>
    <row r="141" spans="1:64" x14ac:dyDescent="0.2">
      <c r="A141" s="29">
        <v>31</v>
      </c>
      <c r="B141" s="85">
        <v>26120</v>
      </c>
      <c r="C141" s="85">
        <v>25420</v>
      </c>
      <c r="D141" s="85">
        <v>25480</v>
      </c>
      <c r="E141" s="85">
        <v>25060</v>
      </c>
      <c r="F141" s="85">
        <v>25520</v>
      </c>
      <c r="G141" s="85">
        <v>25770</v>
      </c>
      <c r="H141" s="85">
        <v>26110</v>
      </c>
      <c r="I141" s="85">
        <v>26060</v>
      </c>
      <c r="J141" s="85">
        <v>27310</v>
      </c>
      <c r="K141" s="85">
        <v>28130</v>
      </c>
      <c r="L141" s="29">
        <v>29220</v>
      </c>
      <c r="M141" s="29">
        <v>31050</v>
      </c>
      <c r="N141" s="29">
        <v>33000</v>
      </c>
      <c r="O141" s="29">
        <v>34970</v>
      </c>
      <c r="P141" s="29">
        <v>37330</v>
      </c>
      <c r="Q141" s="29">
        <v>39810</v>
      </c>
      <c r="R141" s="29">
        <v>41890</v>
      </c>
      <c r="S141" s="29">
        <v>42150</v>
      </c>
      <c r="T141" s="29">
        <v>42550</v>
      </c>
      <c r="U141" s="29">
        <v>41900</v>
      </c>
      <c r="V141" s="29">
        <v>42060</v>
      </c>
      <c r="W141" s="29">
        <v>41830</v>
      </c>
      <c r="X141" s="29">
        <v>40150</v>
      </c>
      <c r="Y141" s="29">
        <v>39010</v>
      </c>
      <c r="Z141" s="29">
        <v>37730</v>
      </c>
      <c r="AA141" s="29">
        <v>37870</v>
      </c>
      <c r="AB141" s="29">
        <v>36450</v>
      </c>
      <c r="AC141" s="29">
        <v>34650</v>
      </c>
      <c r="AD141" s="29">
        <v>34670</v>
      </c>
      <c r="AE141" s="29">
        <v>35160</v>
      </c>
      <c r="AF141" s="29">
        <v>34960</v>
      </c>
      <c r="AG141" s="29">
        <v>35510</v>
      </c>
      <c r="AH141" s="29">
        <v>37190</v>
      </c>
      <c r="AI141" s="29">
        <v>38500</v>
      </c>
      <c r="AJ141" s="29">
        <v>38880</v>
      </c>
      <c r="AK141" s="29">
        <v>39070</v>
      </c>
      <c r="AL141" s="29">
        <v>38410</v>
      </c>
      <c r="AM141" s="29">
        <v>37940</v>
      </c>
      <c r="AN141" s="29">
        <v>37630</v>
      </c>
      <c r="AO141" s="29">
        <v>36940</v>
      </c>
      <c r="AP141" s="29">
        <v>36850</v>
      </c>
      <c r="AQ141" s="29">
        <v>36670</v>
      </c>
      <c r="AR141" s="29">
        <v>37120</v>
      </c>
      <c r="AS141" s="29">
        <v>37730</v>
      </c>
      <c r="AT141" s="29">
        <v>38280</v>
      </c>
      <c r="AU141" s="29">
        <v>38760</v>
      </c>
      <c r="AV141" s="29">
        <v>39130</v>
      </c>
      <c r="AW141" s="29">
        <v>39380</v>
      </c>
      <c r="AX141" s="29">
        <v>39530</v>
      </c>
      <c r="AY141" s="29">
        <v>39610</v>
      </c>
      <c r="AZ141" s="29">
        <v>39620</v>
      </c>
      <c r="BA141" s="29">
        <v>39560</v>
      </c>
      <c r="BB141" s="29">
        <v>39450</v>
      </c>
      <c r="BC141" s="29">
        <v>39290</v>
      </c>
      <c r="BD141" s="29">
        <v>39090</v>
      </c>
      <c r="BE141" s="29">
        <v>38860</v>
      </c>
      <c r="BF141" s="29">
        <v>38630</v>
      </c>
      <c r="BG141" s="29">
        <v>38390</v>
      </c>
      <c r="BH141" s="29">
        <v>38170</v>
      </c>
      <c r="BI141" s="29">
        <v>37980</v>
      </c>
      <c r="BJ141" s="29">
        <v>37840</v>
      </c>
      <c r="BK141" s="29">
        <v>37750</v>
      </c>
      <c r="BL141" s="29">
        <v>37710</v>
      </c>
    </row>
    <row r="142" spans="1:64" x14ac:dyDescent="0.2">
      <c r="A142" s="29">
        <v>32</v>
      </c>
      <c r="B142" s="85">
        <v>27080</v>
      </c>
      <c r="C142" s="85">
        <v>26350</v>
      </c>
      <c r="D142" s="85">
        <v>25550</v>
      </c>
      <c r="E142" s="85">
        <v>25630</v>
      </c>
      <c r="F142" s="85">
        <v>25140</v>
      </c>
      <c r="G142" s="85">
        <v>25470</v>
      </c>
      <c r="H142" s="85">
        <v>25610</v>
      </c>
      <c r="I142" s="85">
        <v>26030</v>
      </c>
      <c r="J142" s="85">
        <v>26580</v>
      </c>
      <c r="K142" s="85">
        <v>28060</v>
      </c>
      <c r="L142" s="29">
        <v>29030</v>
      </c>
      <c r="M142" s="29">
        <v>29940</v>
      </c>
      <c r="N142" s="29">
        <v>31660</v>
      </c>
      <c r="O142" s="29">
        <v>33490</v>
      </c>
      <c r="P142" s="29">
        <v>35360</v>
      </c>
      <c r="Q142" s="29">
        <v>37600</v>
      </c>
      <c r="R142" s="29">
        <v>39970</v>
      </c>
      <c r="S142" s="29">
        <v>42050</v>
      </c>
      <c r="T142" s="29">
        <v>42310</v>
      </c>
      <c r="U142" s="29">
        <v>42710</v>
      </c>
      <c r="V142" s="29">
        <v>42060</v>
      </c>
      <c r="W142" s="29">
        <v>42220</v>
      </c>
      <c r="X142" s="29">
        <v>41990</v>
      </c>
      <c r="Y142" s="29">
        <v>40310</v>
      </c>
      <c r="Z142" s="29">
        <v>39170</v>
      </c>
      <c r="AA142" s="29">
        <v>37900</v>
      </c>
      <c r="AB142" s="29">
        <v>38030</v>
      </c>
      <c r="AC142" s="29">
        <v>36610</v>
      </c>
      <c r="AD142" s="29">
        <v>34810</v>
      </c>
      <c r="AE142" s="29">
        <v>34840</v>
      </c>
      <c r="AF142" s="29">
        <v>35320</v>
      </c>
      <c r="AG142" s="29">
        <v>35120</v>
      </c>
      <c r="AH142" s="29">
        <v>35670</v>
      </c>
      <c r="AI142" s="29">
        <v>37350</v>
      </c>
      <c r="AJ142" s="29">
        <v>38670</v>
      </c>
      <c r="AK142" s="29">
        <v>39050</v>
      </c>
      <c r="AL142" s="29">
        <v>39240</v>
      </c>
      <c r="AM142" s="29">
        <v>38570</v>
      </c>
      <c r="AN142" s="29">
        <v>38110</v>
      </c>
      <c r="AO142" s="29">
        <v>37800</v>
      </c>
      <c r="AP142" s="29">
        <v>37100</v>
      </c>
      <c r="AQ142" s="29">
        <v>37020</v>
      </c>
      <c r="AR142" s="29">
        <v>36840</v>
      </c>
      <c r="AS142" s="29">
        <v>37280</v>
      </c>
      <c r="AT142" s="29">
        <v>37900</v>
      </c>
      <c r="AU142" s="29">
        <v>38450</v>
      </c>
      <c r="AV142" s="29">
        <v>38930</v>
      </c>
      <c r="AW142" s="29">
        <v>39300</v>
      </c>
      <c r="AX142" s="29">
        <v>39550</v>
      </c>
      <c r="AY142" s="29">
        <v>39700</v>
      </c>
      <c r="AZ142" s="29">
        <v>39780</v>
      </c>
      <c r="BA142" s="29">
        <v>39790</v>
      </c>
      <c r="BB142" s="29">
        <v>39730</v>
      </c>
      <c r="BC142" s="29">
        <v>39620</v>
      </c>
      <c r="BD142" s="29">
        <v>39460</v>
      </c>
      <c r="BE142" s="29">
        <v>39260</v>
      </c>
      <c r="BF142" s="29">
        <v>39040</v>
      </c>
      <c r="BG142" s="29">
        <v>38800</v>
      </c>
      <c r="BH142" s="29">
        <v>38560</v>
      </c>
      <c r="BI142" s="29">
        <v>38340</v>
      </c>
      <c r="BJ142" s="29">
        <v>38160</v>
      </c>
      <c r="BK142" s="29">
        <v>38010</v>
      </c>
      <c r="BL142" s="29">
        <v>37920</v>
      </c>
    </row>
    <row r="143" spans="1:64" x14ac:dyDescent="0.2">
      <c r="A143" s="29">
        <v>33</v>
      </c>
      <c r="B143" s="85">
        <v>28270</v>
      </c>
      <c r="C143" s="85">
        <v>27360</v>
      </c>
      <c r="D143" s="85">
        <v>26460</v>
      </c>
      <c r="E143" s="85">
        <v>25700</v>
      </c>
      <c r="F143" s="85">
        <v>25670</v>
      </c>
      <c r="G143" s="85">
        <v>25030</v>
      </c>
      <c r="H143" s="85">
        <v>25340</v>
      </c>
      <c r="I143" s="85">
        <v>25570</v>
      </c>
      <c r="J143" s="85">
        <v>26460</v>
      </c>
      <c r="K143" s="85">
        <v>27140</v>
      </c>
      <c r="L143" s="29">
        <v>28700</v>
      </c>
      <c r="M143" s="29">
        <v>29600</v>
      </c>
      <c r="N143" s="29">
        <v>30420</v>
      </c>
      <c r="O143" s="29">
        <v>32050</v>
      </c>
      <c r="P143" s="29">
        <v>33780</v>
      </c>
      <c r="Q143" s="29">
        <v>35560</v>
      </c>
      <c r="R143" s="29">
        <v>37710</v>
      </c>
      <c r="S143" s="29">
        <v>40070</v>
      </c>
      <c r="T143" s="29">
        <v>42150</v>
      </c>
      <c r="U143" s="29">
        <v>42410</v>
      </c>
      <c r="V143" s="29">
        <v>42810</v>
      </c>
      <c r="W143" s="29">
        <v>42160</v>
      </c>
      <c r="X143" s="29">
        <v>42330</v>
      </c>
      <c r="Y143" s="29">
        <v>42100</v>
      </c>
      <c r="Z143" s="29">
        <v>40420</v>
      </c>
      <c r="AA143" s="29">
        <v>39270</v>
      </c>
      <c r="AB143" s="29">
        <v>38000</v>
      </c>
      <c r="AC143" s="29">
        <v>38140</v>
      </c>
      <c r="AD143" s="29">
        <v>36720</v>
      </c>
      <c r="AE143" s="29">
        <v>34930</v>
      </c>
      <c r="AF143" s="29">
        <v>34950</v>
      </c>
      <c r="AG143" s="29">
        <v>35440</v>
      </c>
      <c r="AH143" s="29">
        <v>35240</v>
      </c>
      <c r="AI143" s="29">
        <v>35780</v>
      </c>
      <c r="AJ143" s="29">
        <v>37460</v>
      </c>
      <c r="AK143" s="29">
        <v>38780</v>
      </c>
      <c r="AL143" s="29">
        <v>39160</v>
      </c>
      <c r="AM143" s="29">
        <v>39350</v>
      </c>
      <c r="AN143" s="29">
        <v>38690</v>
      </c>
      <c r="AO143" s="29">
        <v>38220</v>
      </c>
      <c r="AP143" s="29">
        <v>37910</v>
      </c>
      <c r="AQ143" s="29">
        <v>37220</v>
      </c>
      <c r="AR143" s="29">
        <v>37130</v>
      </c>
      <c r="AS143" s="29">
        <v>36960</v>
      </c>
      <c r="AT143" s="29">
        <v>37400</v>
      </c>
      <c r="AU143" s="29">
        <v>38010</v>
      </c>
      <c r="AV143" s="29">
        <v>38570</v>
      </c>
      <c r="AW143" s="29">
        <v>39040</v>
      </c>
      <c r="AX143" s="29">
        <v>39410</v>
      </c>
      <c r="AY143" s="29">
        <v>39670</v>
      </c>
      <c r="AZ143" s="29">
        <v>39820</v>
      </c>
      <c r="BA143" s="29">
        <v>39900</v>
      </c>
      <c r="BB143" s="29">
        <v>39900</v>
      </c>
      <c r="BC143" s="29">
        <v>39850</v>
      </c>
      <c r="BD143" s="29">
        <v>39730</v>
      </c>
      <c r="BE143" s="29">
        <v>39580</v>
      </c>
      <c r="BF143" s="29">
        <v>39380</v>
      </c>
      <c r="BG143" s="29">
        <v>39150</v>
      </c>
      <c r="BH143" s="29">
        <v>38910</v>
      </c>
      <c r="BI143" s="29">
        <v>38680</v>
      </c>
      <c r="BJ143" s="29">
        <v>38460</v>
      </c>
      <c r="BK143" s="29">
        <v>38270</v>
      </c>
      <c r="BL143" s="29">
        <v>38130</v>
      </c>
    </row>
    <row r="144" spans="1:64" x14ac:dyDescent="0.2">
      <c r="A144" s="29">
        <v>34</v>
      </c>
      <c r="B144" s="85">
        <v>29670</v>
      </c>
      <c r="C144" s="85">
        <v>28570</v>
      </c>
      <c r="D144" s="85">
        <v>27580</v>
      </c>
      <c r="E144" s="85">
        <v>26650</v>
      </c>
      <c r="F144" s="85">
        <v>25770</v>
      </c>
      <c r="G144" s="85">
        <v>25700</v>
      </c>
      <c r="H144" s="85">
        <v>24980</v>
      </c>
      <c r="I144" s="85">
        <v>25320</v>
      </c>
      <c r="J144" s="85">
        <v>25940</v>
      </c>
      <c r="K144" s="85">
        <v>27010</v>
      </c>
      <c r="L144" s="29">
        <v>27730</v>
      </c>
      <c r="M144" s="29">
        <v>29240</v>
      </c>
      <c r="N144" s="29">
        <v>30050</v>
      </c>
      <c r="O144" s="29">
        <v>30790</v>
      </c>
      <c r="P144" s="29">
        <v>32330</v>
      </c>
      <c r="Q144" s="29">
        <v>33980</v>
      </c>
      <c r="R144" s="29">
        <v>35660</v>
      </c>
      <c r="S144" s="29">
        <v>37810</v>
      </c>
      <c r="T144" s="29">
        <v>40180</v>
      </c>
      <c r="U144" s="29">
        <v>42250</v>
      </c>
      <c r="V144" s="29">
        <v>42510</v>
      </c>
      <c r="W144" s="29">
        <v>42920</v>
      </c>
      <c r="X144" s="29">
        <v>42270</v>
      </c>
      <c r="Y144" s="29">
        <v>42430</v>
      </c>
      <c r="Z144" s="29">
        <v>42200</v>
      </c>
      <c r="AA144" s="29">
        <v>40520</v>
      </c>
      <c r="AB144" s="29">
        <v>39380</v>
      </c>
      <c r="AC144" s="29">
        <v>38110</v>
      </c>
      <c r="AD144" s="29">
        <v>38250</v>
      </c>
      <c r="AE144" s="29">
        <v>36830</v>
      </c>
      <c r="AF144" s="29">
        <v>35040</v>
      </c>
      <c r="AG144" s="29">
        <v>35060</v>
      </c>
      <c r="AH144" s="29">
        <v>35550</v>
      </c>
      <c r="AI144" s="29">
        <v>35350</v>
      </c>
      <c r="AJ144" s="29">
        <v>35900</v>
      </c>
      <c r="AK144" s="29">
        <v>37580</v>
      </c>
      <c r="AL144" s="29">
        <v>38890</v>
      </c>
      <c r="AM144" s="29">
        <v>39270</v>
      </c>
      <c r="AN144" s="29">
        <v>39460</v>
      </c>
      <c r="AO144" s="29">
        <v>38800</v>
      </c>
      <c r="AP144" s="29">
        <v>38330</v>
      </c>
      <c r="AQ144" s="29">
        <v>38030</v>
      </c>
      <c r="AR144" s="29">
        <v>37330</v>
      </c>
      <c r="AS144" s="29">
        <v>37250</v>
      </c>
      <c r="AT144" s="29">
        <v>37070</v>
      </c>
      <c r="AU144" s="29">
        <v>37510</v>
      </c>
      <c r="AV144" s="29">
        <v>38130</v>
      </c>
      <c r="AW144" s="29">
        <v>38680</v>
      </c>
      <c r="AX144" s="29">
        <v>39160</v>
      </c>
      <c r="AY144" s="29">
        <v>39530</v>
      </c>
      <c r="AZ144" s="29">
        <v>39780</v>
      </c>
      <c r="BA144" s="29">
        <v>39930</v>
      </c>
      <c r="BB144" s="29">
        <v>40010</v>
      </c>
      <c r="BC144" s="29">
        <v>40020</v>
      </c>
      <c r="BD144" s="29">
        <v>39960</v>
      </c>
      <c r="BE144" s="29">
        <v>39850</v>
      </c>
      <c r="BF144" s="29">
        <v>39690</v>
      </c>
      <c r="BG144" s="29">
        <v>39500</v>
      </c>
      <c r="BH144" s="29">
        <v>39270</v>
      </c>
      <c r="BI144" s="29">
        <v>39030</v>
      </c>
      <c r="BJ144" s="29">
        <v>38800</v>
      </c>
      <c r="BK144" s="29">
        <v>38580</v>
      </c>
      <c r="BL144" s="29">
        <v>38390</v>
      </c>
    </row>
    <row r="145" spans="1:64" x14ac:dyDescent="0.2">
      <c r="A145" s="29">
        <v>35</v>
      </c>
      <c r="B145" s="85">
        <v>30140</v>
      </c>
      <c r="C145" s="85">
        <v>29910</v>
      </c>
      <c r="D145" s="85">
        <v>28640</v>
      </c>
      <c r="E145" s="85">
        <v>27750</v>
      </c>
      <c r="F145" s="85">
        <v>26780</v>
      </c>
      <c r="G145" s="85">
        <v>25730</v>
      </c>
      <c r="H145" s="85">
        <v>25670</v>
      </c>
      <c r="I145" s="85">
        <v>24970</v>
      </c>
      <c r="J145" s="85">
        <v>25650</v>
      </c>
      <c r="K145" s="85">
        <v>26420</v>
      </c>
      <c r="L145" s="29">
        <v>27610</v>
      </c>
      <c r="M145" s="29">
        <v>28220</v>
      </c>
      <c r="N145" s="29">
        <v>29650</v>
      </c>
      <c r="O145" s="29">
        <v>30380</v>
      </c>
      <c r="P145" s="29">
        <v>31040</v>
      </c>
      <c r="Q145" s="29">
        <v>32500</v>
      </c>
      <c r="R145" s="29">
        <v>34070</v>
      </c>
      <c r="S145" s="29">
        <v>35760</v>
      </c>
      <c r="T145" s="29">
        <v>37910</v>
      </c>
      <c r="U145" s="29">
        <v>40270</v>
      </c>
      <c r="V145" s="29">
        <v>42350</v>
      </c>
      <c r="W145" s="29">
        <v>42610</v>
      </c>
      <c r="X145" s="29">
        <v>43010</v>
      </c>
      <c r="Y145" s="29">
        <v>42360</v>
      </c>
      <c r="Z145" s="29">
        <v>42520</v>
      </c>
      <c r="AA145" s="29">
        <v>42300</v>
      </c>
      <c r="AB145" s="29">
        <v>40620</v>
      </c>
      <c r="AC145" s="29">
        <v>39480</v>
      </c>
      <c r="AD145" s="29">
        <v>38210</v>
      </c>
      <c r="AE145" s="29">
        <v>38350</v>
      </c>
      <c r="AF145" s="29">
        <v>36930</v>
      </c>
      <c r="AG145" s="29">
        <v>35140</v>
      </c>
      <c r="AH145" s="29">
        <v>35160</v>
      </c>
      <c r="AI145" s="29">
        <v>35650</v>
      </c>
      <c r="AJ145" s="29">
        <v>35450</v>
      </c>
      <c r="AK145" s="29">
        <v>36000</v>
      </c>
      <c r="AL145" s="29">
        <v>37680</v>
      </c>
      <c r="AM145" s="29">
        <v>38990</v>
      </c>
      <c r="AN145" s="29">
        <v>39370</v>
      </c>
      <c r="AO145" s="29">
        <v>39570</v>
      </c>
      <c r="AP145" s="29">
        <v>38900</v>
      </c>
      <c r="AQ145" s="29">
        <v>38440</v>
      </c>
      <c r="AR145" s="29">
        <v>38130</v>
      </c>
      <c r="AS145" s="29">
        <v>37440</v>
      </c>
      <c r="AT145" s="29">
        <v>37350</v>
      </c>
      <c r="AU145" s="29">
        <v>37180</v>
      </c>
      <c r="AV145" s="29">
        <v>37620</v>
      </c>
      <c r="AW145" s="29">
        <v>38240</v>
      </c>
      <c r="AX145" s="29">
        <v>38790</v>
      </c>
      <c r="AY145" s="29">
        <v>39260</v>
      </c>
      <c r="AZ145" s="29">
        <v>39640</v>
      </c>
      <c r="BA145" s="29">
        <v>39890</v>
      </c>
      <c r="BB145" s="29">
        <v>40040</v>
      </c>
      <c r="BC145" s="29">
        <v>40120</v>
      </c>
      <c r="BD145" s="29">
        <v>40130</v>
      </c>
      <c r="BE145" s="29">
        <v>40070</v>
      </c>
      <c r="BF145" s="29">
        <v>39960</v>
      </c>
      <c r="BG145" s="29">
        <v>39800</v>
      </c>
      <c r="BH145" s="29">
        <v>39600</v>
      </c>
      <c r="BI145" s="29">
        <v>39380</v>
      </c>
      <c r="BJ145" s="29">
        <v>39140</v>
      </c>
      <c r="BK145" s="29">
        <v>38910</v>
      </c>
      <c r="BL145" s="29">
        <v>38690</v>
      </c>
    </row>
    <row r="146" spans="1:64" x14ac:dyDescent="0.2">
      <c r="A146" s="29">
        <v>36</v>
      </c>
      <c r="B146" s="85">
        <v>29680</v>
      </c>
      <c r="C146" s="85">
        <v>30320</v>
      </c>
      <c r="D146" s="85">
        <v>30070</v>
      </c>
      <c r="E146" s="85">
        <v>28790</v>
      </c>
      <c r="F146" s="85">
        <v>27890</v>
      </c>
      <c r="G146" s="85">
        <v>26800</v>
      </c>
      <c r="H146" s="85">
        <v>25710</v>
      </c>
      <c r="I146" s="85">
        <v>25740</v>
      </c>
      <c r="J146" s="85">
        <v>25230</v>
      </c>
      <c r="K146" s="85">
        <v>26130</v>
      </c>
      <c r="L146" s="29">
        <v>26970</v>
      </c>
      <c r="M146" s="29">
        <v>28060</v>
      </c>
      <c r="N146" s="29">
        <v>28600</v>
      </c>
      <c r="O146" s="29">
        <v>29960</v>
      </c>
      <c r="P146" s="29">
        <v>30610</v>
      </c>
      <c r="Q146" s="29">
        <v>31200</v>
      </c>
      <c r="R146" s="29">
        <v>32580</v>
      </c>
      <c r="S146" s="29">
        <v>34160</v>
      </c>
      <c r="T146" s="29">
        <v>35840</v>
      </c>
      <c r="U146" s="29">
        <v>37990</v>
      </c>
      <c r="V146" s="29">
        <v>40350</v>
      </c>
      <c r="W146" s="29">
        <v>42420</v>
      </c>
      <c r="X146" s="29">
        <v>42680</v>
      </c>
      <c r="Y146" s="29">
        <v>43090</v>
      </c>
      <c r="Z146" s="29">
        <v>42440</v>
      </c>
      <c r="AA146" s="29">
        <v>42600</v>
      </c>
      <c r="AB146" s="29">
        <v>42380</v>
      </c>
      <c r="AC146" s="29">
        <v>40700</v>
      </c>
      <c r="AD146" s="29">
        <v>39560</v>
      </c>
      <c r="AE146" s="29">
        <v>38300</v>
      </c>
      <c r="AF146" s="29">
        <v>38440</v>
      </c>
      <c r="AG146" s="29">
        <v>37020</v>
      </c>
      <c r="AH146" s="29">
        <v>35230</v>
      </c>
      <c r="AI146" s="29">
        <v>35250</v>
      </c>
      <c r="AJ146" s="29">
        <v>35740</v>
      </c>
      <c r="AK146" s="29">
        <v>35540</v>
      </c>
      <c r="AL146" s="29">
        <v>36090</v>
      </c>
      <c r="AM146" s="29">
        <v>37770</v>
      </c>
      <c r="AN146" s="29">
        <v>39080</v>
      </c>
      <c r="AO146" s="29">
        <v>39460</v>
      </c>
      <c r="AP146" s="29">
        <v>39650</v>
      </c>
      <c r="AQ146" s="29">
        <v>38990</v>
      </c>
      <c r="AR146" s="29">
        <v>38530</v>
      </c>
      <c r="AS146" s="29">
        <v>38220</v>
      </c>
      <c r="AT146" s="29">
        <v>37530</v>
      </c>
      <c r="AU146" s="29">
        <v>37450</v>
      </c>
      <c r="AV146" s="29">
        <v>37270</v>
      </c>
      <c r="AW146" s="29">
        <v>37710</v>
      </c>
      <c r="AX146" s="29">
        <v>38330</v>
      </c>
      <c r="AY146" s="29">
        <v>38880</v>
      </c>
      <c r="AZ146" s="29">
        <v>39350</v>
      </c>
      <c r="BA146" s="29">
        <v>39730</v>
      </c>
      <c r="BB146" s="29">
        <v>39980</v>
      </c>
      <c r="BC146" s="29">
        <v>40130</v>
      </c>
      <c r="BD146" s="29">
        <v>40210</v>
      </c>
      <c r="BE146" s="29">
        <v>40220</v>
      </c>
      <c r="BF146" s="29">
        <v>40160</v>
      </c>
      <c r="BG146" s="29">
        <v>40050</v>
      </c>
      <c r="BH146" s="29">
        <v>39890</v>
      </c>
      <c r="BI146" s="29">
        <v>39700</v>
      </c>
      <c r="BJ146" s="29">
        <v>39470</v>
      </c>
      <c r="BK146" s="29">
        <v>39240</v>
      </c>
      <c r="BL146" s="29">
        <v>39000</v>
      </c>
    </row>
    <row r="147" spans="1:64" x14ac:dyDescent="0.2">
      <c r="A147" s="29">
        <v>37</v>
      </c>
      <c r="B147" s="85">
        <v>30040</v>
      </c>
      <c r="C147" s="85">
        <v>29860</v>
      </c>
      <c r="D147" s="85">
        <v>30480</v>
      </c>
      <c r="E147" s="85">
        <v>30200</v>
      </c>
      <c r="F147" s="85">
        <v>28920</v>
      </c>
      <c r="G147" s="85">
        <v>27960</v>
      </c>
      <c r="H147" s="85">
        <v>26770</v>
      </c>
      <c r="I147" s="85">
        <v>25830</v>
      </c>
      <c r="J147" s="85">
        <v>25980</v>
      </c>
      <c r="K147" s="85">
        <v>25570</v>
      </c>
      <c r="L147" s="29">
        <v>26610</v>
      </c>
      <c r="M147" s="29">
        <v>27390</v>
      </c>
      <c r="N147" s="29">
        <v>28400</v>
      </c>
      <c r="O147" s="29">
        <v>28880</v>
      </c>
      <c r="P147" s="29">
        <v>30170</v>
      </c>
      <c r="Q147" s="29">
        <v>30760</v>
      </c>
      <c r="R147" s="29">
        <v>31270</v>
      </c>
      <c r="S147" s="29">
        <v>32660</v>
      </c>
      <c r="T147" s="29">
        <v>34230</v>
      </c>
      <c r="U147" s="29">
        <v>35910</v>
      </c>
      <c r="V147" s="29">
        <v>38060</v>
      </c>
      <c r="W147" s="29">
        <v>40420</v>
      </c>
      <c r="X147" s="29">
        <v>42490</v>
      </c>
      <c r="Y147" s="29">
        <v>42750</v>
      </c>
      <c r="Z147" s="29">
        <v>43160</v>
      </c>
      <c r="AA147" s="29">
        <v>42510</v>
      </c>
      <c r="AB147" s="29">
        <v>42680</v>
      </c>
      <c r="AC147" s="29">
        <v>42450</v>
      </c>
      <c r="AD147" s="29">
        <v>40780</v>
      </c>
      <c r="AE147" s="29">
        <v>39640</v>
      </c>
      <c r="AF147" s="29">
        <v>38370</v>
      </c>
      <c r="AG147" s="29">
        <v>38510</v>
      </c>
      <c r="AH147" s="29">
        <v>37090</v>
      </c>
      <c r="AI147" s="29">
        <v>35310</v>
      </c>
      <c r="AJ147" s="29">
        <v>35330</v>
      </c>
      <c r="AK147" s="29">
        <v>35820</v>
      </c>
      <c r="AL147" s="29">
        <v>35620</v>
      </c>
      <c r="AM147" s="29">
        <v>36170</v>
      </c>
      <c r="AN147" s="29">
        <v>37850</v>
      </c>
      <c r="AO147" s="29">
        <v>39160</v>
      </c>
      <c r="AP147" s="29">
        <v>39540</v>
      </c>
      <c r="AQ147" s="29">
        <v>39730</v>
      </c>
      <c r="AR147" s="29">
        <v>39070</v>
      </c>
      <c r="AS147" s="29">
        <v>38610</v>
      </c>
      <c r="AT147" s="29">
        <v>38300</v>
      </c>
      <c r="AU147" s="29">
        <v>37610</v>
      </c>
      <c r="AV147" s="29">
        <v>37530</v>
      </c>
      <c r="AW147" s="29">
        <v>37350</v>
      </c>
      <c r="AX147" s="29">
        <v>37790</v>
      </c>
      <c r="AY147" s="29">
        <v>38410</v>
      </c>
      <c r="AZ147" s="29">
        <v>38960</v>
      </c>
      <c r="BA147" s="29">
        <v>39440</v>
      </c>
      <c r="BB147" s="29">
        <v>39810</v>
      </c>
      <c r="BC147" s="29">
        <v>40060</v>
      </c>
      <c r="BD147" s="29">
        <v>40220</v>
      </c>
      <c r="BE147" s="29">
        <v>40300</v>
      </c>
      <c r="BF147" s="29">
        <v>40300</v>
      </c>
      <c r="BG147" s="29">
        <v>40250</v>
      </c>
      <c r="BH147" s="29">
        <v>40140</v>
      </c>
      <c r="BI147" s="29">
        <v>39980</v>
      </c>
      <c r="BJ147" s="29">
        <v>39780</v>
      </c>
      <c r="BK147" s="29">
        <v>39560</v>
      </c>
      <c r="BL147" s="29">
        <v>39320</v>
      </c>
    </row>
    <row r="148" spans="1:64" x14ac:dyDescent="0.2">
      <c r="A148" s="29">
        <v>38</v>
      </c>
      <c r="B148" s="85">
        <v>29710</v>
      </c>
      <c r="C148" s="85">
        <v>30220</v>
      </c>
      <c r="D148" s="85">
        <v>29910</v>
      </c>
      <c r="E148" s="85">
        <v>30610</v>
      </c>
      <c r="F148" s="85">
        <v>30300</v>
      </c>
      <c r="G148" s="85">
        <v>28910</v>
      </c>
      <c r="H148" s="85">
        <v>27940</v>
      </c>
      <c r="I148" s="85">
        <v>26840</v>
      </c>
      <c r="J148" s="85">
        <v>26070</v>
      </c>
      <c r="K148" s="85">
        <v>26310</v>
      </c>
      <c r="L148" s="29">
        <v>26000</v>
      </c>
      <c r="M148" s="29">
        <v>26980</v>
      </c>
      <c r="N148" s="29">
        <v>27700</v>
      </c>
      <c r="O148" s="29">
        <v>28660</v>
      </c>
      <c r="P148" s="29">
        <v>29070</v>
      </c>
      <c r="Q148" s="29">
        <v>30300</v>
      </c>
      <c r="R148" s="29">
        <v>30820</v>
      </c>
      <c r="S148" s="29">
        <v>31340</v>
      </c>
      <c r="T148" s="29">
        <v>32720</v>
      </c>
      <c r="U148" s="29">
        <v>34290</v>
      </c>
      <c r="V148" s="29">
        <v>35970</v>
      </c>
      <c r="W148" s="29">
        <v>38120</v>
      </c>
      <c r="X148" s="29">
        <v>40480</v>
      </c>
      <c r="Y148" s="29">
        <v>42550</v>
      </c>
      <c r="Z148" s="29">
        <v>42810</v>
      </c>
      <c r="AA148" s="29">
        <v>43220</v>
      </c>
      <c r="AB148" s="29">
        <v>42570</v>
      </c>
      <c r="AC148" s="29">
        <v>42740</v>
      </c>
      <c r="AD148" s="29">
        <v>42510</v>
      </c>
      <c r="AE148" s="29">
        <v>40840</v>
      </c>
      <c r="AF148" s="29">
        <v>39700</v>
      </c>
      <c r="AG148" s="29">
        <v>38440</v>
      </c>
      <c r="AH148" s="29">
        <v>38580</v>
      </c>
      <c r="AI148" s="29">
        <v>37160</v>
      </c>
      <c r="AJ148" s="29">
        <v>35380</v>
      </c>
      <c r="AK148" s="29">
        <v>35400</v>
      </c>
      <c r="AL148" s="29">
        <v>35890</v>
      </c>
      <c r="AM148" s="29">
        <v>35690</v>
      </c>
      <c r="AN148" s="29">
        <v>36240</v>
      </c>
      <c r="AO148" s="29">
        <v>37920</v>
      </c>
      <c r="AP148" s="29">
        <v>39230</v>
      </c>
      <c r="AQ148" s="29">
        <v>39610</v>
      </c>
      <c r="AR148" s="29">
        <v>39800</v>
      </c>
      <c r="AS148" s="29">
        <v>39140</v>
      </c>
      <c r="AT148" s="29">
        <v>38680</v>
      </c>
      <c r="AU148" s="29">
        <v>38380</v>
      </c>
      <c r="AV148" s="29">
        <v>37680</v>
      </c>
      <c r="AW148" s="29">
        <v>37600</v>
      </c>
      <c r="AX148" s="29">
        <v>37430</v>
      </c>
      <c r="AY148" s="29">
        <v>37870</v>
      </c>
      <c r="AZ148" s="29">
        <v>38490</v>
      </c>
      <c r="BA148" s="29">
        <v>39040</v>
      </c>
      <c r="BB148" s="29">
        <v>39510</v>
      </c>
      <c r="BC148" s="29">
        <v>39890</v>
      </c>
      <c r="BD148" s="29">
        <v>40140</v>
      </c>
      <c r="BE148" s="29">
        <v>40290</v>
      </c>
      <c r="BF148" s="29">
        <v>40370</v>
      </c>
      <c r="BG148" s="29">
        <v>40380</v>
      </c>
      <c r="BH148" s="29">
        <v>40330</v>
      </c>
      <c r="BI148" s="29">
        <v>40220</v>
      </c>
      <c r="BJ148" s="29">
        <v>40060</v>
      </c>
      <c r="BK148" s="29">
        <v>39860</v>
      </c>
      <c r="BL148" s="29">
        <v>39640</v>
      </c>
    </row>
    <row r="149" spans="1:64" x14ac:dyDescent="0.2">
      <c r="A149" s="29">
        <v>39</v>
      </c>
      <c r="B149" s="85">
        <v>29570</v>
      </c>
      <c r="C149" s="85">
        <v>29890</v>
      </c>
      <c r="D149" s="85">
        <v>30260</v>
      </c>
      <c r="E149" s="85">
        <v>30030</v>
      </c>
      <c r="F149" s="85">
        <v>30640</v>
      </c>
      <c r="G149" s="85">
        <v>30250</v>
      </c>
      <c r="H149" s="85">
        <v>28910</v>
      </c>
      <c r="I149" s="85">
        <v>28120</v>
      </c>
      <c r="J149" s="85">
        <v>27050</v>
      </c>
      <c r="K149" s="85">
        <v>26430</v>
      </c>
      <c r="L149" s="29">
        <v>26680</v>
      </c>
      <c r="M149" s="29">
        <v>26340</v>
      </c>
      <c r="N149" s="29">
        <v>27260</v>
      </c>
      <c r="O149" s="29">
        <v>27920</v>
      </c>
      <c r="P149" s="29">
        <v>28820</v>
      </c>
      <c r="Q149" s="29">
        <v>29180</v>
      </c>
      <c r="R149" s="29">
        <v>30350</v>
      </c>
      <c r="S149" s="29">
        <v>30870</v>
      </c>
      <c r="T149" s="29">
        <v>31390</v>
      </c>
      <c r="U149" s="29">
        <v>32780</v>
      </c>
      <c r="V149" s="29">
        <v>34340</v>
      </c>
      <c r="W149" s="29">
        <v>36020</v>
      </c>
      <c r="X149" s="29">
        <v>38170</v>
      </c>
      <c r="Y149" s="29">
        <v>40530</v>
      </c>
      <c r="Z149" s="29">
        <v>42600</v>
      </c>
      <c r="AA149" s="29">
        <v>42860</v>
      </c>
      <c r="AB149" s="29">
        <v>43260</v>
      </c>
      <c r="AC149" s="29">
        <v>42620</v>
      </c>
      <c r="AD149" s="29">
        <v>42780</v>
      </c>
      <c r="AE149" s="29">
        <v>42560</v>
      </c>
      <c r="AF149" s="29">
        <v>40890</v>
      </c>
      <c r="AG149" s="29">
        <v>39760</v>
      </c>
      <c r="AH149" s="29">
        <v>38490</v>
      </c>
      <c r="AI149" s="29">
        <v>38630</v>
      </c>
      <c r="AJ149" s="29">
        <v>37220</v>
      </c>
      <c r="AK149" s="29">
        <v>35440</v>
      </c>
      <c r="AL149" s="29">
        <v>35460</v>
      </c>
      <c r="AM149" s="29">
        <v>35950</v>
      </c>
      <c r="AN149" s="29">
        <v>35750</v>
      </c>
      <c r="AO149" s="29">
        <v>36300</v>
      </c>
      <c r="AP149" s="29">
        <v>37970</v>
      </c>
      <c r="AQ149" s="29">
        <v>39290</v>
      </c>
      <c r="AR149" s="29">
        <v>39670</v>
      </c>
      <c r="AS149" s="29">
        <v>39860</v>
      </c>
      <c r="AT149" s="29">
        <v>39200</v>
      </c>
      <c r="AU149" s="29">
        <v>38740</v>
      </c>
      <c r="AV149" s="29">
        <v>38440</v>
      </c>
      <c r="AW149" s="29">
        <v>37740</v>
      </c>
      <c r="AX149" s="29">
        <v>37660</v>
      </c>
      <c r="AY149" s="29">
        <v>37490</v>
      </c>
      <c r="AZ149" s="29">
        <v>37930</v>
      </c>
      <c r="BA149" s="29">
        <v>38550</v>
      </c>
      <c r="BB149" s="29">
        <v>39100</v>
      </c>
      <c r="BC149" s="29">
        <v>39570</v>
      </c>
      <c r="BD149" s="29">
        <v>39950</v>
      </c>
      <c r="BE149" s="29">
        <v>40200</v>
      </c>
      <c r="BF149" s="29">
        <v>40350</v>
      </c>
      <c r="BG149" s="29">
        <v>40430</v>
      </c>
      <c r="BH149" s="29">
        <v>40440</v>
      </c>
      <c r="BI149" s="29">
        <v>40390</v>
      </c>
      <c r="BJ149" s="29">
        <v>40280</v>
      </c>
      <c r="BK149" s="29">
        <v>40120</v>
      </c>
      <c r="BL149" s="29">
        <v>39930</v>
      </c>
    </row>
    <row r="150" spans="1:64" x14ac:dyDescent="0.2">
      <c r="A150" s="29">
        <v>40</v>
      </c>
      <c r="B150" s="85">
        <v>29920</v>
      </c>
      <c r="C150" s="85">
        <v>29750</v>
      </c>
      <c r="D150" s="85">
        <v>29950</v>
      </c>
      <c r="E150" s="85">
        <v>30360</v>
      </c>
      <c r="F150" s="85">
        <v>30050</v>
      </c>
      <c r="G150" s="85">
        <v>30610</v>
      </c>
      <c r="H150" s="85">
        <v>30210</v>
      </c>
      <c r="I150" s="85">
        <v>29000</v>
      </c>
      <c r="J150" s="85">
        <v>28310</v>
      </c>
      <c r="K150" s="85">
        <v>27320</v>
      </c>
      <c r="L150" s="29">
        <v>26830</v>
      </c>
      <c r="M150" s="29">
        <v>26980</v>
      </c>
      <c r="N150" s="29">
        <v>26590</v>
      </c>
      <c r="O150" s="29">
        <v>27460</v>
      </c>
      <c r="P150" s="29">
        <v>28070</v>
      </c>
      <c r="Q150" s="29">
        <v>28920</v>
      </c>
      <c r="R150" s="29">
        <v>29220</v>
      </c>
      <c r="S150" s="29">
        <v>30390</v>
      </c>
      <c r="T150" s="29">
        <v>30920</v>
      </c>
      <c r="U150" s="29">
        <v>31430</v>
      </c>
      <c r="V150" s="29">
        <v>32820</v>
      </c>
      <c r="W150" s="29">
        <v>34380</v>
      </c>
      <c r="X150" s="29">
        <v>36060</v>
      </c>
      <c r="Y150" s="29">
        <v>38200</v>
      </c>
      <c r="Z150" s="29">
        <v>40560</v>
      </c>
      <c r="AA150" s="29">
        <v>42630</v>
      </c>
      <c r="AB150" s="29">
        <v>42890</v>
      </c>
      <c r="AC150" s="29">
        <v>43300</v>
      </c>
      <c r="AD150" s="29">
        <v>42660</v>
      </c>
      <c r="AE150" s="29">
        <v>42820</v>
      </c>
      <c r="AF150" s="29">
        <v>42600</v>
      </c>
      <c r="AG150" s="29">
        <v>40930</v>
      </c>
      <c r="AH150" s="29">
        <v>39800</v>
      </c>
      <c r="AI150" s="29">
        <v>38540</v>
      </c>
      <c r="AJ150" s="29">
        <v>38680</v>
      </c>
      <c r="AK150" s="29">
        <v>37260</v>
      </c>
      <c r="AL150" s="29">
        <v>35480</v>
      </c>
      <c r="AM150" s="29">
        <v>35510</v>
      </c>
      <c r="AN150" s="29">
        <v>36000</v>
      </c>
      <c r="AO150" s="29">
        <v>35800</v>
      </c>
      <c r="AP150" s="29">
        <v>36350</v>
      </c>
      <c r="AQ150" s="29">
        <v>38020</v>
      </c>
      <c r="AR150" s="29">
        <v>39330</v>
      </c>
      <c r="AS150" s="29">
        <v>39720</v>
      </c>
      <c r="AT150" s="29">
        <v>39910</v>
      </c>
      <c r="AU150" s="29">
        <v>39250</v>
      </c>
      <c r="AV150" s="29">
        <v>38790</v>
      </c>
      <c r="AW150" s="29">
        <v>38490</v>
      </c>
      <c r="AX150" s="29">
        <v>37800</v>
      </c>
      <c r="AY150" s="29">
        <v>37720</v>
      </c>
      <c r="AZ150" s="29">
        <v>37540</v>
      </c>
      <c r="BA150" s="29">
        <v>37980</v>
      </c>
      <c r="BB150" s="29">
        <v>38600</v>
      </c>
      <c r="BC150" s="29">
        <v>39150</v>
      </c>
      <c r="BD150" s="29">
        <v>39630</v>
      </c>
      <c r="BE150" s="29">
        <v>40000</v>
      </c>
      <c r="BF150" s="29">
        <v>40250</v>
      </c>
      <c r="BG150" s="29">
        <v>40410</v>
      </c>
      <c r="BH150" s="29">
        <v>40490</v>
      </c>
      <c r="BI150" s="29">
        <v>40500</v>
      </c>
      <c r="BJ150" s="29">
        <v>40440</v>
      </c>
      <c r="BK150" s="29">
        <v>40330</v>
      </c>
      <c r="BL150" s="29">
        <v>40180</v>
      </c>
    </row>
    <row r="151" spans="1:64" x14ac:dyDescent="0.2">
      <c r="A151" s="29">
        <v>41</v>
      </c>
      <c r="B151" s="85">
        <v>30380</v>
      </c>
      <c r="C151" s="85">
        <v>30040</v>
      </c>
      <c r="D151" s="85">
        <v>29780</v>
      </c>
      <c r="E151" s="85">
        <v>30010</v>
      </c>
      <c r="F151" s="85">
        <v>30420</v>
      </c>
      <c r="G151" s="85">
        <v>30010</v>
      </c>
      <c r="H151" s="85">
        <v>30580</v>
      </c>
      <c r="I151" s="85">
        <v>30270</v>
      </c>
      <c r="J151" s="85">
        <v>29250</v>
      </c>
      <c r="K151" s="85">
        <v>28520</v>
      </c>
      <c r="L151" s="29">
        <v>27620</v>
      </c>
      <c r="M151" s="29">
        <v>27120</v>
      </c>
      <c r="N151" s="29">
        <v>27210</v>
      </c>
      <c r="O151" s="29">
        <v>26780</v>
      </c>
      <c r="P151" s="29">
        <v>27600</v>
      </c>
      <c r="Q151" s="29">
        <v>28160</v>
      </c>
      <c r="R151" s="29">
        <v>28950</v>
      </c>
      <c r="S151" s="29">
        <v>29260</v>
      </c>
      <c r="T151" s="29">
        <v>30430</v>
      </c>
      <c r="U151" s="29">
        <v>30950</v>
      </c>
      <c r="V151" s="29">
        <v>31470</v>
      </c>
      <c r="W151" s="29">
        <v>32850</v>
      </c>
      <c r="X151" s="29">
        <v>34420</v>
      </c>
      <c r="Y151" s="29">
        <v>36100</v>
      </c>
      <c r="Z151" s="29">
        <v>38240</v>
      </c>
      <c r="AA151" s="29">
        <v>40600</v>
      </c>
      <c r="AB151" s="29">
        <v>42660</v>
      </c>
      <c r="AC151" s="29">
        <v>42930</v>
      </c>
      <c r="AD151" s="29">
        <v>43330</v>
      </c>
      <c r="AE151" s="29">
        <v>42690</v>
      </c>
      <c r="AF151" s="29">
        <v>42860</v>
      </c>
      <c r="AG151" s="29">
        <v>42630</v>
      </c>
      <c r="AH151" s="29">
        <v>40970</v>
      </c>
      <c r="AI151" s="29">
        <v>39840</v>
      </c>
      <c r="AJ151" s="29">
        <v>38580</v>
      </c>
      <c r="AK151" s="29">
        <v>38720</v>
      </c>
      <c r="AL151" s="29">
        <v>37310</v>
      </c>
      <c r="AM151" s="29">
        <v>35530</v>
      </c>
      <c r="AN151" s="29">
        <v>35550</v>
      </c>
      <c r="AO151" s="29">
        <v>36040</v>
      </c>
      <c r="AP151" s="29">
        <v>35850</v>
      </c>
      <c r="AQ151" s="29">
        <v>36390</v>
      </c>
      <c r="AR151" s="29">
        <v>38070</v>
      </c>
      <c r="AS151" s="29">
        <v>39380</v>
      </c>
      <c r="AT151" s="29">
        <v>39760</v>
      </c>
      <c r="AU151" s="29">
        <v>39960</v>
      </c>
      <c r="AV151" s="29">
        <v>39300</v>
      </c>
      <c r="AW151" s="29">
        <v>38840</v>
      </c>
      <c r="AX151" s="29">
        <v>38530</v>
      </c>
      <c r="AY151" s="29">
        <v>37840</v>
      </c>
      <c r="AZ151" s="29">
        <v>37760</v>
      </c>
      <c r="BA151" s="29">
        <v>37590</v>
      </c>
      <c r="BB151" s="29">
        <v>38030</v>
      </c>
      <c r="BC151" s="29">
        <v>38650</v>
      </c>
      <c r="BD151" s="29">
        <v>39200</v>
      </c>
      <c r="BE151" s="29">
        <v>39680</v>
      </c>
      <c r="BF151" s="29">
        <v>40050</v>
      </c>
      <c r="BG151" s="29">
        <v>40300</v>
      </c>
      <c r="BH151" s="29">
        <v>40460</v>
      </c>
      <c r="BI151" s="29">
        <v>40540</v>
      </c>
      <c r="BJ151" s="29">
        <v>40550</v>
      </c>
      <c r="BK151" s="29">
        <v>40490</v>
      </c>
      <c r="BL151" s="29">
        <v>40390</v>
      </c>
    </row>
    <row r="152" spans="1:64" x14ac:dyDescent="0.2">
      <c r="A152" s="29">
        <v>42</v>
      </c>
      <c r="B152" s="85">
        <v>31600</v>
      </c>
      <c r="C152" s="85">
        <v>30480</v>
      </c>
      <c r="D152" s="85">
        <v>30040</v>
      </c>
      <c r="E152" s="85">
        <v>29810</v>
      </c>
      <c r="F152" s="85">
        <v>30060</v>
      </c>
      <c r="G152" s="85">
        <v>30400</v>
      </c>
      <c r="H152" s="85">
        <v>29940</v>
      </c>
      <c r="I152" s="85">
        <v>30650</v>
      </c>
      <c r="J152" s="85">
        <v>30370</v>
      </c>
      <c r="K152" s="85">
        <v>29440</v>
      </c>
      <c r="L152" s="29">
        <v>28820</v>
      </c>
      <c r="M152" s="29">
        <v>27880</v>
      </c>
      <c r="N152" s="29">
        <v>27330</v>
      </c>
      <c r="O152" s="29">
        <v>27380</v>
      </c>
      <c r="P152" s="29">
        <v>26900</v>
      </c>
      <c r="Q152" s="29">
        <v>27680</v>
      </c>
      <c r="R152" s="29">
        <v>28190</v>
      </c>
      <c r="S152" s="29">
        <v>28990</v>
      </c>
      <c r="T152" s="29">
        <v>29290</v>
      </c>
      <c r="U152" s="29">
        <v>30460</v>
      </c>
      <c r="V152" s="29">
        <v>30990</v>
      </c>
      <c r="W152" s="29">
        <v>31500</v>
      </c>
      <c r="X152" s="29">
        <v>32890</v>
      </c>
      <c r="Y152" s="29">
        <v>34450</v>
      </c>
      <c r="Z152" s="29">
        <v>36130</v>
      </c>
      <c r="AA152" s="29">
        <v>38270</v>
      </c>
      <c r="AB152" s="29">
        <v>40620</v>
      </c>
      <c r="AC152" s="29">
        <v>42690</v>
      </c>
      <c r="AD152" s="29">
        <v>42950</v>
      </c>
      <c r="AE152" s="29">
        <v>43360</v>
      </c>
      <c r="AF152" s="29">
        <v>42720</v>
      </c>
      <c r="AG152" s="29">
        <v>42880</v>
      </c>
      <c r="AH152" s="29">
        <v>42660</v>
      </c>
      <c r="AI152" s="29">
        <v>41000</v>
      </c>
      <c r="AJ152" s="29">
        <v>39870</v>
      </c>
      <c r="AK152" s="29">
        <v>38610</v>
      </c>
      <c r="AL152" s="29">
        <v>38760</v>
      </c>
      <c r="AM152" s="29">
        <v>37340</v>
      </c>
      <c r="AN152" s="29">
        <v>35570</v>
      </c>
      <c r="AO152" s="29">
        <v>35590</v>
      </c>
      <c r="AP152" s="29">
        <v>36080</v>
      </c>
      <c r="AQ152" s="29">
        <v>35890</v>
      </c>
      <c r="AR152" s="29">
        <v>36430</v>
      </c>
      <c r="AS152" s="29">
        <v>38110</v>
      </c>
      <c r="AT152" s="29">
        <v>39420</v>
      </c>
      <c r="AU152" s="29">
        <v>39800</v>
      </c>
      <c r="AV152" s="29">
        <v>40000</v>
      </c>
      <c r="AW152" s="29">
        <v>39340</v>
      </c>
      <c r="AX152" s="29">
        <v>38880</v>
      </c>
      <c r="AY152" s="29">
        <v>38580</v>
      </c>
      <c r="AZ152" s="29">
        <v>37890</v>
      </c>
      <c r="BA152" s="29">
        <v>37810</v>
      </c>
      <c r="BB152" s="29">
        <v>37630</v>
      </c>
      <c r="BC152" s="29">
        <v>38080</v>
      </c>
      <c r="BD152" s="29">
        <v>38690</v>
      </c>
      <c r="BE152" s="29">
        <v>39250</v>
      </c>
      <c r="BF152" s="29">
        <v>39720</v>
      </c>
      <c r="BG152" s="29">
        <v>40100</v>
      </c>
      <c r="BH152" s="29">
        <v>40350</v>
      </c>
      <c r="BI152" s="29">
        <v>40500</v>
      </c>
      <c r="BJ152" s="29">
        <v>40590</v>
      </c>
      <c r="BK152" s="29">
        <v>40600</v>
      </c>
      <c r="BL152" s="29">
        <v>40540</v>
      </c>
    </row>
    <row r="153" spans="1:64" x14ac:dyDescent="0.2">
      <c r="A153" s="29">
        <v>43</v>
      </c>
      <c r="B153" s="85">
        <v>31940</v>
      </c>
      <c r="C153" s="85">
        <v>31630</v>
      </c>
      <c r="D153" s="85">
        <v>30470</v>
      </c>
      <c r="E153" s="85">
        <v>30040</v>
      </c>
      <c r="F153" s="85">
        <v>29760</v>
      </c>
      <c r="G153" s="85">
        <v>30010</v>
      </c>
      <c r="H153" s="85">
        <v>30300</v>
      </c>
      <c r="I153" s="85">
        <v>29990</v>
      </c>
      <c r="J153" s="85">
        <v>30780</v>
      </c>
      <c r="K153" s="85">
        <v>30630</v>
      </c>
      <c r="L153" s="29">
        <v>29760</v>
      </c>
      <c r="M153" s="29">
        <v>29040</v>
      </c>
      <c r="N153" s="29">
        <v>28060</v>
      </c>
      <c r="O153" s="29">
        <v>27470</v>
      </c>
      <c r="P153" s="29">
        <v>27480</v>
      </c>
      <c r="Q153" s="29">
        <v>26960</v>
      </c>
      <c r="R153" s="29">
        <v>27700</v>
      </c>
      <c r="S153" s="29">
        <v>28220</v>
      </c>
      <c r="T153" s="29">
        <v>29010</v>
      </c>
      <c r="U153" s="29">
        <v>29320</v>
      </c>
      <c r="V153" s="29">
        <v>30480</v>
      </c>
      <c r="W153" s="29">
        <v>31010</v>
      </c>
      <c r="X153" s="29">
        <v>31530</v>
      </c>
      <c r="Y153" s="29">
        <v>32910</v>
      </c>
      <c r="Z153" s="29">
        <v>34470</v>
      </c>
      <c r="AA153" s="29">
        <v>36150</v>
      </c>
      <c r="AB153" s="29">
        <v>38290</v>
      </c>
      <c r="AC153" s="29">
        <v>40640</v>
      </c>
      <c r="AD153" s="29">
        <v>42710</v>
      </c>
      <c r="AE153" s="29">
        <v>42970</v>
      </c>
      <c r="AF153" s="29">
        <v>43370</v>
      </c>
      <c r="AG153" s="29">
        <v>42740</v>
      </c>
      <c r="AH153" s="29">
        <v>42900</v>
      </c>
      <c r="AI153" s="29">
        <v>42680</v>
      </c>
      <c r="AJ153" s="29">
        <v>41020</v>
      </c>
      <c r="AK153" s="29">
        <v>39890</v>
      </c>
      <c r="AL153" s="29">
        <v>38640</v>
      </c>
      <c r="AM153" s="29">
        <v>38780</v>
      </c>
      <c r="AN153" s="29">
        <v>37370</v>
      </c>
      <c r="AO153" s="29">
        <v>35600</v>
      </c>
      <c r="AP153" s="29">
        <v>35620</v>
      </c>
      <c r="AQ153" s="29">
        <v>36110</v>
      </c>
      <c r="AR153" s="29">
        <v>35920</v>
      </c>
      <c r="AS153" s="29">
        <v>36470</v>
      </c>
      <c r="AT153" s="29">
        <v>38140</v>
      </c>
      <c r="AU153" s="29">
        <v>39450</v>
      </c>
      <c r="AV153" s="29">
        <v>39840</v>
      </c>
      <c r="AW153" s="29">
        <v>40030</v>
      </c>
      <c r="AX153" s="29">
        <v>39370</v>
      </c>
      <c r="AY153" s="29">
        <v>38910</v>
      </c>
      <c r="AZ153" s="29">
        <v>38610</v>
      </c>
      <c r="BA153" s="29">
        <v>37920</v>
      </c>
      <c r="BB153" s="29">
        <v>37850</v>
      </c>
      <c r="BC153" s="29">
        <v>37670</v>
      </c>
      <c r="BD153" s="29">
        <v>38120</v>
      </c>
      <c r="BE153" s="29">
        <v>38730</v>
      </c>
      <c r="BF153" s="29">
        <v>39290</v>
      </c>
      <c r="BG153" s="29">
        <v>39760</v>
      </c>
      <c r="BH153" s="29">
        <v>40140</v>
      </c>
      <c r="BI153" s="29">
        <v>40390</v>
      </c>
      <c r="BJ153" s="29">
        <v>40540</v>
      </c>
      <c r="BK153" s="29">
        <v>40630</v>
      </c>
      <c r="BL153" s="29">
        <v>40640</v>
      </c>
    </row>
    <row r="154" spans="1:64" x14ac:dyDescent="0.2">
      <c r="A154" s="29">
        <v>44</v>
      </c>
      <c r="B154" s="85">
        <v>32110</v>
      </c>
      <c r="C154" s="85">
        <v>31970</v>
      </c>
      <c r="D154" s="85">
        <v>31540</v>
      </c>
      <c r="E154" s="85">
        <v>30420</v>
      </c>
      <c r="F154" s="85">
        <v>30060</v>
      </c>
      <c r="G154" s="85">
        <v>29670</v>
      </c>
      <c r="H154" s="85">
        <v>29920</v>
      </c>
      <c r="I154" s="85">
        <v>30260</v>
      </c>
      <c r="J154" s="85">
        <v>30120</v>
      </c>
      <c r="K154" s="85">
        <v>30950</v>
      </c>
      <c r="L154" s="29">
        <v>30890</v>
      </c>
      <c r="M154" s="29">
        <v>29950</v>
      </c>
      <c r="N154" s="29">
        <v>29200</v>
      </c>
      <c r="O154" s="29">
        <v>28180</v>
      </c>
      <c r="P154" s="29">
        <v>27560</v>
      </c>
      <c r="Q154" s="29">
        <v>27540</v>
      </c>
      <c r="R154" s="29">
        <v>26980</v>
      </c>
      <c r="S154" s="29">
        <v>27720</v>
      </c>
      <c r="T154" s="29">
        <v>28230</v>
      </c>
      <c r="U154" s="29">
        <v>29030</v>
      </c>
      <c r="V154" s="29">
        <v>29330</v>
      </c>
      <c r="W154" s="29">
        <v>30500</v>
      </c>
      <c r="X154" s="29">
        <v>31030</v>
      </c>
      <c r="Y154" s="29">
        <v>31540</v>
      </c>
      <c r="Z154" s="29">
        <v>32920</v>
      </c>
      <c r="AA154" s="29">
        <v>34490</v>
      </c>
      <c r="AB154" s="29">
        <v>36160</v>
      </c>
      <c r="AC154" s="29">
        <v>38300</v>
      </c>
      <c r="AD154" s="29">
        <v>40650</v>
      </c>
      <c r="AE154" s="29">
        <v>42710</v>
      </c>
      <c r="AF154" s="29">
        <v>42980</v>
      </c>
      <c r="AG154" s="29">
        <v>43380</v>
      </c>
      <c r="AH154" s="29">
        <v>42750</v>
      </c>
      <c r="AI154" s="29">
        <v>42920</v>
      </c>
      <c r="AJ154" s="29">
        <v>42700</v>
      </c>
      <c r="AK154" s="29">
        <v>41040</v>
      </c>
      <c r="AL154" s="29">
        <v>39910</v>
      </c>
      <c r="AM154" s="29">
        <v>38660</v>
      </c>
      <c r="AN154" s="29">
        <v>38800</v>
      </c>
      <c r="AO154" s="29">
        <v>37400</v>
      </c>
      <c r="AP154" s="29">
        <v>35620</v>
      </c>
      <c r="AQ154" s="29">
        <v>35650</v>
      </c>
      <c r="AR154" s="29">
        <v>36140</v>
      </c>
      <c r="AS154" s="29">
        <v>35950</v>
      </c>
      <c r="AT154" s="29">
        <v>36490</v>
      </c>
      <c r="AU154" s="29">
        <v>38160</v>
      </c>
      <c r="AV154" s="29">
        <v>39480</v>
      </c>
      <c r="AW154" s="29">
        <v>39860</v>
      </c>
      <c r="AX154" s="29">
        <v>40050</v>
      </c>
      <c r="AY154" s="29">
        <v>39400</v>
      </c>
      <c r="AZ154" s="29">
        <v>38940</v>
      </c>
      <c r="BA154" s="29">
        <v>38640</v>
      </c>
      <c r="BB154" s="29">
        <v>37950</v>
      </c>
      <c r="BC154" s="29">
        <v>37880</v>
      </c>
      <c r="BD154" s="29">
        <v>37700</v>
      </c>
      <c r="BE154" s="29">
        <v>38150</v>
      </c>
      <c r="BF154" s="29">
        <v>38760</v>
      </c>
      <c r="BG154" s="29">
        <v>39320</v>
      </c>
      <c r="BH154" s="29">
        <v>39790</v>
      </c>
      <c r="BI154" s="29">
        <v>40170</v>
      </c>
      <c r="BJ154" s="29">
        <v>40420</v>
      </c>
      <c r="BK154" s="29">
        <v>40580</v>
      </c>
      <c r="BL154" s="29">
        <v>40660</v>
      </c>
    </row>
    <row r="155" spans="1:64" x14ac:dyDescent="0.2">
      <c r="A155" s="29">
        <v>45</v>
      </c>
      <c r="B155" s="85">
        <v>31490</v>
      </c>
      <c r="C155" s="85">
        <v>32140</v>
      </c>
      <c r="D155" s="85">
        <v>31920</v>
      </c>
      <c r="E155" s="85">
        <v>31530</v>
      </c>
      <c r="F155" s="85">
        <v>30400</v>
      </c>
      <c r="G155" s="85">
        <v>29970</v>
      </c>
      <c r="H155" s="85">
        <v>29530</v>
      </c>
      <c r="I155" s="85">
        <v>29930</v>
      </c>
      <c r="J155" s="85">
        <v>30380</v>
      </c>
      <c r="K155" s="85">
        <v>30250</v>
      </c>
      <c r="L155" s="29">
        <v>31160</v>
      </c>
      <c r="M155" s="29">
        <v>31050</v>
      </c>
      <c r="N155" s="29">
        <v>30090</v>
      </c>
      <c r="O155" s="29">
        <v>29300</v>
      </c>
      <c r="P155" s="29">
        <v>28260</v>
      </c>
      <c r="Q155" s="29">
        <v>27600</v>
      </c>
      <c r="R155" s="29">
        <v>27540</v>
      </c>
      <c r="S155" s="29">
        <v>26990</v>
      </c>
      <c r="T155" s="29">
        <v>27720</v>
      </c>
      <c r="U155" s="29">
        <v>28240</v>
      </c>
      <c r="V155" s="29">
        <v>29030</v>
      </c>
      <c r="W155" s="29">
        <v>29340</v>
      </c>
      <c r="X155" s="29">
        <v>30510</v>
      </c>
      <c r="Y155" s="29">
        <v>31030</v>
      </c>
      <c r="Z155" s="29">
        <v>31550</v>
      </c>
      <c r="AA155" s="29">
        <v>32930</v>
      </c>
      <c r="AB155" s="29">
        <v>34490</v>
      </c>
      <c r="AC155" s="29">
        <v>36170</v>
      </c>
      <c r="AD155" s="29">
        <v>38300</v>
      </c>
      <c r="AE155" s="29">
        <v>40650</v>
      </c>
      <c r="AF155" s="29">
        <v>42710</v>
      </c>
      <c r="AG155" s="29">
        <v>42980</v>
      </c>
      <c r="AH155" s="29">
        <v>43380</v>
      </c>
      <c r="AI155" s="29">
        <v>42750</v>
      </c>
      <c r="AJ155" s="29">
        <v>42920</v>
      </c>
      <c r="AK155" s="29">
        <v>42700</v>
      </c>
      <c r="AL155" s="29">
        <v>41050</v>
      </c>
      <c r="AM155" s="29">
        <v>39920</v>
      </c>
      <c r="AN155" s="29">
        <v>38670</v>
      </c>
      <c r="AO155" s="29">
        <v>38810</v>
      </c>
      <c r="AP155" s="29">
        <v>37410</v>
      </c>
      <c r="AQ155" s="29">
        <v>35640</v>
      </c>
      <c r="AR155" s="29">
        <v>35670</v>
      </c>
      <c r="AS155" s="29">
        <v>36160</v>
      </c>
      <c r="AT155" s="29">
        <v>35960</v>
      </c>
      <c r="AU155" s="29">
        <v>36510</v>
      </c>
      <c r="AV155" s="29">
        <v>38180</v>
      </c>
      <c r="AW155" s="29">
        <v>39490</v>
      </c>
      <c r="AX155" s="29">
        <v>39880</v>
      </c>
      <c r="AY155" s="29">
        <v>40070</v>
      </c>
      <c r="AZ155" s="29">
        <v>39420</v>
      </c>
      <c r="BA155" s="29">
        <v>38960</v>
      </c>
      <c r="BB155" s="29">
        <v>38660</v>
      </c>
      <c r="BC155" s="29">
        <v>37980</v>
      </c>
      <c r="BD155" s="29">
        <v>37900</v>
      </c>
      <c r="BE155" s="29">
        <v>37730</v>
      </c>
      <c r="BF155" s="29">
        <v>38170</v>
      </c>
      <c r="BG155" s="29">
        <v>38790</v>
      </c>
      <c r="BH155" s="29">
        <v>39340</v>
      </c>
      <c r="BI155" s="29">
        <v>39820</v>
      </c>
      <c r="BJ155" s="29">
        <v>40190</v>
      </c>
      <c r="BK155" s="29">
        <v>40450</v>
      </c>
      <c r="BL155" s="29">
        <v>40600</v>
      </c>
    </row>
    <row r="156" spans="1:64" x14ac:dyDescent="0.2">
      <c r="A156" s="29">
        <v>46</v>
      </c>
      <c r="B156" s="85">
        <v>30540</v>
      </c>
      <c r="C156" s="85">
        <v>31420</v>
      </c>
      <c r="D156" s="85">
        <v>32070</v>
      </c>
      <c r="E156" s="85">
        <v>31870</v>
      </c>
      <c r="F156" s="85">
        <v>31460</v>
      </c>
      <c r="G156" s="85">
        <v>30290</v>
      </c>
      <c r="H156" s="85">
        <v>29820</v>
      </c>
      <c r="I156" s="85">
        <v>29520</v>
      </c>
      <c r="J156" s="85">
        <v>29960</v>
      </c>
      <c r="K156" s="85">
        <v>30490</v>
      </c>
      <c r="L156" s="29">
        <v>30450</v>
      </c>
      <c r="M156" s="29">
        <v>31290</v>
      </c>
      <c r="N156" s="29">
        <v>31160</v>
      </c>
      <c r="O156" s="29">
        <v>30160</v>
      </c>
      <c r="P156" s="29">
        <v>29350</v>
      </c>
      <c r="Q156" s="29">
        <v>28280</v>
      </c>
      <c r="R156" s="29">
        <v>27590</v>
      </c>
      <c r="S156" s="29">
        <v>27540</v>
      </c>
      <c r="T156" s="29">
        <v>26980</v>
      </c>
      <c r="U156" s="29">
        <v>27720</v>
      </c>
      <c r="V156" s="29">
        <v>28240</v>
      </c>
      <c r="W156" s="29">
        <v>29030</v>
      </c>
      <c r="X156" s="29">
        <v>29340</v>
      </c>
      <c r="Y156" s="29">
        <v>30500</v>
      </c>
      <c r="Z156" s="29">
        <v>31030</v>
      </c>
      <c r="AA156" s="29">
        <v>31550</v>
      </c>
      <c r="AB156" s="29">
        <v>32930</v>
      </c>
      <c r="AC156" s="29">
        <v>34490</v>
      </c>
      <c r="AD156" s="29">
        <v>36160</v>
      </c>
      <c r="AE156" s="29">
        <v>38290</v>
      </c>
      <c r="AF156" s="29">
        <v>40640</v>
      </c>
      <c r="AG156" s="29">
        <v>42700</v>
      </c>
      <c r="AH156" s="29">
        <v>42970</v>
      </c>
      <c r="AI156" s="29">
        <v>43370</v>
      </c>
      <c r="AJ156" s="29">
        <v>42740</v>
      </c>
      <c r="AK156" s="29">
        <v>42910</v>
      </c>
      <c r="AL156" s="29">
        <v>42700</v>
      </c>
      <c r="AM156" s="29">
        <v>41040</v>
      </c>
      <c r="AN156" s="29">
        <v>39920</v>
      </c>
      <c r="AO156" s="29">
        <v>38670</v>
      </c>
      <c r="AP156" s="29">
        <v>38820</v>
      </c>
      <c r="AQ156" s="29">
        <v>37410</v>
      </c>
      <c r="AR156" s="29">
        <v>35640</v>
      </c>
      <c r="AS156" s="29">
        <v>35670</v>
      </c>
      <c r="AT156" s="29">
        <v>36160</v>
      </c>
      <c r="AU156" s="29">
        <v>35970</v>
      </c>
      <c r="AV156" s="29">
        <v>36520</v>
      </c>
      <c r="AW156" s="29">
        <v>38190</v>
      </c>
      <c r="AX156" s="29">
        <v>39500</v>
      </c>
      <c r="AY156" s="29">
        <v>39890</v>
      </c>
      <c r="AZ156" s="29">
        <v>40080</v>
      </c>
      <c r="BA156" s="29">
        <v>39430</v>
      </c>
      <c r="BB156" s="29">
        <v>38970</v>
      </c>
      <c r="BC156" s="29">
        <v>38670</v>
      </c>
      <c r="BD156" s="29">
        <v>37990</v>
      </c>
      <c r="BE156" s="29">
        <v>37910</v>
      </c>
      <c r="BF156" s="29">
        <v>37740</v>
      </c>
      <c r="BG156" s="29">
        <v>38180</v>
      </c>
      <c r="BH156" s="29">
        <v>38800</v>
      </c>
      <c r="BI156" s="29">
        <v>39360</v>
      </c>
      <c r="BJ156" s="29">
        <v>39830</v>
      </c>
      <c r="BK156" s="29">
        <v>40210</v>
      </c>
      <c r="BL156" s="29">
        <v>40460</v>
      </c>
    </row>
    <row r="157" spans="1:64" x14ac:dyDescent="0.2">
      <c r="A157" s="29">
        <v>47</v>
      </c>
      <c r="B157" s="85">
        <v>30080</v>
      </c>
      <c r="C157" s="85">
        <v>30470</v>
      </c>
      <c r="D157" s="85">
        <v>31270</v>
      </c>
      <c r="E157" s="85">
        <v>31960</v>
      </c>
      <c r="F157" s="85">
        <v>31720</v>
      </c>
      <c r="G157" s="85">
        <v>31300</v>
      </c>
      <c r="H157" s="85">
        <v>30150</v>
      </c>
      <c r="I157" s="85">
        <v>29680</v>
      </c>
      <c r="J157" s="85">
        <v>29530</v>
      </c>
      <c r="K157" s="85">
        <v>30030</v>
      </c>
      <c r="L157" s="29">
        <v>30610</v>
      </c>
      <c r="M157" s="29">
        <v>30550</v>
      </c>
      <c r="N157" s="29">
        <v>31360</v>
      </c>
      <c r="O157" s="29">
        <v>31210</v>
      </c>
      <c r="P157" s="29">
        <v>30190</v>
      </c>
      <c r="Q157" s="29">
        <v>29350</v>
      </c>
      <c r="R157" s="29">
        <v>28250</v>
      </c>
      <c r="S157" s="29">
        <v>27570</v>
      </c>
      <c r="T157" s="29">
        <v>27510</v>
      </c>
      <c r="U157" s="29">
        <v>26960</v>
      </c>
      <c r="V157" s="29">
        <v>27700</v>
      </c>
      <c r="W157" s="29">
        <v>28220</v>
      </c>
      <c r="X157" s="29">
        <v>29010</v>
      </c>
      <c r="Y157" s="29">
        <v>29320</v>
      </c>
      <c r="Z157" s="29">
        <v>30480</v>
      </c>
      <c r="AA157" s="29">
        <v>31010</v>
      </c>
      <c r="AB157" s="29">
        <v>31530</v>
      </c>
      <c r="AC157" s="29">
        <v>32910</v>
      </c>
      <c r="AD157" s="29">
        <v>34460</v>
      </c>
      <c r="AE157" s="29">
        <v>36140</v>
      </c>
      <c r="AF157" s="29">
        <v>38270</v>
      </c>
      <c r="AG157" s="29">
        <v>40610</v>
      </c>
      <c r="AH157" s="29">
        <v>42670</v>
      </c>
      <c r="AI157" s="29">
        <v>42940</v>
      </c>
      <c r="AJ157" s="29">
        <v>43350</v>
      </c>
      <c r="AK157" s="29">
        <v>42720</v>
      </c>
      <c r="AL157" s="29">
        <v>42890</v>
      </c>
      <c r="AM157" s="29">
        <v>42670</v>
      </c>
      <c r="AN157" s="29">
        <v>41020</v>
      </c>
      <c r="AO157" s="29">
        <v>39900</v>
      </c>
      <c r="AP157" s="29">
        <v>38660</v>
      </c>
      <c r="AQ157" s="29">
        <v>38800</v>
      </c>
      <c r="AR157" s="29">
        <v>37400</v>
      </c>
      <c r="AS157" s="29">
        <v>35640</v>
      </c>
      <c r="AT157" s="29">
        <v>35670</v>
      </c>
      <c r="AU157" s="29">
        <v>36150</v>
      </c>
      <c r="AV157" s="29">
        <v>35960</v>
      </c>
      <c r="AW157" s="29">
        <v>36510</v>
      </c>
      <c r="AX157" s="29">
        <v>38180</v>
      </c>
      <c r="AY157" s="29">
        <v>39490</v>
      </c>
      <c r="AZ157" s="29">
        <v>39880</v>
      </c>
      <c r="BA157" s="29">
        <v>40070</v>
      </c>
      <c r="BB157" s="29">
        <v>39420</v>
      </c>
      <c r="BC157" s="29">
        <v>38970</v>
      </c>
      <c r="BD157" s="29">
        <v>38670</v>
      </c>
      <c r="BE157" s="29">
        <v>37990</v>
      </c>
      <c r="BF157" s="29">
        <v>37910</v>
      </c>
      <c r="BG157" s="29">
        <v>37740</v>
      </c>
      <c r="BH157" s="29">
        <v>38180</v>
      </c>
      <c r="BI157" s="29">
        <v>38800</v>
      </c>
      <c r="BJ157" s="29">
        <v>39360</v>
      </c>
      <c r="BK157" s="29">
        <v>39830</v>
      </c>
      <c r="BL157" s="29">
        <v>40210</v>
      </c>
    </row>
    <row r="158" spans="1:64" x14ac:dyDescent="0.2">
      <c r="A158" s="29">
        <v>48</v>
      </c>
      <c r="B158" s="85">
        <v>28610</v>
      </c>
      <c r="C158" s="85">
        <v>30010</v>
      </c>
      <c r="D158" s="85">
        <v>30340</v>
      </c>
      <c r="E158" s="85">
        <v>31240</v>
      </c>
      <c r="F158" s="85">
        <v>31890</v>
      </c>
      <c r="G158" s="85">
        <v>31530</v>
      </c>
      <c r="H158" s="85">
        <v>31110</v>
      </c>
      <c r="I158" s="85">
        <v>30000</v>
      </c>
      <c r="J158" s="85">
        <v>29660</v>
      </c>
      <c r="K158" s="85">
        <v>29580</v>
      </c>
      <c r="L158" s="29">
        <v>30160</v>
      </c>
      <c r="M158" s="29">
        <v>30690</v>
      </c>
      <c r="N158" s="29">
        <v>30600</v>
      </c>
      <c r="O158" s="29">
        <v>31390</v>
      </c>
      <c r="P158" s="29">
        <v>31210</v>
      </c>
      <c r="Q158" s="29">
        <v>30170</v>
      </c>
      <c r="R158" s="29">
        <v>29310</v>
      </c>
      <c r="S158" s="29">
        <v>28210</v>
      </c>
      <c r="T158" s="29">
        <v>27530</v>
      </c>
      <c r="U158" s="29">
        <v>27480</v>
      </c>
      <c r="V158" s="29">
        <v>26930</v>
      </c>
      <c r="W158" s="29">
        <v>27670</v>
      </c>
      <c r="X158" s="29">
        <v>28180</v>
      </c>
      <c r="Y158" s="29">
        <v>28970</v>
      </c>
      <c r="Z158" s="29">
        <v>29280</v>
      </c>
      <c r="AA158" s="29">
        <v>30450</v>
      </c>
      <c r="AB158" s="29">
        <v>30970</v>
      </c>
      <c r="AC158" s="29">
        <v>31490</v>
      </c>
      <c r="AD158" s="29">
        <v>32870</v>
      </c>
      <c r="AE158" s="29">
        <v>34430</v>
      </c>
      <c r="AF158" s="29">
        <v>36100</v>
      </c>
      <c r="AG158" s="29">
        <v>38230</v>
      </c>
      <c r="AH158" s="29">
        <v>40570</v>
      </c>
      <c r="AI158" s="29">
        <v>42630</v>
      </c>
      <c r="AJ158" s="29">
        <v>42900</v>
      </c>
      <c r="AK158" s="29">
        <v>43310</v>
      </c>
      <c r="AL158" s="29">
        <v>42680</v>
      </c>
      <c r="AM158" s="29">
        <v>42850</v>
      </c>
      <c r="AN158" s="29">
        <v>42640</v>
      </c>
      <c r="AO158" s="29">
        <v>40990</v>
      </c>
      <c r="AP158" s="29">
        <v>39870</v>
      </c>
      <c r="AQ158" s="29">
        <v>38630</v>
      </c>
      <c r="AR158" s="29">
        <v>38770</v>
      </c>
      <c r="AS158" s="29">
        <v>37380</v>
      </c>
      <c r="AT158" s="29">
        <v>35610</v>
      </c>
      <c r="AU158" s="29">
        <v>35640</v>
      </c>
      <c r="AV158" s="29">
        <v>36130</v>
      </c>
      <c r="AW158" s="29">
        <v>35940</v>
      </c>
      <c r="AX158" s="29">
        <v>36490</v>
      </c>
      <c r="AY158" s="29">
        <v>38160</v>
      </c>
      <c r="AZ158" s="29">
        <v>39470</v>
      </c>
      <c r="BA158" s="29">
        <v>39860</v>
      </c>
      <c r="BB158" s="29">
        <v>40050</v>
      </c>
      <c r="BC158" s="29">
        <v>39400</v>
      </c>
      <c r="BD158" s="29">
        <v>38950</v>
      </c>
      <c r="BE158" s="29">
        <v>38650</v>
      </c>
      <c r="BF158" s="29">
        <v>37970</v>
      </c>
      <c r="BG158" s="29">
        <v>37900</v>
      </c>
      <c r="BH158" s="29">
        <v>37720</v>
      </c>
      <c r="BI158" s="29">
        <v>38170</v>
      </c>
      <c r="BJ158" s="29">
        <v>38790</v>
      </c>
      <c r="BK158" s="29">
        <v>39340</v>
      </c>
      <c r="BL158" s="29">
        <v>39820</v>
      </c>
    </row>
    <row r="159" spans="1:64" x14ac:dyDescent="0.2">
      <c r="A159" s="29">
        <v>49</v>
      </c>
      <c r="B159" s="85">
        <v>28400</v>
      </c>
      <c r="C159" s="85">
        <v>28490</v>
      </c>
      <c r="D159" s="85">
        <v>29860</v>
      </c>
      <c r="E159" s="85">
        <v>30220</v>
      </c>
      <c r="F159" s="85">
        <v>31130</v>
      </c>
      <c r="G159" s="85">
        <v>31760</v>
      </c>
      <c r="H159" s="85">
        <v>31330</v>
      </c>
      <c r="I159" s="85">
        <v>30960</v>
      </c>
      <c r="J159" s="85">
        <v>29980</v>
      </c>
      <c r="K159" s="85">
        <v>29710</v>
      </c>
      <c r="L159" s="29">
        <v>29620</v>
      </c>
      <c r="M159" s="29">
        <v>30210</v>
      </c>
      <c r="N159" s="29">
        <v>30710</v>
      </c>
      <c r="O159" s="29">
        <v>30610</v>
      </c>
      <c r="P159" s="29">
        <v>31370</v>
      </c>
      <c r="Q159" s="29">
        <v>31170</v>
      </c>
      <c r="R159" s="29">
        <v>30110</v>
      </c>
      <c r="S159" s="29">
        <v>29250</v>
      </c>
      <c r="T159" s="29">
        <v>28160</v>
      </c>
      <c r="U159" s="29">
        <v>27480</v>
      </c>
      <c r="V159" s="29">
        <v>27430</v>
      </c>
      <c r="W159" s="29">
        <v>26880</v>
      </c>
      <c r="X159" s="29">
        <v>27620</v>
      </c>
      <c r="Y159" s="29">
        <v>28140</v>
      </c>
      <c r="Z159" s="29">
        <v>28930</v>
      </c>
      <c r="AA159" s="29">
        <v>29240</v>
      </c>
      <c r="AB159" s="29">
        <v>30400</v>
      </c>
      <c r="AC159" s="29">
        <v>30930</v>
      </c>
      <c r="AD159" s="29">
        <v>31450</v>
      </c>
      <c r="AE159" s="29">
        <v>32820</v>
      </c>
      <c r="AF159" s="29">
        <v>34380</v>
      </c>
      <c r="AG159" s="29">
        <v>36050</v>
      </c>
      <c r="AH159" s="29">
        <v>38180</v>
      </c>
      <c r="AI159" s="29">
        <v>40520</v>
      </c>
      <c r="AJ159" s="29">
        <v>42580</v>
      </c>
      <c r="AK159" s="29">
        <v>42850</v>
      </c>
      <c r="AL159" s="29">
        <v>43250</v>
      </c>
      <c r="AM159" s="29">
        <v>42630</v>
      </c>
      <c r="AN159" s="29">
        <v>42800</v>
      </c>
      <c r="AO159" s="29">
        <v>42590</v>
      </c>
      <c r="AP159" s="29">
        <v>40940</v>
      </c>
      <c r="AQ159" s="29">
        <v>39830</v>
      </c>
      <c r="AR159" s="29">
        <v>38590</v>
      </c>
      <c r="AS159" s="29">
        <v>38740</v>
      </c>
      <c r="AT159" s="29">
        <v>37340</v>
      </c>
      <c r="AU159" s="29">
        <v>35580</v>
      </c>
      <c r="AV159" s="29">
        <v>35610</v>
      </c>
      <c r="AW159" s="29">
        <v>36100</v>
      </c>
      <c r="AX159" s="29">
        <v>35910</v>
      </c>
      <c r="AY159" s="29">
        <v>36460</v>
      </c>
      <c r="AZ159" s="29">
        <v>38130</v>
      </c>
      <c r="BA159" s="29">
        <v>39440</v>
      </c>
      <c r="BB159" s="29">
        <v>39830</v>
      </c>
      <c r="BC159" s="29">
        <v>40020</v>
      </c>
      <c r="BD159" s="29">
        <v>39370</v>
      </c>
      <c r="BE159" s="29">
        <v>38920</v>
      </c>
      <c r="BF159" s="29">
        <v>38630</v>
      </c>
      <c r="BG159" s="29">
        <v>37940</v>
      </c>
      <c r="BH159" s="29">
        <v>37870</v>
      </c>
      <c r="BI159" s="29">
        <v>37700</v>
      </c>
      <c r="BJ159" s="29">
        <v>38150</v>
      </c>
      <c r="BK159" s="29">
        <v>38760</v>
      </c>
      <c r="BL159" s="29">
        <v>39320</v>
      </c>
    </row>
    <row r="160" spans="1:64" x14ac:dyDescent="0.2">
      <c r="A160" s="29">
        <v>50</v>
      </c>
      <c r="B160" s="85">
        <v>27750</v>
      </c>
      <c r="C160" s="85">
        <v>28300</v>
      </c>
      <c r="D160" s="85">
        <v>28330</v>
      </c>
      <c r="E160" s="85">
        <v>29730</v>
      </c>
      <c r="F160" s="85">
        <v>30080</v>
      </c>
      <c r="G160" s="85">
        <v>30940</v>
      </c>
      <c r="H160" s="85">
        <v>31520</v>
      </c>
      <c r="I160" s="85">
        <v>31200</v>
      </c>
      <c r="J160" s="85">
        <v>30950</v>
      </c>
      <c r="K160" s="85">
        <v>29980</v>
      </c>
      <c r="L160" s="29">
        <v>29790</v>
      </c>
      <c r="M160" s="29">
        <v>29650</v>
      </c>
      <c r="N160" s="29">
        <v>30220</v>
      </c>
      <c r="O160" s="29">
        <v>30700</v>
      </c>
      <c r="P160" s="29">
        <v>30580</v>
      </c>
      <c r="Q160" s="29">
        <v>31320</v>
      </c>
      <c r="R160" s="29">
        <v>31100</v>
      </c>
      <c r="S160" s="29">
        <v>30040</v>
      </c>
      <c r="T160" s="29">
        <v>29190</v>
      </c>
      <c r="U160" s="29">
        <v>28100</v>
      </c>
      <c r="V160" s="29">
        <v>27420</v>
      </c>
      <c r="W160" s="29">
        <v>27370</v>
      </c>
      <c r="X160" s="29">
        <v>26830</v>
      </c>
      <c r="Y160" s="29">
        <v>27560</v>
      </c>
      <c r="Z160" s="29">
        <v>28080</v>
      </c>
      <c r="AA160" s="29">
        <v>28870</v>
      </c>
      <c r="AB160" s="29">
        <v>29180</v>
      </c>
      <c r="AC160" s="29">
        <v>30350</v>
      </c>
      <c r="AD160" s="29">
        <v>30870</v>
      </c>
      <c r="AE160" s="29">
        <v>31390</v>
      </c>
      <c r="AF160" s="29">
        <v>32770</v>
      </c>
      <c r="AG160" s="29">
        <v>34320</v>
      </c>
      <c r="AH160" s="29">
        <v>35990</v>
      </c>
      <c r="AI160" s="29">
        <v>38120</v>
      </c>
      <c r="AJ160" s="29">
        <v>40460</v>
      </c>
      <c r="AK160" s="29">
        <v>42520</v>
      </c>
      <c r="AL160" s="29">
        <v>42780</v>
      </c>
      <c r="AM160" s="29">
        <v>43190</v>
      </c>
      <c r="AN160" s="29">
        <v>42570</v>
      </c>
      <c r="AO160" s="29">
        <v>42740</v>
      </c>
      <c r="AP160" s="29">
        <v>42530</v>
      </c>
      <c r="AQ160" s="29">
        <v>40890</v>
      </c>
      <c r="AR160" s="29">
        <v>39780</v>
      </c>
      <c r="AS160" s="29">
        <v>38540</v>
      </c>
      <c r="AT160" s="29">
        <v>38690</v>
      </c>
      <c r="AU160" s="29">
        <v>37300</v>
      </c>
      <c r="AV160" s="29">
        <v>35540</v>
      </c>
      <c r="AW160" s="29">
        <v>35570</v>
      </c>
      <c r="AX160" s="29">
        <v>36060</v>
      </c>
      <c r="AY160" s="29">
        <v>35870</v>
      </c>
      <c r="AZ160" s="29">
        <v>36420</v>
      </c>
      <c r="BA160" s="29">
        <v>38090</v>
      </c>
      <c r="BB160" s="29">
        <v>39400</v>
      </c>
      <c r="BC160" s="29">
        <v>39790</v>
      </c>
      <c r="BD160" s="29">
        <v>39980</v>
      </c>
      <c r="BE160" s="29">
        <v>39340</v>
      </c>
      <c r="BF160" s="29">
        <v>38890</v>
      </c>
      <c r="BG160" s="29">
        <v>38590</v>
      </c>
      <c r="BH160" s="29">
        <v>37910</v>
      </c>
      <c r="BI160" s="29">
        <v>37840</v>
      </c>
      <c r="BJ160" s="29">
        <v>37670</v>
      </c>
      <c r="BK160" s="29">
        <v>38110</v>
      </c>
      <c r="BL160" s="29">
        <v>38730</v>
      </c>
    </row>
    <row r="161" spans="1:64" x14ac:dyDescent="0.2">
      <c r="A161" s="29">
        <v>51</v>
      </c>
      <c r="B161" s="85">
        <v>26550</v>
      </c>
      <c r="C161" s="85">
        <v>27630</v>
      </c>
      <c r="D161" s="85">
        <v>28160</v>
      </c>
      <c r="E161" s="85">
        <v>28190</v>
      </c>
      <c r="F161" s="85">
        <v>29630</v>
      </c>
      <c r="G161" s="85">
        <v>29880</v>
      </c>
      <c r="H161" s="85">
        <v>30740</v>
      </c>
      <c r="I161" s="85">
        <v>31370</v>
      </c>
      <c r="J161" s="85">
        <v>31170</v>
      </c>
      <c r="K161" s="85">
        <v>30930</v>
      </c>
      <c r="L161" s="29">
        <v>30020</v>
      </c>
      <c r="M161" s="29">
        <v>29800</v>
      </c>
      <c r="N161" s="29">
        <v>29650</v>
      </c>
      <c r="O161" s="29">
        <v>30200</v>
      </c>
      <c r="P161" s="29">
        <v>30660</v>
      </c>
      <c r="Q161" s="29">
        <v>30520</v>
      </c>
      <c r="R161" s="29">
        <v>31240</v>
      </c>
      <c r="S161" s="29">
        <v>31020</v>
      </c>
      <c r="T161" s="29">
        <v>29960</v>
      </c>
      <c r="U161" s="29">
        <v>29120</v>
      </c>
      <c r="V161" s="29">
        <v>28030</v>
      </c>
      <c r="W161" s="29">
        <v>27360</v>
      </c>
      <c r="X161" s="29">
        <v>27310</v>
      </c>
      <c r="Y161" s="29">
        <v>26770</v>
      </c>
      <c r="Z161" s="29">
        <v>27500</v>
      </c>
      <c r="AA161" s="29">
        <v>28020</v>
      </c>
      <c r="AB161" s="29">
        <v>28810</v>
      </c>
      <c r="AC161" s="29">
        <v>29120</v>
      </c>
      <c r="AD161" s="29">
        <v>30280</v>
      </c>
      <c r="AE161" s="29">
        <v>30810</v>
      </c>
      <c r="AF161" s="29">
        <v>31330</v>
      </c>
      <c r="AG161" s="29">
        <v>32710</v>
      </c>
      <c r="AH161" s="29">
        <v>34260</v>
      </c>
      <c r="AI161" s="29">
        <v>35930</v>
      </c>
      <c r="AJ161" s="29">
        <v>38050</v>
      </c>
      <c r="AK161" s="29">
        <v>40390</v>
      </c>
      <c r="AL161" s="29">
        <v>42450</v>
      </c>
      <c r="AM161" s="29">
        <v>42720</v>
      </c>
      <c r="AN161" s="29">
        <v>43130</v>
      </c>
      <c r="AO161" s="29">
        <v>42510</v>
      </c>
      <c r="AP161" s="29">
        <v>42680</v>
      </c>
      <c r="AQ161" s="29">
        <v>42470</v>
      </c>
      <c r="AR161" s="29">
        <v>40830</v>
      </c>
      <c r="AS161" s="29">
        <v>39720</v>
      </c>
      <c r="AT161" s="29">
        <v>38490</v>
      </c>
      <c r="AU161" s="29">
        <v>38640</v>
      </c>
      <c r="AV161" s="29">
        <v>37250</v>
      </c>
      <c r="AW161" s="29">
        <v>35490</v>
      </c>
      <c r="AX161" s="29">
        <v>35520</v>
      </c>
      <c r="AY161" s="29">
        <v>36020</v>
      </c>
      <c r="AZ161" s="29">
        <v>35830</v>
      </c>
      <c r="BA161" s="29">
        <v>36380</v>
      </c>
      <c r="BB161" s="29">
        <v>38050</v>
      </c>
      <c r="BC161" s="29">
        <v>39350</v>
      </c>
      <c r="BD161" s="29">
        <v>39740</v>
      </c>
      <c r="BE161" s="29">
        <v>39940</v>
      </c>
      <c r="BF161" s="29">
        <v>39290</v>
      </c>
      <c r="BG161" s="29">
        <v>38840</v>
      </c>
      <c r="BH161" s="29">
        <v>38550</v>
      </c>
      <c r="BI161" s="29">
        <v>37870</v>
      </c>
      <c r="BJ161" s="29">
        <v>37800</v>
      </c>
      <c r="BK161" s="29">
        <v>37630</v>
      </c>
      <c r="BL161" s="29">
        <v>38080</v>
      </c>
    </row>
    <row r="162" spans="1:64" x14ac:dyDescent="0.2">
      <c r="A162" s="29">
        <v>52</v>
      </c>
      <c r="B162" s="85">
        <v>25810</v>
      </c>
      <c r="C162" s="85">
        <v>26450</v>
      </c>
      <c r="D162" s="85">
        <v>27420</v>
      </c>
      <c r="E162" s="85">
        <v>27980</v>
      </c>
      <c r="F162" s="85">
        <v>28050</v>
      </c>
      <c r="G162" s="85">
        <v>29430</v>
      </c>
      <c r="H162" s="85">
        <v>29630</v>
      </c>
      <c r="I162" s="85">
        <v>30570</v>
      </c>
      <c r="J162" s="85">
        <v>31330</v>
      </c>
      <c r="K162" s="85">
        <v>31210</v>
      </c>
      <c r="L162" s="29">
        <v>30950</v>
      </c>
      <c r="M162" s="29">
        <v>30030</v>
      </c>
      <c r="N162" s="29">
        <v>29790</v>
      </c>
      <c r="O162" s="29">
        <v>29620</v>
      </c>
      <c r="P162" s="29">
        <v>30150</v>
      </c>
      <c r="Q162" s="29">
        <v>30600</v>
      </c>
      <c r="R162" s="29">
        <v>30430</v>
      </c>
      <c r="S162" s="29">
        <v>31150</v>
      </c>
      <c r="T162" s="29">
        <v>30930</v>
      </c>
      <c r="U162" s="29">
        <v>29890</v>
      </c>
      <c r="V162" s="29">
        <v>29040</v>
      </c>
      <c r="W162" s="29">
        <v>27960</v>
      </c>
      <c r="X162" s="29">
        <v>27290</v>
      </c>
      <c r="Y162" s="29">
        <v>27240</v>
      </c>
      <c r="Z162" s="29">
        <v>26710</v>
      </c>
      <c r="AA162" s="29">
        <v>27440</v>
      </c>
      <c r="AB162" s="29">
        <v>27960</v>
      </c>
      <c r="AC162" s="29">
        <v>28750</v>
      </c>
      <c r="AD162" s="29">
        <v>29060</v>
      </c>
      <c r="AE162" s="29">
        <v>30220</v>
      </c>
      <c r="AF162" s="29">
        <v>30750</v>
      </c>
      <c r="AG162" s="29">
        <v>31270</v>
      </c>
      <c r="AH162" s="29">
        <v>32640</v>
      </c>
      <c r="AI162" s="29">
        <v>34200</v>
      </c>
      <c r="AJ162" s="29">
        <v>35860</v>
      </c>
      <c r="AK162" s="29">
        <v>37990</v>
      </c>
      <c r="AL162" s="29">
        <v>40320</v>
      </c>
      <c r="AM162" s="29">
        <v>42370</v>
      </c>
      <c r="AN162" s="29">
        <v>42650</v>
      </c>
      <c r="AO162" s="29">
        <v>43060</v>
      </c>
      <c r="AP162" s="29">
        <v>42440</v>
      </c>
      <c r="AQ162" s="29">
        <v>42620</v>
      </c>
      <c r="AR162" s="29">
        <v>42410</v>
      </c>
      <c r="AS162" s="29">
        <v>40770</v>
      </c>
      <c r="AT162" s="29">
        <v>39670</v>
      </c>
      <c r="AU162" s="29">
        <v>38430</v>
      </c>
      <c r="AV162" s="29">
        <v>38580</v>
      </c>
      <c r="AW162" s="29">
        <v>37200</v>
      </c>
      <c r="AX162" s="29">
        <v>35440</v>
      </c>
      <c r="AY162" s="29">
        <v>35480</v>
      </c>
      <c r="AZ162" s="29">
        <v>35970</v>
      </c>
      <c r="BA162" s="29">
        <v>35780</v>
      </c>
      <c r="BB162" s="29">
        <v>36330</v>
      </c>
      <c r="BC162" s="29">
        <v>38000</v>
      </c>
      <c r="BD162" s="29">
        <v>39310</v>
      </c>
      <c r="BE162" s="29">
        <v>39700</v>
      </c>
      <c r="BF162" s="29">
        <v>39900</v>
      </c>
      <c r="BG162" s="29">
        <v>39250</v>
      </c>
      <c r="BH162" s="29">
        <v>38800</v>
      </c>
      <c r="BI162" s="29">
        <v>38510</v>
      </c>
      <c r="BJ162" s="29">
        <v>37830</v>
      </c>
      <c r="BK162" s="29">
        <v>37760</v>
      </c>
      <c r="BL162" s="29">
        <v>37590</v>
      </c>
    </row>
    <row r="163" spans="1:64" x14ac:dyDescent="0.2">
      <c r="A163" s="29">
        <v>53</v>
      </c>
      <c r="B163" s="85">
        <v>25070</v>
      </c>
      <c r="C163" s="85">
        <v>25680</v>
      </c>
      <c r="D163" s="85">
        <v>26270</v>
      </c>
      <c r="E163" s="85">
        <v>27290</v>
      </c>
      <c r="F163" s="85">
        <v>27870</v>
      </c>
      <c r="G163" s="85">
        <v>27840</v>
      </c>
      <c r="H163" s="85">
        <v>29190</v>
      </c>
      <c r="I163" s="85">
        <v>29500</v>
      </c>
      <c r="J163" s="85">
        <v>30530</v>
      </c>
      <c r="K163" s="85">
        <v>31260</v>
      </c>
      <c r="L163" s="29">
        <v>31190</v>
      </c>
      <c r="M163" s="29">
        <v>30950</v>
      </c>
      <c r="N163" s="29">
        <v>30010</v>
      </c>
      <c r="O163" s="29">
        <v>29760</v>
      </c>
      <c r="P163" s="29">
        <v>29570</v>
      </c>
      <c r="Q163" s="29">
        <v>30090</v>
      </c>
      <c r="R163" s="29">
        <v>30510</v>
      </c>
      <c r="S163" s="29">
        <v>30350</v>
      </c>
      <c r="T163" s="29">
        <v>31070</v>
      </c>
      <c r="U163" s="29">
        <v>30850</v>
      </c>
      <c r="V163" s="29">
        <v>29810</v>
      </c>
      <c r="W163" s="29">
        <v>28970</v>
      </c>
      <c r="X163" s="29">
        <v>27890</v>
      </c>
      <c r="Y163" s="29">
        <v>27230</v>
      </c>
      <c r="Z163" s="29">
        <v>27180</v>
      </c>
      <c r="AA163" s="29">
        <v>26640</v>
      </c>
      <c r="AB163" s="29">
        <v>27380</v>
      </c>
      <c r="AC163" s="29">
        <v>27900</v>
      </c>
      <c r="AD163" s="29">
        <v>28690</v>
      </c>
      <c r="AE163" s="29">
        <v>29000</v>
      </c>
      <c r="AF163" s="29">
        <v>30160</v>
      </c>
      <c r="AG163" s="29">
        <v>30690</v>
      </c>
      <c r="AH163" s="29">
        <v>31210</v>
      </c>
      <c r="AI163" s="29">
        <v>32580</v>
      </c>
      <c r="AJ163" s="29">
        <v>34140</v>
      </c>
      <c r="AK163" s="29">
        <v>35800</v>
      </c>
      <c r="AL163" s="29">
        <v>37920</v>
      </c>
      <c r="AM163" s="29">
        <v>40250</v>
      </c>
      <c r="AN163" s="29">
        <v>42310</v>
      </c>
      <c r="AO163" s="29">
        <v>42580</v>
      </c>
      <c r="AP163" s="29">
        <v>42990</v>
      </c>
      <c r="AQ163" s="29">
        <v>42380</v>
      </c>
      <c r="AR163" s="29">
        <v>42550</v>
      </c>
      <c r="AS163" s="29">
        <v>42350</v>
      </c>
      <c r="AT163" s="29">
        <v>40720</v>
      </c>
      <c r="AU163" s="29">
        <v>39610</v>
      </c>
      <c r="AV163" s="29">
        <v>38380</v>
      </c>
      <c r="AW163" s="29">
        <v>38530</v>
      </c>
      <c r="AX163" s="29">
        <v>37150</v>
      </c>
      <c r="AY163" s="29">
        <v>35400</v>
      </c>
      <c r="AZ163" s="29">
        <v>35440</v>
      </c>
      <c r="BA163" s="29">
        <v>35930</v>
      </c>
      <c r="BB163" s="29">
        <v>35740</v>
      </c>
      <c r="BC163" s="29">
        <v>36290</v>
      </c>
      <c r="BD163" s="29">
        <v>37960</v>
      </c>
      <c r="BE163" s="29">
        <v>39270</v>
      </c>
      <c r="BF163" s="29">
        <v>39660</v>
      </c>
      <c r="BG163" s="29">
        <v>39860</v>
      </c>
      <c r="BH163" s="29">
        <v>39210</v>
      </c>
      <c r="BI163" s="29">
        <v>38770</v>
      </c>
      <c r="BJ163" s="29">
        <v>38470</v>
      </c>
      <c r="BK163" s="29">
        <v>37800</v>
      </c>
      <c r="BL163" s="29">
        <v>37730</v>
      </c>
    </row>
    <row r="164" spans="1:64" x14ac:dyDescent="0.2">
      <c r="A164" s="29">
        <v>54</v>
      </c>
      <c r="B164" s="85">
        <v>24750</v>
      </c>
      <c r="C164" s="85">
        <v>24910</v>
      </c>
      <c r="D164" s="85">
        <v>25610</v>
      </c>
      <c r="E164" s="85">
        <v>26170</v>
      </c>
      <c r="F164" s="85">
        <v>27170</v>
      </c>
      <c r="G164" s="85">
        <v>27700</v>
      </c>
      <c r="H164" s="85">
        <v>27670</v>
      </c>
      <c r="I164" s="85">
        <v>29030</v>
      </c>
      <c r="J164" s="85">
        <v>29390</v>
      </c>
      <c r="K164" s="85">
        <v>30500</v>
      </c>
      <c r="L164" s="29">
        <v>31250</v>
      </c>
      <c r="M164" s="29">
        <v>31180</v>
      </c>
      <c r="N164" s="29">
        <v>30920</v>
      </c>
      <c r="O164" s="29">
        <v>29970</v>
      </c>
      <c r="P164" s="29">
        <v>29710</v>
      </c>
      <c r="Q164" s="29">
        <v>29510</v>
      </c>
      <c r="R164" s="29">
        <v>30000</v>
      </c>
      <c r="S164" s="29">
        <v>30430</v>
      </c>
      <c r="T164" s="29">
        <v>30270</v>
      </c>
      <c r="U164" s="29">
        <v>30990</v>
      </c>
      <c r="V164" s="29">
        <v>30780</v>
      </c>
      <c r="W164" s="29">
        <v>29740</v>
      </c>
      <c r="X164" s="29">
        <v>28900</v>
      </c>
      <c r="Y164" s="29">
        <v>27830</v>
      </c>
      <c r="Z164" s="29">
        <v>27170</v>
      </c>
      <c r="AA164" s="29">
        <v>27120</v>
      </c>
      <c r="AB164" s="29">
        <v>26590</v>
      </c>
      <c r="AC164" s="29">
        <v>27320</v>
      </c>
      <c r="AD164" s="29">
        <v>27840</v>
      </c>
      <c r="AE164" s="29">
        <v>28630</v>
      </c>
      <c r="AF164" s="29">
        <v>28950</v>
      </c>
      <c r="AG164" s="29">
        <v>30110</v>
      </c>
      <c r="AH164" s="29">
        <v>30640</v>
      </c>
      <c r="AI164" s="29">
        <v>31160</v>
      </c>
      <c r="AJ164" s="29">
        <v>32530</v>
      </c>
      <c r="AK164" s="29">
        <v>34080</v>
      </c>
      <c r="AL164" s="29">
        <v>35740</v>
      </c>
      <c r="AM164" s="29">
        <v>37860</v>
      </c>
      <c r="AN164" s="29">
        <v>40190</v>
      </c>
      <c r="AO164" s="29">
        <v>42240</v>
      </c>
      <c r="AP164" s="29">
        <v>42520</v>
      </c>
      <c r="AQ164" s="29">
        <v>42930</v>
      </c>
      <c r="AR164" s="29">
        <v>42320</v>
      </c>
      <c r="AS164" s="29">
        <v>42500</v>
      </c>
      <c r="AT164" s="29">
        <v>42290</v>
      </c>
      <c r="AU164" s="29">
        <v>40670</v>
      </c>
      <c r="AV164" s="29">
        <v>39560</v>
      </c>
      <c r="AW164" s="29">
        <v>38340</v>
      </c>
      <c r="AX164" s="29">
        <v>38490</v>
      </c>
      <c r="AY164" s="29">
        <v>37110</v>
      </c>
      <c r="AZ164" s="29">
        <v>35360</v>
      </c>
      <c r="BA164" s="29">
        <v>35400</v>
      </c>
      <c r="BB164" s="29">
        <v>35890</v>
      </c>
      <c r="BC164" s="29">
        <v>35710</v>
      </c>
      <c r="BD164" s="29">
        <v>36260</v>
      </c>
      <c r="BE164" s="29">
        <v>37920</v>
      </c>
      <c r="BF164" s="29">
        <v>39230</v>
      </c>
      <c r="BG164" s="29">
        <v>39620</v>
      </c>
      <c r="BH164" s="29">
        <v>39820</v>
      </c>
      <c r="BI164" s="29">
        <v>39180</v>
      </c>
      <c r="BJ164" s="29">
        <v>38740</v>
      </c>
      <c r="BK164" s="29">
        <v>38440</v>
      </c>
      <c r="BL164" s="29">
        <v>37770</v>
      </c>
    </row>
    <row r="165" spans="1:64" x14ac:dyDescent="0.2">
      <c r="A165" s="29">
        <v>55</v>
      </c>
      <c r="B165" s="85">
        <v>24160</v>
      </c>
      <c r="C165" s="85">
        <v>24590</v>
      </c>
      <c r="D165" s="85">
        <v>24710</v>
      </c>
      <c r="E165" s="85">
        <v>25530</v>
      </c>
      <c r="F165" s="85">
        <v>26030</v>
      </c>
      <c r="G165" s="85">
        <v>26960</v>
      </c>
      <c r="H165" s="85">
        <v>27520</v>
      </c>
      <c r="I165" s="85">
        <v>27530</v>
      </c>
      <c r="J165" s="85">
        <v>28930</v>
      </c>
      <c r="K165" s="85">
        <v>29390</v>
      </c>
      <c r="L165" s="29">
        <v>30420</v>
      </c>
      <c r="M165" s="29">
        <v>31230</v>
      </c>
      <c r="N165" s="29">
        <v>31140</v>
      </c>
      <c r="O165" s="29">
        <v>30880</v>
      </c>
      <c r="P165" s="29">
        <v>29920</v>
      </c>
      <c r="Q165" s="29">
        <v>29640</v>
      </c>
      <c r="R165" s="29">
        <v>29430</v>
      </c>
      <c r="S165" s="29">
        <v>29920</v>
      </c>
      <c r="T165" s="29">
        <v>30350</v>
      </c>
      <c r="U165" s="29">
        <v>30190</v>
      </c>
      <c r="V165" s="29">
        <v>30910</v>
      </c>
      <c r="W165" s="29">
        <v>30700</v>
      </c>
      <c r="X165" s="29">
        <v>29670</v>
      </c>
      <c r="Y165" s="29">
        <v>28840</v>
      </c>
      <c r="Z165" s="29">
        <v>27770</v>
      </c>
      <c r="AA165" s="29">
        <v>27110</v>
      </c>
      <c r="AB165" s="29">
        <v>27070</v>
      </c>
      <c r="AC165" s="29">
        <v>26540</v>
      </c>
      <c r="AD165" s="29">
        <v>27270</v>
      </c>
      <c r="AE165" s="29">
        <v>27790</v>
      </c>
      <c r="AF165" s="29">
        <v>28580</v>
      </c>
      <c r="AG165" s="29">
        <v>28900</v>
      </c>
      <c r="AH165" s="29">
        <v>30060</v>
      </c>
      <c r="AI165" s="29">
        <v>30590</v>
      </c>
      <c r="AJ165" s="29">
        <v>31110</v>
      </c>
      <c r="AK165" s="29">
        <v>32480</v>
      </c>
      <c r="AL165" s="29">
        <v>34030</v>
      </c>
      <c r="AM165" s="29">
        <v>35690</v>
      </c>
      <c r="AN165" s="29">
        <v>37810</v>
      </c>
      <c r="AO165" s="29">
        <v>40140</v>
      </c>
      <c r="AP165" s="29">
        <v>42190</v>
      </c>
      <c r="AQ165" s="29">
        <v>42460</v>
      </c>
      <c r="AR165" s="29">
        <v>42880</v>
      </c>
      <c r="AS165" s="29">
        <v>42270</v>
      </c>
      <c r="AT165" s="29">
        <v>42450</v>
      </c>
      <c r="AU165" s="29">
        <v>42240</v>
      </c>
      <c r="AV165" s="29">
        <v>40620</v>
      </c>
      <c r="AW165" s="29">
        <v>39520</v>
      </c>
      <c r="AX165" s="29">
        <v>38300</v>
      </c>
      <c r="AY165" s="29">
        <v>38450</v>
      </c>
      <c r="AZ165" s="29">
        <v>37070</v>
      </c>
      <c r="BA165" s="29">
        <v>35330</v>
      </c>
      <c r="BB165" s="29">
        <v>35370</v>
      </c>
      <c r="BC165" s="29">
        <v>35860</v>
      </c>
      <c r="BD165" s="29">
        <v>35680</v>
      </c>
      <c r="BE165" s="29">
        <v>36230</v>
      </c>
      <c r="BF165" s="29">
        <v>37900</v>
      </c>
      <c r="BG165" s="29">
        <v>39200</v>
      </c>
      <c r="BH165" s="29">
        <v>39590</v>
      </c>
      <c r="BI165" s="29">
        <v>39800</v>
      </c>
      <c r="BJ165" s="29">
        <v>39160</v>
      </c>
      <c r="BK165" s="29">
        <v>38710</v>
      </c>
      <c r="BL165" s="29">
        <v>38420</v>
      </c>
    </row>
    <row r="166" spans="1:64" x14ac:dyDescent="0.2">
      <c r="A166" s="29">
        <v>56</v>
      </c>
      <c r="B166" s="85">
        <v>24180</v>
      </c>
      <c r="C166" s="85">
        <v>24100</v>
      </c>
      <c r="D166" s="85">
        <v>24450</v>
      </c>
      <c r="E166" s="85">
        <v>24570</v>
      </c>
      <c r="F166" s="85">
        <v>25410</v>
      </c>
      <c r="G166" s="85">
        <v>25870</v>
      </c>
      <c r="H166" s="85">
        <v>26760</v>
      </c>
      <c r="I166" s="85">
        <v>27380</v>
      </c>
      <c r="J166" s="85">
        <v>27440</v>
      </c>
      <c r="K166" s="85">
        <v>28860</v>
      </c>
      <c r="L166" s="29">
        <v>29390</v>
      </c>
      <c r="M166" s="29">
        <v>30390</v>
      </c>
      <c r="N166" s="29">
        <v>31190</v>
      </c>
      <c r="O166" s="29">
        <v>31090</v>
      </c>
      <c r="P166" s="29">
        <v>30820</v>
      </c>
      <c r="Q166" s="29">
        <v>29850</v>
      </c>
      <c r="R166" s="29">
        <v>29560</v>
      </c>
      <c r="S166" s="29">
        <v>29350</v>
      </c>
      <c r="T166" s="29">
        <v>29850</v>
      </c>
      <c r="U166" s="29">
        <v>30270</v>
      </c>
      <c r="V166" s="29">
        <v>30120</v>
      </c>
      <c r="W166" s="29">
        <v>30840</v>
      </c>
      <c r="X166" s="29">
        <v>30640</v>
      </c>
      <c r="Y166" s="29">
        <v>29610</v>
      </c>
      <c r="Z166" s="29">
        <v>28780</v>
      </c>
      <c r="AA166" s="29">
        <v>27720</v>
      </c>
      <c r="AB166" s="29">
        <v>27060</v>
      </c>
      <c r="AC166" s="29">
        <v>27020</v>
      </c>
      <c r="AD166" s="29">
        <v>26500</v>
      </c>
      <c r="AE166" s="29">
        <v>27230</v>
      </c>
      <c r="AF166" s="29">
        <v>27750</v>
      </c>
      <c r="AG166" s="29">
        <v>28540</v>
      </c>
      <c r="AH166" s="29">
        <v>28860</v>
      </c>
      <c r="AI166" s="29">
        <v>30010</v>
      </c>
      <c r="AJ166" s="29">
        <v>30550</v>
      </c>
      <c r="AK166" s="29">
        <v>31070</v>
      </c>
      <c r="AL166" s="29">
        <v>32440</v>
      </c>
      <c r="AM166" s="29">
        <v>33990</v>
      </c>
      <c r="AN166" s="29">
        <v>35650</v>
      </c>
      <c r="AO166" s="29">
        <v>37760</v>
      </c>
      <c r="AP166" s="29">
        <v>40090</v>
      </c>
      <c r="AQ166" s="29">
        <v>42130</v>
      </c>
      <c r="AR166" s="29">
        <v>42410</v>
      </c>
      <c r="AS166" s="29">
        <v>42830</v>
      </c>
      <c r="AT166" s="29">
        <v>42220</v>
      </c>
      <c r="AU166" s="29">
        <v>42400</v>
      </c>
      <c r="AV166" s="29">
        <v>42200</v>
      </c>
      <c r="AW166" s="29">
        <v>40580</v>
      </c>
      <c r="AX166" s="29">
        <v>39490</v>
      </c>
      <c r="AY166" s="29">
        <v>38270</v>
      </c>
      <c r="AZ166" s="29">
        <v>38420</v>
      </c>
      <c r="BA166" s="29">
        <v>37050</v>
      </c>
      <c r="BB166" s="29">
        <v>35310</v>
      </c>
      <c r="BC166" s="29">
        <v>35350</v>
      </c>
      <c r="BD166" s="29">
        <v>35840</v>
      </c>
      <c r="BE166" s="29">
        <v>35660</v>
      </c>
      <c r="BF166" s="29">
        <v>36210</v>
      </c>
      <c r="BG166" s="29">
        <v>37880</v>
      </c>
      <c r="BH166" s="29">
        <v>39180</v>
      </c>
      <c r="BI166" s="29">
        <v>39580</v>
      </c>
      <c r="BJ166" s="29">
        <v>39780</v>
      </c>
      <c r="BK166" s="29">
        <v>39140</v>
      </c>
      <c r="BL166" s="29">
        <v>38700</v>
      </c>
    </row>
    <row r="167" spans="1:64" x14ac:dyDescent="0.2">
      <c r="A167" s="29">
        <v>57</v>
      </c>
      <c r="B167" s="85">
        <v>23830</v>
      </c>
      <c r="C167" s="85">
        <v>24030</v>
      </c>
      <c r="D167" s="85">
        <v>23970</v>
      </c>
      <c r="E167" s="85">
        <v>24310</v>
      </c>
      <c r="F167" s="85">
        <v>24480</v>
      </c>
      <c r="G167" s="85">
        <v>25290</v>
      </c>
      <c r="H167" s="85">
        <v>25730</v>
      </c>
      <c r="I167" s="85">
        <v>26620</v>
      </c>
      <c r="J167" s="85">
        <v>27360</v>
      </c>
      <c r="K167" s="85">
        <v>27380</v>
      </c>
      <c r="L167" s="29">
        <v>28850</v>
      </c>
      <c r="M167" s="29">
        <v>29360</v>
      </c>
      <c r="N167" s="29">
        <v>30350</v>
      </c>
      <c r="O167" s="29">
        <v>31140</v>
      </c>
      <c r="P167" s="29">
        <v>31030</v>
      </c>
      <c r="Q167" s="29">
        <v>30740</v>
      </c>
      <c r="R167" s="29">
        <v>29770</v>
      </c>
      <c r="S167" s="29">
        <v>29480</v>
      </c>
      <c r="T167" s="29">
        <v>29280</v>
      </c>
      <c r="U167" s="29">
        <v>29780</v>
      </c>
      <c r="V167" s="29">
        <v>30200</v>
      </c>
      <c r="W167" s="29">
        <v>30060</v>
      </c>
      <c r="X167" s="29">
        <v>30780</v>
      </c>
      <c r="Y167" s="29">
        <v>30570</v>
      </c>
      <c r="Z167" s="29">
        <v>29550</v>
      </c>
      <c r="AA167" s="29">
        <v>28730</v>
      </c>
      <c r="AB167" s="29">
        <v>27670</v>
      </c>
      <c r="AC167" s="29">
        <v>27020</v>
      </c>
      <c r="AD167" s="29">
        <v>26980</v>
      </c>
      <c r="AE167" s="29">
        <v>26460</v>
      </c>
      <c r="AF167" s="29">
        <v>27190</v>
      </c>
      <c r="AG167" s="29">
        <v>27710</v>
      </c>
      <c r="AH167" s="29">
        <v>28510</v>
      </c>
      <c r="AI167" s="29">
        <v>28820</v>
      </c>
      <c r="AJ167" s="29">
        <v>29980</v>
      </c>
      <c r="AK167" s="29">
        <v>30510</v>
      </c>
      <c r="AL167" s="29">
        <v>31040</v>
      </c>
      <c r="AM167" s="29">
        <v>32400</v>
      </c>
      <c r="AN167" s="29">
        <v>33950</v>
      </c>
      <c r="AO167" s="29">
        <v>35610</v>
      </c>
      <c r="AP167" s="29">
        <v>37720</v>
      </c>
      <c r="AQ167" s="29">
        <v>40050</v>
      </c>
      <c r="AR167" s="29">
        <v>42090</v>
      </c>
      <c r="AS167" s="29">
        <v>42370</v>
      </c>
      <c r="AT167" s="29">
        <v>42790</v>
      </c>
      <c r="AU167" s="29">
        <v>42180</v>
      </c>
      <c r="AV167" s="29">
        <v>42370</v>
      </c>
      <c r="AW167" s="29">
        <v>42170</v>
      </c>
      <c r="AX167" s="29">
        <v>40550</v>
      </c>
      <c r="AY167" s="29">
        <v>39460</v>
      </c>
      <c r="AZ167" s="29">
        <v>38240</v>
      </c>
      <c r="BA167" s="29">
        <v>38400</v>
      </c>
      <c r="BB167" s="29">
        <v>37030</v>
      </c>
      <c r="BC167" s="29">
        <v>35290</v>
      </c>
      <c r="BD167" s="29">
        <v>35330</v>
      </c>
      <c r="BE167" s="29">
        <v>35830</v>
      </c>
      <c r="BF167" s="29">
        <v>35650</v>
      </c>
      <c r="BG167" s="29">
        <v>36200</v>
      </c>
      <c r="BH167" s="29">
        <v>37860</v>
      </c>
      <c r="BI167" s="29">
        <v>39170</v>
      </c>
      <c r="BJ167" s="29">
        <v>39560</v>
      </c>
      <c r="BK167" s="29">
        <v>39770</v>
      </c>
      <c r="BL167" s="29">
        <v>39130</v>
      </c>
    </row>
    <row r="168" spans="1:64" x14ac:dyDescent="0.2">
      <c r="A168" s="29">
        <v>58</v>
      </c>
      <c r="B168" s="85">
        <v>23890</v>
      </c>
      <c r="C168" s="85">
        <v>23710</v>
      </c>
      <c r="D168" s="85">
        <v>23900</v>
      </c>
      <c r="E168" s="85">
        <v>23870</v>
      </c>
      <c r="F168" s="85">
        <v>24240</v>
      </c>
      <c r="G168" s="85">
        <v>24350</v>
      </c>
      <c r="H168" s="85">
        <v>25160</v>
      </c>
      <c r="I168" s="85">
        <v>25610</v>
      </c>
      <c r="J168" s="85">
        <v>26570</v>
      </c>
      <c r="K168" s="85">
        <v>27280</v>
      </c>
      <c r="L168" s="29">
        <v>27310</v>
      </c>
      <c r="M168" s="29">
        <v>28830</v>
      </c>
      <c r="N168" s="29">
        <v>29340</v>
      </c>
      <c r="O168" s="29">
        <v>30310</v>
      </c>
      <c r="P168" s="29">
        <v>31080</v>
      </c>
      <c r="Q168" s="29">
        <v>30960</v>
      </c>
      <c r="R168" s="29">
        <v>30670</v>
      </c>
      <c r="S168" s="29">
        <v>29700</v>
      </c>
      <c r="T168" s="29">
        <v>29420</v>
      </c>
      <c r="U168" s="29">
        <v>29220</v>
      </c>
      <c r="V168" s="29">
        <v>29710</v>
      </c>
      <c r="W168" s="29">
        <v>30140</v>
      </c>
      <c r="X168" s="29">
        <v>30000</v>
      </c>
      <c r="Y168" s="29">
        <v>30720</v>
      </c>
      <c r="Z168" s="29">
        <v>30520</v>
      </c>
      <c r="AA168" s="29">
        <v>29510</v>
      </c>
      <c r="AB168" s="29">
        <v>28690</v>
      </c>
      <c r="AC168" s="29">
        <v>27630</v>
      </c>
      <c r="AD168" s="29">
        <v>26990</v>
      </c>
      <c r="AE168" s="29">
        <v>26950</v>
      </c>
      <c r="AF168" s="29">
        <v>26430</v>
      </c>
      <c r="AG168" s="29">
        <v>27170</v>
      </c>
      <c r="AH168" s="29">
        <v>27690</v>
      </c>
      <c r="AI168" s="29">
        <v>28480</v>
      </c>
      <c r="AJ168" s="29">
        <v>28800</v>
      </c>
      <c r="AK168" s="29">
        <v>29950</v>
      </c>
      <c r="AL168" s="29">
        <v>30490</v>
      </c>
      <c r="AM168" s="29">
        <v>31010</v>
      </c>
      <c r="AN168" s="29">
        <v>32380</v>
      </c>
      <c r="AO168" s="29">
        <v>33920</v>
      </c>
      <c r="AP168" s="29">
        <v>35580</v>
      </c>
      <c r="AQ168" s="29">
        <v>37690</v>
      </c>
      <c r="AR168" s="29">
        <v>40010</v>
      </c>
      <c r="AS168" s="29">
        <v>42060</v>
      </c>
      <c r="AT168" s="29">
        <v>42340</v>
      </c>
      <c r="AU168" s="29">
        <v>42760</v>
      </c>
      <c r="AV168" s="29">
        <v>42160</v>
      </c>
      <c r="AW168" s="29">
        <v>42340</v>
      </c>
      <c r="AX168" s="29">
        <v>42150</v>
      </c>
      <c r="AY168" s="29">
        <v>40540</v>
      </c>
      <c r="AZ168" s="29">
        <v>39450</v>
      </c>
      <c r="BA168" s="29">
        <v>38230</v>
      </c>
      <c r="BB168" s="29">
        <v>38390</v>
      </c>
      <c r="BC168" s="29">
        <v>37020</v>
      </c>
      <c r="BD168" s="29">
        <v>35290</v>
      </c>
      <c r="BE168" s="29">
        <v>35330</v>
      </c>
      <c r="BF168" s="29">
        <v>35830</v>
      </c>
      <c r="BG168" s="29">
        <v>35650</v>
      </c>
      <c r="BH168" s="29">
        <v>36200</v>
      </c>
      <c r="BI168" s="29">
        <v>37870</v>
      </c>
      <c r="BJ168" s="29">
        <v>39170</v>
      </c>
      <c r="BK168" s="29">
        <v>39570</v>
      </c>
      <c r="BL168" s="29">
        <v>39770</v>
      </c>
    </row>
    <row r="169" spans="1:64" x14ac:dyDescent="0.2">
      <c r="A169" s="29">
        <v>59</v>
      </c>
      <c r="B169" s="85">
        <v>24020</v>
      </c>
      <c r="C169" s="85">
        <v>23810</v>
      </c>
      <c r="D169" s="85">
        <v>23610</v>
      </c>
      <c r="E169" s="85">
        <v>23740</v>
      </c>
      <c r="F169" s="85">
        <v>23780</v>
      </c>
      <c r="G169" s="85">
        <v>24060</v>
      </c>
      <c r="H169" s="85">
        <v>24210</v>
      </c>
      <c r="I169" s="85">
        <v>25030</v>
      </c>
      <c r="J169" s="85">
        <v>25550</v>
      </c>
      <c r="K169" s="85">
        <v>26530</v>
      </c>
      <c r="L169" s="29">
        <v>27290</v>
      </c>
      <c r="M169" s="29">
        <v>27310</v>
      </c>
      <c r="N169" s="29">
        <v>28810</v>
      </c>
      <c r="O169" s="29">
        <v>29300</v>
      </c>
      <c r="P169" s="29">
        <v>30260</v>
      </c>
      <c r="Q169" s="29">
        <v>31020</v>
      </c>
      <c r="R169" s="29">
        <v>30890</v>
      </c>
      <c r="S169" s="29">
        <v>30600</v>
      </c>
      <c r="T169" s="29">
        <v>29630</v>
      </c>
      <c r="U169" s="29">
        <v>29360</v>
      </c>
      <c r="V169" s="29">
        <v>29160</v>
      </c>
      <c r="W169" s="29">
        <v>29660</v>
      </c>
      <c r="X169" s="29">
        <v>30090</v>
      </c>
      <c r="Y169" s="29">
        <v>29950</v>
      </c>
      <c r="Z169" s="29">
        <v>30670</v>
      </c>
      <c r="AA169" s="29">
        <v>30480</v>
      </c>
      <c r="AB169" s="29">
        <v>29470</v>
      </c>
      <c r="AC169" s="29">
        <v>28660</v>
      </c>
      <c r="AD169" s="29">
        <v>27610</v>
      </c>
      <c r="AE169" s="29">
        <v>26970</v>
      </c>
      <c r="AF169" s="29">
        <v>26930</v>
      </c>
      <c r="AG169" s="29">
        <v>26420</v>
      </c>
      <c r="AH169" s="29">
        <v>27150</v>
      </c>
      <c r="AI169" s="29">
        <v>27670</v>
      </c>
      <c r="AJ169" s="29">
        <v>28470</v>
      </c>
      <c r="AK169" s="29">
        <v>28780</v>
      </c>
      <c r="AL169" s="29">
        <v>29940</v>
      </c>
      <c r="AM169" s="29">
        <v>30470</v>
      </c>
      <c r="AN169" s="29">
        <v>31000</v>
      </c>
      <c r="AO169" s="29">
        <v>32360</v>
      </c>
      <c r="AP169" s="29">
        <v>33910</v>
      </c>
      <c r="AQ169" s="29">
        <v>35570</v>
      </c>
      <c r="AR169" s="29">
        <v>37670</v>
      </c>
      <c r="AS169" s="29">
        <v>39990</v>
      </c>
      <c r="AT169" s="29">
        <v>42040</v>
      </c>
      <c r="AU169" s="29">
        <v>42320</v>
      </c>
      <c r="AV169" s="29">
        <v>42740</v>
      </c>
      <c r="AW169" s="29">
        <v>42140</v>
      </c>
      <c r="AX169" s="29">
        <v>42330</v>
      </c>
      <c r="AY169" s="29">
        <v>42130</v>
      </c>
      <c r="AZ169" s="29">
        <v>40530</v>
      </c>
      <c r="BA169" s="29">
        <v>39440</v>
      </c>
      <c r="BB169" s="29">
        <v>38230</v>
      </c>
      <c r="BC169" s="29">
        <v>38390</v>
      </c>
      <c r="BD169" s="29">
        <v>37030</v>
      </c>
      <c r="BE169" s="29">
        <v>35300</v>
      </c>
      <c r="BF169" s="29">
        <v>35340</v>
      </c>
      <c r="BG169" s="29">
        <v>35840</v>
      </c>
      <c r="BH169" s="29">
        <v>35660</v>
      </c>
      <c r="BI169" s="29">
        <v>36220</v>
      </c>
      <c r="BJ169" s="29">
        <v>37880</v>
      </c>
      <c r="BK169" s="29">
        <v>39190</v>
      </c>
      <c r="BL169" s="29">
        <v>39580</v>
      </c>
    </row>
    <row r="170" spans="1:64" x14ac:dyDescent="0.2">
      <c r="A170" s="29">
        <v>60</v>
      </c>
      <c r="B170" s="85">
        <v>20160</v>
      </c>
      <c r="C170" s="85">
        <v>23860</v>
      </c>
      <c r="D170" s="85">
        <v>23690</v>
      </c>
      <c r="E170" s="85">
        <v>23510</v>
      </c>
      <c r="F170" s="85">
        <v>23680</v>
      </c>
      <c r="G170" s="85">
        <v>23700</v>
      </c>
      <c r="H170" s="85">
        <v>23950</v>
      </c>
      <c r="I170" s="85">
        <v>24120</v>
      </c>
      <c r="J170" s="85">
        <v>24970</v>
      </c>
      <c r="K170" s="85">
        <v>25550</v>
      </c>
      <c r="L170" s="29">
        <v>26530</v>
      </c>
      <c r="M170" s="29">
        <v>27290</v>
      </c>
      <c r="N170" s="29">
        <v>27300</v>
      </c>
      <c r="O170" s="29">
        <v>28780</v>
      </c>
      <c r="P170" s="29">
        <v>29260</v>
      </c>
      <c r="Q170" s="29">
        <v>30200</v>
      </c>
      <c r="R170" s="29">
        <v>30940</v>
      </c>
      <c r="S170" s="29">
        <v>30820</v>
      </c>
      <c r="T170" s="29">
        <v>30530</v>
      </c>
      <c r="U170" s="29">
        <v>29580</v>
      </c>
      <c r="V170" s="29">
        <v>29310</v>
      </c>
      <c r="W170" s="29">
        <v>29110</v>
      </c>
      <c r="X170" s="29">
        <v>29620</v>
      </c>
      <c r="Y170" s="29">
        <v>30050</v>
      </c>
      <c r="Z170" s="29">
        <v>29910</v>
      </c>
      <c r="AA170" s="29">
        <v>30630</v>
      </c>
      <c r="AB170" s="29">
        <v>30440</v>
      </c>
      <c r="AC170" s="29">
        <v>29440</v>
      </c>
      <c r="AD170" s="29">
        <v>28630</v>
      </c>
      <c r="AE170" s="29">
        <v>27590</v>
      </c>
      <c r="AF170" s="29">
        <v>26950</v>
      </c>
      <c r="AG170" s="29">
        <v>26920</v>
      </c>
      <c r="AH170" s="29">
        <v>26410</v>
      </c>
      <c r="AI170" s="29">
        <v>27150</v>
      </c>
      <c r="AJ170" s="29">
        <v>27670</v>
      </c>
      <c r="AK170" s="29">
        <v>28460</v>
      </c>
      <c r="AL170" s="29">
        <v>28780</v>
      </c>
      <c r="AM170" s="29">
        <v>29930</v>
      </c>
      <c r="AN170" s="29">
        <v>30470</v>
      </c>
      <c r="AO170" s="29">
        <v>31000</v>
      </c>
      <c r="AP170" s="29">
        <v>32360</v>
      </c>
      <c r="AQ170" s="29">
        <v>33900</v>
      </c>
      <c r="AR170" s="29">
        <v>35560</v>
      </c>
      <c r="AS170" s="29">
        <v>37660</v>
      </c>
      <c r="AT170" s="29">
        <v>39980</v>
      </c>
      <c r="AU170" s="29">
        <v>42020</v>
      </c>
      <c r="AV170" s="29">
        <v>42310</v>
      </c>
      <c r="AW170" s="29">
        <v>42730</v>
      </c>
      <c r="AX170" s="29">
        <v>42130</v>
      </c>
      <c r="AY170" s="29">
        <v>42320</v>
      </c>
      <c r="AZ170" s="29">
        <v>42130</v>
      </c>
      <c r="BA170" s="29">
        <v>40530</v>
      </c>
      <c r="BB170" s="29">
        <v>39450</v>
      </c>
      <c r="BC170" s="29">
        <v>38240</v>
      </c>
      <c r="BD170" s="29">
        <v>38400</v>
      </c>
      <c r="BE170" s="29">
        <v>37040</v>
      </c>
      <c r="BF170" s="29">
        <v>35320</v>
      </c>
      <c r="BG170" s="29">
        <v>35360</v>
      </c>
      <c r="BH170" s="29">
        <v>35860</v>
      </c>
      <c r="BI170" s="29">
        <v>35690</v>
      </c>
      <c r="BJ170" s="29">
        <v>36240</v>
      </c>
      <c r="BK170" s="29">
        <v>37900</v>
      </c>
      <c r="BL170" s="29">
        <v>39210</v>
      </c>
    </row>
    <row r="171" spans="1:64" x14ac:dyDescent="0.2">
      <c r="A171" s="29">
        <v>61</v>
      </c>
      <c r="B171" s="85">
        <v>19140</v>
      </c>
      <c r="C171" s="85">
        <v>20030</v>
      </c>
      <c r="D171" s="85">
        <v>23700</v>
      </c>
      <c r="E171" s="85">
        <v>23550</v>
      </c>
      <c r="F171" s="85">
        <v>23420</v>
      </c>
      <c r="G171" s="85">
        <v>23540</v>
      </c>
      <c r="H171" s="85">
        <v>23580</v>
      </c>
      <c r="I171" s="85">
        <v>23850</v>
      </c>
      <c r="J171" s="85">
        <v>24090</v>
      </c>
      <c r="K171" s="85">
        <v>24940</v>
      </c>
      <c r="L171" s="29">
        <v>25570</v>
      </c>
      <c r="M171" s="29">
        <v>26530</v>
      </c>
      <c r="N171" s="29">
        <v>27280</v>
      </c>
      <c r="O171" s="29">
        <v>27280</v>
      </c>
      <c r="P171" s="29">
        <v>28740</v>
      </c>
      <c r="Q171" s="29">
        <v>29200</v>
      </c>
      <c r="R171" s="29">
        <v>30130</v>
      </c>
      <c r="S171" s="29">
        <v>30870</v>
      </c>
      <c r="T171" s="29">
        <v>30750</v>
      </c>
      <c r="U171" s="29">
        <v>30470</v>
      </c>
      <c r="V171" s="29">
        <v>29520</v>
      </c>
      <c r="W171" s="29">
        <v>29260</v>
      </c>
      <c r="X171" s="29">
        <v>29070</v>
      </c>
      <c r="Y171" s="29">
        <v>29570</v>
      </c>
      <c r="Z171" s="29">
        <v>30010</v>
      </c>
      <c r="AA171" s="29">
        <v>29880</v>
      </c>
      <c r="AB171" s="29">
        <v>30600</v>
      </c>
      <c r="AC171" s="29">
        <v>30410</v>
      </c>
      <c r="AD171" s="29">
        <v>29410</v>
      </c>
      <c r="AE171" s="29">
        <v>28610</v>
      </c>
      <c r="AF171" s="29">
        <v>27580</v>
      </c>
      <c r="AG171" s="29">
        <v>26940</v>
      </c>
      <c r="AH171" s="29">
        <v>26920</v>
      </c>
      <c r="AI171" s="29">
        <v>26410</v>
      </c>
      <c r="AJ171" s="29">
        <v>27140</v>
      </c>
      <c r="AK171" s="29">
        <v>27670</v>
      </c>
      <c r="AL171" s="29">
        <v>28460</v>
      </c>
      <c r="AM171" s="29">
        <v>28780</v>
      </c>
      <c r="AN171" s="29">
        <v>29930</v>
      </c>
      <c r="AO171" s="29">
        <v>30470</v>
      </c>
      <c r="AP171" s="29">
        <v>31000</v>
      </c>
      <c r="AQ171" s="29">
        <v>32360</v>
      </c>
      <c r="AR171" s="29">
        <v>33900</v>
      </c>
      <c r="AS171" s="29">
        <v>35560</v>
      </c>
      <c r="AT171" s="29">
        <v>37660</v>
      </c>
      <c r="AU171" s="29">
        <v>39980</v>
      </c>
      <c r="AV171" s="29">
        <v>42010</v>
      </c>
      <c r="AW171" s="29">
        <v>42300</v>
      </c>
      <c r="AX171" s="29">
        <v>42720</v>
      </c>
      <c r="AY171" s="29">
        <v>42130</v>
      </c>
      <c r="AZ171" s="29">
        <v>42320</v>
      </c>
      <c r="BA171" s="29">
        <v>42140</v>
      </c>
      <c r="BB171" s="29">
        <v>40540</v>
      </c>
      <c r="BC171" s="29">
        <v>39460</v>
      </c>
      <c r="BD171" s="29">
        <v>38260</v>
      </c>
      <c r="BE171" s="29">
        <v>38420</v>
      </c>
      <c r="BF171" s="29">
        <v>37070</v>
      </c>
      <c r="BG171" s="29">
        <v>35350</v>
      </c>
      <c r="BH171" s="29">
        <v>35390</v>
      </c>
      <c r="BI171" s="29">
        <v>35890</v>
      </c>
      <c r="BJ171" s="29">
        <v>35720</v>
      </c>
      <c r="BK171" s="29">
        <v>36270</v>
      </c>
      <c r="BL171" s="29">
        <v>37930</v>
      </c>
    </row>
    <row r="172" spans="1:64" x14ac:dyDescent="0.2">
      <c r="A172" s="29">
        <v>62</v>
      </c>
      <c r="B172" s="85">
        <v>18400</v>
      </c>
      <c r="C172" s="85">
        <v>19020</v>
      </c>
      <c r="D172" s="85">
        <v>19890</v>
      </c>
      <c r="E172" s="85">
        <v>23560</v>
      </c>
      <c r="F172" s="85">
        <v>23450</v>
      </c>
      <c r="G172" s="85">
        <v>23330</v>
      </c>
      <c r="H172" s="85">
        <v>23410</v>
      </c>
      <c r="I172" s="85">
        <v>23520</v>
      </c>
      <c r="J172" s="85">
        <v>23790</v>
      </c>
      <c r="K172" s="85">
        <v>24050</v>
      </c>
      <c r="L172" s="29">
        <v>24890</v>
      </c>
      <c r="M172" s="29">
        <v>25570</v>
      </c>
      <c r="N172" s="29">
        <v>26520</v>
      </c>
      <c r="O172" s="29">
        <v>27250</v>
      </c>
      <c r="P172" s="29">
        <v>27240</v>
      </c>
      <c r="Q172" s="29">
        <v>28680</v>
      </c>
      <c r="R172" s="29">
        <v>29130</v>
      </c>
      <c r="S172" s="29">
        <v>30050</v>
      </c>
      <c r="T172" s="29">
        <v>30800</v>
      </c>
      <c r="U172" s="29">
        <v>30680</v>
      </c>
      <c r="V172" s="29">
        <v>30400</v>
      </c>
      <c r="W172" s="29">
        <v>29470</v>
      </c>
      <c r="X172" s="29">
        <v>29210</v>
      </c>
      <c r="Y172" s="29">
        <v>29020</v>
      </c>
      <c r="Z172" s="29">
        <v>29530</v>
      </c>
      <c r="AA172" s="29">
        <v>29970</v>
      </c>
      <c r="AB172" s="29">
        <v>29840</v>
      </c>
      <c r="AC172" s="29">
        <v>30560</v>
      </c>
      <c r="AD172" s="29">
        <v>30380</v>
      </c>
      <c r="AE172" s="29">
        <v>29390</v>
      </c>
      <c r="AF172" s="29">
        <v>28590</v>
      </c>
      <c r="AG172" s="29">
        <v>27570</v>
      </c>
      <c r="AH172" s="29">
        <v>26940</v>
      </c>
      <c r="AI172" s="29">
        <v>26910</v>
      </c>
      <c r="AJ172" s="29">
        <v>26410</v>
      </c>
      <c r="AK172" s="29">
        <v>27140</v>
      </c>
      <c r="AL172" s="29">
        <v>27670</v>
      </c>
      <c r="AM172" s="29">
        <v>28460</v>
      </c>
      <c r="AN172" s="29">
        <v>28780</v>
      </c>
      <c r="AO172" s="29">
        <v>29940</v>
      </c>
      <c r="AP172" s="29">
        <v>30470</v>
      </c>
      <c r="AQ172" s="29">
        <v>31000</v>
      </c>
      <c r="AR172" s="29">
        <v>32360</v>
      </c>
      <c r="AS172" s="29">
        <v>33910</v>
      </c>
      <c r="AT172" s="29">
        <v>35560</v>
      </c>
      <c r="AU172" s="29">
        <v>37660</v>
      </c>
      <c r="AV172" s="29">
        <v>39970</v>
      </c>
      <c r="AW172" s="29">
        <v>42010</v>
      </c>
      <c r="AX172" s="29">
        <v>42300</v>
      </c>
      <c r="AY172" s="29">
        <v>42720</v>
      </c>
      <c r="AZ172" s="29">
        <v>42130</v>
      </c>
      <c r="BA172" s="29">
        <v>42330</v>
      </c>
      <c r="BB172" s="29">
        <v>42140</v>
      </c>
      <c r="BC172" s="29">
        <v>40550</v>
      </c>
      <c r="BD172" s="29">
        <v>39480</v>
      </c>
      <c r="BE172" s="29">
        <v>38280</v>
      </c>
      <c r="BF172" s="29">
        <v>38440</v>
      </c>
      <c r="BG172" s="29">
        <v>37090</v>
      </c>
      <c r="BH172" s="29">
        <v>35380</v>
      </c>
      <c r="BI172" s="29">
        <v>35420</v>
      </c>
      <c r="BJ172" s="29">
        <v>35920</v>
      </c>
      <c r="BK172" s="29">
        <v>35750</v>
      </c>
      <c r="BL172" s="29">
        <v>36310</v>
      </c>
    </row>
    <row r="173" spans="1:64" x14ac:dyDescent="0.2">
      <c r="A173" s="29">
        <v>63</v>
      </c>
      <c r="B173" s="85">
        <v>16270</v>
      </c>
      <c r="C173" s="85">
        <v>18230</v>
      </c>
      <c r="D173" s="85">
        <v>18890</v>
      </c>
      <c r="E173" s="85">
        <v>19760</v>
      </c>
      <c r="F173" s="85">
        <v>23410</v>
      </c>
      <c r="G173" s="85">
        <v>23320</v>
      </c>
      <c r="H173" s="85">
        <v>23240</v>
      </c>
      <c r="I173" s="85">
        <v>23270</v>
      </c>
      <c r="J173" s="85">
        <v>23450</v>
      </c>
      <c r="K173" s="85">
        <v>23720</v>
      </c>
      <c r="L173" s="29">
        <v>23970</v>
      </c>
      <c r="M173" s="29">
        <v>24880</v>
      </c>
      <c r="N173" s="29">
        <v>25540</v>
      </c>
      <c r="O173" s="29">
        <v>26470</v>
      </c>
      <c r="P173" s="29">
        <v>27190</v>
      </c>
      <c r="Q173" s="29">
        <v>27170</v>
      </c>
      <c r="R173" s="29">
        <v>28590</v>
      </c>
      <c r="S173" s="29">
        <v>29040</v>
      </c>
      <c r="T173" s="29">
        <v>29960</v>
      </c>
      <c r="U173" s="29">
        <v>30710</v>
      </c>
      <c r="V173" s="29">
        <v>30600</v>
      </c>
      <c r="W173" s="29">
        <v>30330</v>
      </c>
      <c r="X173" s="29">
        <v>29400</v>
      </c>
      <c r="Y173" s="29">
        <v>29150</v>
      </c>
      <c r="Z173" s="29">
        <v>28970</v>
      </c>
      <c r="AA173" s="29">
        <v>29480</v>
      </c>
      <c r="AB173" s="29">
        <v>29920</v>
      </c>
      <c r="AC173" s="29">
        <v>29790</v>
      </c>
      <c r="AD173" s="29">
        <v>30520</v>
      </c>
      <c r="AE173" s="29">
        <v>30340</v>
      </c>
      <c r="AF173" s="29">
        <v>29350</v>
      </c>
      <c r="AG173" s="29">
        <v>28560</v>
      </c>
      <c r="AH173" s="29">
        <v>27550</v>
      </c>
      <c r="AI173" s="29">
        <v>26920</v>
      </c>
      <c r="AJ173" s="29">
        <v>26900</v>
      </c>
      <c r="AK173" s="29">
        <v>26400</v>
      </c>
      <c r="AL173" s="29">
        <v>27140</v>
      </c>
      <c r="AM173" s="29">
        <v>27660</v>
      </c>
      <c r="AN173" s="29">
        <v>28450</v>
      </c>
      <c r="AO173" s="29">
        <v>28780</v>
      </c>
      <c r="AP173" s="29">
        <v>29930</v>
      </c>
      <c r="AQ173" s="29">
        <v>30470</v>
      </c>
      <c r="AR173" s="29">
        <v>31000</v>
      </c>
      <c r="AS173" s="29">
        <v>32360</v>
      </c>
      <c r="AT173" s="29">
        <v>33900</v>
      </c>
      <c r="AU173" s="29">
        <v>35550</v>
      </c>
      <c r="AV173" s="29">
        <v>37650</v>
      </c>
      <c r="AW173" s="29">
        <v>39960</v>
      </c>
      <c r="AX173" s="29">
        <v>41990</v>
      </c>
      <c r="AY173" s="29">
        <v>42280</v>
      </c>
      <c r="AZ173" s="29">
        <v>42710</v>
      </c>
      <c r="BA173" s="29">
        <v>42130</v>
      </c>
      <c r="BB173" s="29">
        <v>42320</v>
      </c>
      <c r="BC173" s="29">
        <v>42140</v>
      </c>
      <c r="BD173" s="29">
        <v>40560</v>
      </c>
      <c r="BE173" s="29">
        <v>39490</v>
      </c>
      <c r="BF173" s="29">
        <v>38290</v>
      </c>
      <c r="BG173" s="29">
        <v>38460</v>
      </c>
      <c r="BH173" s="29">
        <v>37110</v>
      </c>
      <c r="BI173" s="29">
        <v>35400</v>
      </c>
      <c r="BJ173" s="29">
        <v>35450</v>
      </c>
      <c r="BK173" s="29">
        <v>35950</v>
      </c>
      <c r="BL173" s="29">
        <v>35780</v>
      </c>
    </row>
    <row r="174" spans="1:64" x14ac:dyDescent="0.2">
      <c r="A174" s="29">
        <v>64</v>
      </c>
      <c r="B174" s="85">
        <v>17930</v>
      </c>
      <c r="C174" s="85">
        <v>16110</v>
      </c>
      <c r="D174" s="85">
        <v>18080</v>
      </c>
      <c r="E174" s="85">
        <v>18740</v>
      </c>
      <c r="F174" s="85">
        <v>19670</v>
      </c>
      <c r="G174" s="85">
        <v>23280</v>
      </c>
      <c r="H174" s="85">
        <v>23190</v>
      </c>
      <c r="I174" s="85">
        <v>23140</v>
      </c>
      <c r="J174" s="85">
        <v>23190</v>
      </c>
      <c r="K174" s="85">
        <v>23390</v>
      </c>
      <c r="L174" s="29">
        <v>23670</v>
      </c>
      <c r="M174" s="29">
        <v>23930</v>
      </c>
      <c r="N174" s="29">
        <v>24830</v>
      </c>
      <c r="O174" s="29">
        <v>25470</v>
      </c>
      <c r="P174" s="29">
        <v>26390</v>
      </c>
      <c r="Q174" s="29">
        <v>27090</v>
      </c>
      <c r="R174" s="29">
        <v>27060</v>
      </c>
      <c r="S174" s="29">
        <v>28480</v>
      </c>
      <c r="T174" s="29">
        <v>28930</v>
      </c>
      <c r="U174" s="29">
        <v>29850</v>
      </c>
      <c r="V174" s="29">
        <v>30600</v>
      </c>
      <c r="W174" s="29">
        <v>30490</v>
      </c>
      <c r="X174" s="29">
        <v>30230</v>
      </c>
      <c r="Y174" s="29">
        <v>29320</v>
      </c>
      <c r="Z174" s="29">
        <v>29070</v>
      </c>
      <c r="AA174" s="29">
        <v>28890</v>
      </c>
      <c r="AB174" s="29">
        <v>29400</v>
      </c>
      <c r="AC174" s="29">
        <v>29840</v>
      </c>
      <c r="AD174" s="29">
        <v>29730</v>
      </c>
      <c r="AE174" s="29">
        <v>30450</v>
      </c>
      <c r="AF174" s="29">
        <v>30270</v>
      </c>
      <c r="AG174" s="29">
        <v>29300</v>
      </c>
      <c r="AH174" s="29">
        <v>28520</v>
      </c>
      <c r="AI174" s="29">
        <v>27510</v>
      </c>
      <c r="AJ174" s="29">
        <v>26890</v>
      </c>
      <c r="AK174" s="29">
        <v>26870</v>
      </c>
      <c r="AL174" s="29">
        <v>26380</v>
      </c>
      <c r="AM174" s="29">
        <v>27110</v>
      </c>
      <c r="AN174" s="29">
        <v>27640</v>
      </c>
      <c r="AO174" s="29">
        <v>28430</v>
      </c>
      <c r="AP174" s="29">
        <v>28760</v>
      </c>
      <c r="AQ174" s="29">
        <v>29910</v>
      </c>
      <c r="AR174" s="29">
        <v>30450</v>
      </c>
      <c r="AS174" s="29">
        <v>30980</v>
      </c>
      <c r="AT174" s="29">
        <v>32340</v>
      </c>
      <c r="AU174" s="29">
        <v>33880</v>
      </c>
      <c r="AV174" s="29">
        <v>35530</v>
      </c>
      <c r="AW174" s="29">
        <v>37620</v>
      </c>
      <c r="AX174" s="29">
        <v>39930</v>
      </c>
      <c r="AY174" s="29">
        <v>41960</v>
      </c>
      <c r="AZ174" s="29">
        <v>42260</v>
      </c>
      <c r="BA174" s="29">
        <v>42680</v>
      </c>
      <c r="BB174" s="29">
        <v>42110</v>
      </c>
      <c r="BC174" s="29">
        <v>42300</v>
      </c>
      <c r="BD174" s="29">
        <v>42130</v>
      </c>
      <c r="BE174" s="29">
        <v>40550</v>
      </c>
      <c r="BF174" s="29">
        <v>39480</v>
      </c>
      <c r="BG174" s="29">
        <v>38290</v>
      </c>
      <c r="BH174" s="29">
        <v>38460</v>
      </c>
      <c r="BI174" s="29">
        <v>37120</v>
      </c>
      <c r="BJ174" s="29">
        <v>35410</v>
      </c>
      <c r="BK174" s="29">
        <v>35460</v>
      </c>
      <c r="BL174" s="29">
        <v>35960</v>
      </c>
    </row>
    <row r="175" spans="1:64" x14ac:dyDescent="0.2">
      <c r="A175" s="29">
        <v>65</v>
      </c>
      <c r="B175" s="85">
        <v>17660</v>
      </c>
      <c r="C175" s="85">
        <v>17780</v>
      </c>
      <c r="D175" s="85">
        <v>15980</v>
      </c>
      <c r="E175" s="85">
        <v>17930</v>
      </c>
      <c r="F175" s="85">
        <v>18590</v>
      </c>
      <c r="G175" s="85">
        <v>19590</v>
      </c>
      <c r="H175" s="85">
        <v>23200</v>
      </c>
      <c r="I175" s="85">
        <v>23070</v>
      </c>
      <c r="J175" s="85">
        <v>23070</v>
      </c>
      <c r="K175" s="85">
        <v>23170</v>
      </c>
      <c r="L175" s="29">
        <v>23340</v>
      </c>
      <c r="M175" s="29">
        <v>23600</v>
      </c>
      <c r="N175" s="29">
        <v>23850</v>
      </c>
      <c r="O175" s="29">
        <v>24730</v>
      </c>
      <c r="P175" s="29">
        <v>25360</v>
      </c>
      <c r="Q175" s="29">
        <v>26270</v>
      </c>
      <c r="R175" s="29">
        <v>26950</v>
      </c>
      <c r="S175" s="29">
        <v>26930</v>
      </c>
      <c r="T175" s="29">
        <v>28340</v>
      </c>
      <c r="U175" s="29">
        <v>28800</v>
      </c>
      <c r="V175" s="29">
        <v>29720</v>
      </c>
      <c r="W175" s="29">
        <v>30470</v>
      </c>
      <c r="X175" s="29">
        <v>30370</v>
      </c>
      <c r="Y175" s="29">
        <v>30110</v>
      </c>
      <c r="Z175" s="29">
        <v>29210</v>
      </c>
      <c r="AA175" s="29">
        <v>28970</v>
      </c>
      <c r="AB175" s="29">
        <v>28800</v>
      </c>
      <c r="AC175" s="29">
        <v>29310</v>
      </c>
      <c r="AD175" s="29">
        <v>29750</v>
      </c>
      <c r="AE175" s="29">
        <v>29640</v>
      </c>
      <c r="AF175" s="29">
        <v>30360</v>
      </c>
      <c r="AG175" s="29">
        <v>30190</v>
      </c>
      <c r="AH175" s="29">
        <v>29230</v>
      </c>
      <c r="AI175" s="29">
        <v>28460</v>
      </c>
      <c r="AJ175" s="29">
        <v>27450</v>
      </c>
      <c r="AK175" s="29">
        <v>26840</v>
      </c>
      <c r="AL175" s="29">
        <v>26830</v>
      </c>
      <c r="AM175" s="29">
        <v>26340</v>
      </c>
      <c r="AN175" s="29">
        <v>27070</v>
      </c>
      <c r="AO175" s="29">
        <v>27600</v>
      </c>
      <c r="AP175" s="29">
        <v>28390</v>
      </c>
      <c r="AQ175" s="29">
        <v>28720</v>
      </c>
      <c r="AR175" s="29">
        <v>29870</v>
      </c>
      <c r="AS175" s="29">
        <v>30410</v>
      </c>
      <c r="AT175" s="29">
        <v>30950</v>
      </c>
      <c r="AU175" s="29">
        <v>32300</v>
      </c>
      <c r="AV175" s="29">
        <v>33840</v>
      </c>
      <c r="AW175" s="29">
        <v>35490</v>
      </c>
      <c r="AX175" s="29">
        <v>37580</v>
      </c>
      <c r="AY175" s="29">
        <v>39880</v>
      </c>
      <c r="AZ175" s="29">
        <v>41910</v>
      </c>
      <c r="BA175" s="29">
        <v>42210</v>
      </c>
      <c r="BB175" s="29">
        <v>42640</v>
      </c>
      <c r="BC175" s="29">
        <v>42070</v>
      </c>
      <c r="BD175" s="29">
        <v>42270</v>
      </c>
      <c r="BE175" s="29">
        <v>42090</v>
      </c>
      <c r="BF175" s="29">
        <v>40520</v>
      </c>
      <c r="BG175" s="29">
        <v>39460</v>
      </c>
      <c r="BH175" s="29">
        <v>38280</v>
      </c>
      <c r="BI175" s="29">
        <v>38450</v>
      </c>
      <c r="BJ175" s="29">
        <v>37110</v>
      </c>
      <c r="BK175" s="29">
        <v>35410</v>
      </c>
      <c r="BL175" s="29">
        <v>35460</v>
      </c>
    </row>
    <row r="176" spans="1:64" x14ac:dyDescent="0.2">
      <c r="A176" s="29">
        <v>66</v>
      </c>
      <c r="B176" s="85">
        <v>16280</v>
      </c>
      <c r="C176" s="85">
        <v>17430</v>
      </c>
      <c r="D176" s="85">
        <v>17580</v>
      </c>
      <c r="E176" s="85">
        <v>15830</v>
      </c>
      <c r="F176" s="85">
        <v>17790</v>
      </c>
      <c r="G176" s="85">
        <v>18420</v>
      </c>
      <c r="H176" s="85">
        <v>19390</v>
      </c>
      <c r="I176" s="85">
        <v>23050</v>
      </c>
      <c r="J176" s="85">
        <v>22910</v>
      </c>
      <c r="K176" s="85">
        <v>22870</v>
      </c>
      <c r="L176" s="29">
        <v>23040</v>
      </c>
      <c r="M176" s="29">
        <v>23230</v>
      </c>
      <c r="N176" s="29">
        <v>23490</v>
      </c>
      <c r="O176" s="29">
        <v>23730</v>
      </c>
      <c r="P176" s="29">
        <v>24590</v>
      </c>
      <c r="Q176" s="29">
        <v>25220</v>
      </c>
      <c r="R176" s="29">
        <v>26100</v>
      </c>
      <c r="S176" s="29">
        <v>26790</v>
      </c>
      <c r="T176" s="29">
        <v>26770</v>
      </c>
      <c r="U176" s="29">
        <v>28180</v>
      </c>
      <c r="V176" s="29">
        <v>28640</v>
      </c>
      <c r="W176" s="29">
        <v>29560</v>
      </c>
      <c r="X176" s="29">
        <v>30310</v>
      </c>
      <c r="Y176" s="29">
        <v>30220</v>
      </c>
      <c r="Z176" s="29">
        <v>29970</v>
      </c>
      <c r="AA176" s="29">
        <v>29080</v>
      </c>
      <c r="AB176" s="29">
        <v>28840</v>
      </c>
      <c r="AC176" s="29">
        <v>28680</v>
      </c>
      <c r="AD176" s="29">
        <v>29190</v>
      </c>
      <c r="AE176" s="29">
        <v>29640</v>
      </c>
      <c r="AF176" s="29">
        <v>29530</v>
      </c>
      <c r="AG176" s="29">
        <v>30260</v>
      </c>
      <c r="AH176" s="29">
        <v>30090</v>
      </c>
      <c r="AI176" s="29">
        <v>29140</v>
      </c>
      <c r="AJ176" s="29">
        <v>28370</v>
      </c>
      <c r="AK176" s="29">
        <v>27380</v>
      </c>
      <c r="AL176" s="29">
        <v>26770</v>
      </c>
      <c r="AM176" s="29">
        <v>26760</v>
      </c>
      <c r="AN176" s="29">
        <v>26280</v>
      </c>
      <c r="AO176" s="29">
        <v>27010</v>
      </c>
      <c r="AP176" s="29">
        <v>27540</v>
      </c>
      <c r="AQ176" s="29">
        <v>28340</v>
      </c>
      <c r="AR176" s="29">
        <v>28670</v>
      </c>
      <c r="AS176" s="29">
        <v>29820</v>
      </c>
      <c r="AT176" s="29">
        <v>30360</v>
      </c>
      <c r="AU176" s="29">
        <v>30890</v>
      </c>
      <c r="AV176" s="29">
        <v>32250</v>
      </c>
      <c r="AW176" s="29">
        <v>33780</v>
      </c>
      <c r="AX176" s="29">
        <v>35430</v>
      </c>
      <c r="AY176" s="29">
        <v>37520</v>
      </c>
      <c r="AZ176" s="29">
        <v>39820</v>
      </c>
      <c r="BA176" s="29">
        <v>41840</v>
      </c>
      <c r="BB176" s="29">
        <v>42140</v>
      </c>
      <c r="BC176" s="29">
        <v>42580</v>
      </c>
      <c r="BD176" s="29">
        <v>42010</v>
      </c>
      <c r="BE176" s="29">
        <v>42210</v>
      </c>
      <c r="BF176" s="29">
        <v>42040</v>
      </c>
      <c r="BG176" s="29">
        <v>40480</v>
      </c>
      <c r="BH176" s="29">
        <v>39420</v>
      </c>
      <c r="BI176" s="29">
        <v>38240</v>
      </c>
      <c r="BJ176" s="29">
        <v>38410</v>
      </c>
      <c r="BK176" s="29">
        <v>37080</v>
      </c>
      <c r="BL176" s="29">
        <v>35390</v>
      </c>
    </row>
    <row r="177" spans="1:64" x14ac:dyDescent="0.2">
      <c r="A177" s="29">
        <v>67</v>
      </c>
      <c r="B177" s="85">
        <v>14490</v>
      </c>
      <c r="C177" s="85">
        <v>16080</v>
      </c>
      <c r="D177" s="85">
        <v>17200</v>
      </c>
      <c r="E177" s="85">
        <v>17370</v>
      </c>
      <c r="F177" s="85">
        <v>15630</v>
      </c>
      <c r="G177" s="85">
        <v>17630</v>
      </c>
      <c r="H177" s="85">
        <v>18190</v>
      </c>
      <c r="I177" s="85">
        <v>19250</v>
      </c>
      <c r="J177" s="85">
        <v>22850</v>
      </c>
      <c r="K177" s="85">
        <v>22710</v>
      </c>
      <c r="L177" s="29">
        <v>22670</v>
      </c>
      <c r="M177" s="29">
        <v>22890</v>
      </c>
      <c r="N177" s="29">
        <v>23080</v>
      </c>
      <c r="O177" s="29">
        <v>23330</v>
      </c>
      <c r="P177" s="29">
        <v>23560</v>
      </c>
      <c r="Q177" s="29">
        <v>24410</v>
      </c>
      <c r="R177" s="29">
        <v>25030</v>
      </c>
      <c r="S177" s="29">
        <v>25910</v>
      </c>
      <c r="T177" s="29">
        <v>26600</v>
      </c>
      <c r="U177" s="29">
        <v>26590</v>
      </c>
      <c r="V177" s="29">
        <v>27990</v>
      </c>
      <c r="W177" s="29">
        <v>28450</v>
      </c>
      <c r="X177" s="29">
        <v>29370</v>
      </c>
      <c r="Y177" s="29">
        <v>30120</v>
      </c>
      <c r="Z177" s="29">
        <v>30040</v>
      </c>
      <c r="AA177" s="29">
        <v>29800</v>
      </c>
      <c r="AB177" s="29">
        <v>28920</v>
      </c>
      <c r="AC177" s="29">
        <v>28690</v>
      </c>
      <c r="AD177" s="29">
        <v>28540</v>
      </c>
      <c r="AE177" s="29">
        <v>29050</v>
      </c>
      <c r="AF177" s="29">
        <v>29500</v>
      </c>
      <c r="AG177" s="29">
        <v>29400</v>
      </c>
      <c r="AH177" s="29">
        <v>30120</v>
      </c>
      <c r="AI177" s="29">
        <v>29970</v>
      </c>
      <c r="AJ177" s="29">
        <v>29020</v>
      </c>
      <c r="AK177" s="29">
        <v>28260</v>
      </c>
      <c r="AL177" s="29">
        <v>27280</v>
      </c>
      <c r="AM177" s="29">
        <v>26680</v>
      </c>
      <c r="AN177" s="29">
        <v>26670</v>
      </c>
      <c r="AO177" s="29">
        <v>26200</v>
      </c>
      <c r="AP177" s="29">
        <v>26930</v>
      </c>
      <c r="AQ177" s="29">
        <v>27460</v>
      </c>
      <c r="AR177" s="29">
        <v>28260</v>
      </c>
      <c r="AS177" s="29">
        <v>28590</v>
      </c>
      <c r="AT177" s="29">
        <v>29740</v>
      </c>
      <c r="AU177" s="29">
        <v>30280</v>
      </c>
      <c r="AV177" s="29">
        <v>30820</v>
      </c>
      <c r="AW177" s="29">
        <v>32170</v>
      </c>
      <c r="AX177" s="29">
        <v>33700</v>
      </c>
      <c r="AY177" s="29">
        <v>35350</v>
      </c>
      <c r="AZ177" s="29">
        <v>37430</v>
      </c>
      <c r="BA177" s="29">
        <v>39730</v>
      </c>
      <c r="BB177" s="29">
        <v>41750</v>
      </c>
      <c r="BC177" s="29">
        <v>42060</v>
      </c>
      <c r="BD177" s="29">
        <v>42490</v>
      </c>
      <c r="BE177" s="29">
        <v>41930</v>
      </c>
      <c r="BF177" s="29">
        <v>42130</v>
      </c>
      <c r="BG177" s="29">
        <v>41970</v>
      </c>
      <c r="BH177" s="29">
        <v>40410</v>
      </c>
      <c r="BI177" s="29">
        <v>39360</v>
      </c>
      <c r="BJ177" s="29">
        <v>38190</v>
      </c>
      <c r="BK177" s="29">
        <v>38360</v>
      </c>
      <c r="BL177" s="29">
        <v>37040</v>
      </c>
    </row>
    <row r="178" spans="1:64" x14ac:dyDescent="0.2">
      <c r="A178" s="29">
        <v>68</v>
      </c>
      <c r="B178" s="85">
        <v>13990</v>
      </c>
      <c r="C178" s="85">
        <v>14260</v>
      </c>
      <c r="D178" s="85">
        <v>15840</v>
      </c>
      <c r="E178" s="85">
        <v>16980</v>
      </c>
      <c r="F178" s="85">
        <v>17180</v>
      </c>
      <c r="G178" s="85">
        <v>15460</v>
      </c>
      <c r="H178" s="85">
        <v>17420</v>
      </c>
      <c r="I178" s="85">
        <v>18010</v>
      </c>
      <c r="J178" s="85">
        <v>19070</v>
      </c>
      <c r="K178" s="85">
        <v>22610</v>
      </c>
      <c r="L178" s="29">
        <v>22560</v>
      </c>
      <c r="M178" s="29">
        <v>22490</v>
      </c>
      <c r="N178" s="29">
        <v>22700</v>
      </c>
      <c r="O178" s="29">
        <v>22890</v>
      </c>
      <c r="P178" s="29">
        <v>23130</v>
      </c>
      <c r="Q178" s="29">
        <v>23360</v>
      </c>
      <c r="R178" s="29">
        <v>24190</v>
      </c>
      <c r="S178" s="29">
        <v>24810</v>
      </c>
      <c r="T178" s="29">
        <v>25690</v>
      </c>
      <c r="U178" s="29">
        <v>26380</v>
      </c>
      <c r="V178" s="29">
        <v>26380</v>
      </c>
      <c r="W178" s="29">
        <v>27780</v>
      </c>
      <c r="X178" s="29">
        <v>28240</v>
      </c>
      <c r="Y178" s="29">
        <v>29160</v>
      </c>
      <c r="Z178" s="29">
        <v>29910</v>
      </c>
      <c r="AA178" s="29">
        <v>29830</v>
      </c>
      <c r="AB178" s="29">
        <v>29600</v>
      </c>
      <c r="AC178" s="29">
        <v>28730</v>
      </c>
      <c r="AD178" s="29">
        <v>28520</v>
      </c>
      <c r="AE178" s="29">
        <v>28370</v>
      </c>
      <c r="AF178" s="29">
        <v>28880</v>
      </c>
      <c r="AG178" s="29">
        <v>29340</v>
      </c>
      <c r="AH178" s="29">
        <v>29240</v>
      </c>
      <c r="AI178" s="29">
        <v>29970</v>
      </c>
      <c r="AJ178" s="29">
        <v>29820</v>
      </c>
      <c r="AK178" s="29">
        <v>28880</v>
      </c>
      <c r="AL178" s="29">
        <v>28130</v>
      </c>
      <c r="AM178" s="29">
        <v>27160</v>
      </c>
      <c r="AN178" s="29">
        <v>26570</v>
      </c>
      <c r="AO178" s="29">
        <v>26570</v>
      </c>
      <c r="AP178" s="29">
        <v>26100</v>
      </c>
      <c r="AQ178" s="29">
        <v>26830</v>
      </c>
      <c r="AR178" s="29">
        <v>27360</v>
      </c>
      <c r="AS178" s="29">
        <v>28160</v>
      </c>
      <c r="AT178" s="29">
        <v>28490</v>
      </c>
      <c r="AU178" s="29">
        <v>29640</v>
      </c>
      <c r="AV178" s="29">
        <v>30180</v>
      </c>
      <c r="AW178" s="29">
        <v>30720</v>
      </c>
      <c r="AX178" s="29">
        <v>32070</v>
      </c>
      <c r="AY178" s="29">
        <v>33600</v>
      </c>
      <c r="AZ178" s="29">
        <v>35240</v>
      </c>
      <c r="BA178" s="29">
        <v>37330</v>
      </c>
      <c r="BB178" s="29">
        <v>39620</v>
      </c>
      <c r="BC178" s="29">
        <v>41640</v>
      </c>
      <c r="BD178" s="29">
        <v>41950</v>
      </c>
      <c r="BE178" s="29">
        <v>42380</v>
      </c>
      <c r="BF178" s="29">
        <v>41830</v>
      </c>
      <c r="BG178" s="29">
        <v>42040</v>
      </c>
      <c r="BH178" s="29">
        <v>41870</v>
      </c>
      <c r="BI178" s="29">
        <v>40320</v>
      </c>
      <c r="BJ178" s="29">
        <v>39280</v>
      </c>
      <c r="BK178" s="29">
        <v>38120</v>
      </c>
      <c r="BL178" s="29">
        <v>38290</v>
      </c>
    </row>
    <row r="179" spans="1:64" x14ac:dyDescent="0.2">
      <c r="A179" s="29">
        <v>69</v>
      </c>
      <c r="B179" s="85">
        <v>13200</v>
      </c>
      <c r="C179" s="85">
        <v>13760</v>
      </c>
      <c r="D179" s="85">
        <v>14020</v>
      </c>
      <c r="E179" s="85">
        <v>15590</v>
      </c>
      <c r="F179" s="85">
        <v>16690</v>
      </c>
      <c r="G179" s="85">
        <v>16960</v>
      </c>
      <c r="H179" s="85">
        <v>15240</v>
      </c>
      <c r="I179" s="85">
        <v>17190</v>
      </c>
      <c r="J179" s="85">
        <v>17780</v>
      </c>
      <c r="K179" s="85">
        <v>18860</v>
      </c>
      <c r="L179" s="29">
        <v>22410</v>
      </c>
      <c r="M179" s="29">
        <v>22330</v>
      </c>
      <c r="N179" s="29">
        <v>22260</v>
      </c>
      <c r="O179" s="29">
        <v>22470</v>
      </c>
      <c r="P179" s="29">
        <v>22650</v>
      </c>
      <c r="Q179" s="29">
        <v>22890</v>
      </c>
      <c r="R179" s="29">
        <v>23110</v>
      </c>
      <c r="S179" s="29">
        <v>23950</v>
      </c>
      <c r="T179" s="29">
        <v>24570</v>
      </c>
      <c r="U179" s="29">
        <v>25450</v>
      </c>
      <c r="V179" s="29">
        <v>26130</v>
      </c>
      <c r="W179" s="29">
        <v>26140</v>
      </c>
      <c r="X179" s="29">
        <v>27530</v>
      </c>
      <c r="Y179" s="29">
        <v>28000</v>
      </c>
      <c r="Z179" s="29">
        <v>28920</v>
      </c>
      <c r="AA179" s="29">
        <v>29670</v>
      </c>
      <c r="AB179" s="29">
        <v>29600</v>
      </c>
      <c r="AC179" s="29">
        <v>29380</v>
      </c>
      <c r="AD179" s="29">
        <v>28530</v>
      </c>
      <c r="AE179" s="29">
        <v>28320</v>
      </c>
      <c r="AF179" s="29">
        <v>28180</v>
      </c>
      <c r="AG179" s="29">
        <v>28700</v>
      </c>
      <c r="AH179" s="29">
        <v>29150</v>
      </c>
      <c r="AI179" s="29">
        <v>29060</v>
      </c>
      <c r="AJ179" s="29">
        <v>29790</v>
      </c>
      <c r="AK179" s="29">
        <v>29640</v>
      </c>
      <c r="AL179" s="29">
        <v>28720</v>
      </c>
      <c r="AM179" s="29">
        <v>27980</v>
      </c>
      <c r="AN179" s="29">
        <v>27020</v>
      </c>
      <c r="AO179" s="29">
        <v>26440</v>
      </c>
      <c r="AP179" s="29">
        <v>26440</v>
      </c>
      <c r="AQ179" s="29">
        <v>25980</v>
      </c>
      <c r="AR179" s="29">
        <v>26710</v>
      </c>
      <c r="AS179" s="29">
        <v>27250</v>
      </c>
      <c r="AT179" s="29">
        <v>28040</v>
      </c>
      <c r="AU179" s="29">
        <v>28380</v>
      </c>
      <c r="AV179" s="29">
        <v>29520</v>
      </c>
      <c r="AW179" s="29">
        <v>30070</v>
      </c>
      <c r="AX179" s="29">
        <v>30610</v>
      </c>
      <c r="AY179" s="29">
        <v>31960</v>
      </c>
      <c r="AZ179" s="29">
        <v>33490</v>
      </c>
      <c r="BA179" s="29">
        <v>35120</v>
      </c>
      <c r="BB179" s="29">
        <v>37200</v>
      </c>
      <c r="BC179" s="29">
        <v>39490</v>
      </c>
      <c r="BD179" s="29">
        <v>41510</v>
      </c>
      <c r="BE179" s="29">
        <v>41820</v>
      </c>
      <c r="BF179" s="29">
        <v>42260</v>
      </c>
      <c r="BG179" s="29">
        <v>41710</v>
      </c>
      <c r="BH179" s="29">
        <v>41920</v>
      </c>
      <c r="BI179" s="29">
        <v>41760</v>
      </c>
      <c r="BJ179" s="29">
        <v>40220</v>
      </c>
      <c r="BK179" s="29">
        <v>39190</v>
      </c>
      <c r="BL179" s="29">
        <v>38030</v>
      </c>
    </row>
    <row r="180" spans="1:64" x14ac:dyDescent="0.2">
      <c r="A180" s="29">
        <v>70</v>
      </c>
      <c r="B180" s="85">
        <v>12400</v>
      </c>
      <c r="C180" s="85">
        <v>12920</v>
      </c>
      <c r="D180" s="85">
        <v>13480</v>
      </c>
      <c r="E180" s="85">
        <v>13750</v>
      </c>
      <c r="F180" s="85">
        <v>15340</v>
      </c>
      <c r="G180" s="85">
        <v>16390</v>
      </c>
      <c r="H180" s="85">
        <v>16680</v>
      </c>
      <c r="I180" s="85">
        <v>14990</v>
      </c>
      <c r="J180" s="85">
        <v>16970</v>
      </c>
      <c r="K180" s="85">
        <v>17580</v>
      </c>
      <c r="L180" s="29">
        <v>18600</v>
      </c>
      <c r="M180" s="29">
        <v>22140</v>
      </c>
      <c r="N180" s="29">
        <v>22060</v>
      </c>
      <c r="O180" s="29">
        <v>21990</v>
      </c>
      <c r="P180" s="29">
        <v>22200</v>
      </c>
      <c r="Q180" s="29">
        <v>22380</v>
      </c>
      <c r="R180" s="29">
        <v>22620</v>
      </c>
      <c r="S180" s="29">
        <v>22850</v>
      </c>
      <c r="T180" s="29">
        <v>23680</v>
      </c>
      <c r="U180" s="29">
        <v>24300</v>
      </c>
      <c r="V180" s="29">
        <v>25180</v>
      </c>
      <c r="W180" s="29">
        <v>25860</v>
      </c>
      <c r="X180" s="29">
        <v>25880</v>
      </c>
      <c r="Y180" s="29">
        <v>27260</v>
      </c>
      <c r="Z180" s="29">
        <v>27730</v>
      </c>
      <c r="AA180" s="29">
        <v>28650</v>
      </c>
      <c r="AB180" s="29">
        <v>29400</v>
      </c>
      <c r="AC180" s="29">
        <v>29340</v>
      </c>
      <c r="AD180" s="29">
        <v>29130</v>
      </c>
      <c r="AE180" s="29">
        <v>28290</v>
      </c>
      <c r="AF180" s="29">
        <v>28090</v>
      </c>
      <c r="AG180" s="29">
        <v>27960</v>
      </c>
      <c r="AH180" s="29">
        <v>28480</v>
      </c>
      <c r="AI180" s="29">
        <v>28940</v>
      </c>
      <c r="AJ180" s="29">
        <v>28860</v>
      </c>
      <c r="AK180" s="29">
        <v>29590</v>
      </c>
      <c r="AL180" s="29">
        <v>29450</v>
      </c>
      <c r="AM180" s="29">
        <v>28540</v>
      </c>
      <c r="AN180" s="29">
        <v>27810</v>
      </c>
      <c r="AO180" s="29">
        <v>26860</v>
      </c>
      <c r="AP180" s="29">
        <v>26290</v>
      </c>
      <c r="AQ180" s="29">
        <v>26300</v>
      </c>
      <c r="AR180" s="29">
        <v>25840</v>
      </c>
      <c r="AS180" s="29">
        <v>26580</v>
      </c>
      <c r="AT180" s="29">
        <v>27110</v>
      </c>
      <c r="AU180" s="29">
        <v>27900</v>
      </c>
      <c r="AV180" s="29">
        <v>28240</v>
      </c>
      <c r="AW180" s="29">
        <v>29390</v>
      </c>
      <c r="AX180" s="29">
        <v>29940</v>
      </c>
      <c r="AY180" s="29">
        <v>30480</v>
      </c>
      <c r="AZ180" s="29">
        <v>31820</v>
      </c>
      <c r="BA180" s="29">
        <v>33350</v>
      </c>
      <c r="BB180" s="29">
        <v>34980</v>
      </c>
      <c r="BC180" s="29">
        <v>37060</v>
      </c>
      <c r="BD180" s="29">
        <v>39340</v>
      </c>
      <c r="BE180" s="29">
        <v>41360</v>
      </c>
      <c r="BF180" s="29">
        <v>41670</v>
      </c>
      <c r="BG180" s="29">
        <v>42110</v>
      </c>
      <c r="BH180" s="29">
        <v>41570</v>
      </c>
      <c r="BI180" s="29">
        <v>41790</v>
      </c>
      <c r="BJ180" s="29">
        <v>41630</v>
      </c>
      <c r="BK180" s="29">
        <v>40100</v>
      </c>
      <c r="BL180" s="29">
        <v>39080</v>
      </c>
    </row>
    <row r="181" spans="1:64" x14ac:dyDescent="0.2">
      <c r="A181" s="29">
        <v>71</v>
      </c>
      <c r="B181" s="85">
        <v>11940</v>
      </c>
      <c r="C181" s="85">
        <v>12080</v>
      </c>
      <c r="D181" s="85">
        <v>12600</v>
      </c>
      <c r="E181" s="85">
        <v>13170</v>
      </c>
      <c r="F181" s="85">
        <v>13490</v>
      </c>
      <c r="G181" s="85">
        <v>15030</v>
      </c>
      <c r="H181" s="85">
        <v>16060</v>
      </c>
      <c r="I181" s="85">
        <v>16410</v>
      </c>
      <c r="J181" s="85">
        <v>14750</v>
      </c>
      <c r="K181" s="85">
        <v>16670</v>
      </c>
      <c r="L181" s="29">
        <v>17330</v>
      </c>
      <c r="M181" s="29">
        <v>18340</v>
      </c>
      <c r="N181" s="29">
        <v>21830</v>
      </c>
      <c r="O181" s="29">
        <v>21750</v>
      </c>
      <c r="P181" s="29">
        <v>21690</v>
      </c>
      <c r="Q181" s="29">
        <v>21900</v>
      </c>
      <c r="R181" s="29">
        <v>22080</v>
      </c>
      <c r="S181" s="29">
        <v>22320</v>
      </c>
      <c r="T181" s="29">
        <v>22550</v>
      </c>
      <c r="U181" s="29">
        <v>23390</v>
      </c>
      <c r="V181" s="29">
        <v>24000</v>
      </c>
      <c r="W181" s="29">
        <v>24880</v>
      </c>
      <c r="X181" s="29">
        <v>25570</v>
      </c>
      <c r="Y181" s="29">
        <v>25590</v>
      </c>
      <c r="Z181" s="29">
        <v>26970</v>
      </c>
      <c r="AA181" s="29">
        <v>27440</v>
      </c>
      <c r="AB181" s="29">
        <v>28360</v>
      </c>
      <c r="AC181" s="29">
        <v>29110</v>
      </c>
      <c r="AD181" s="29">
        <v>29060</v>
      </c>
      <c r="AE181" s="29">
        <v>28860</v>
      </c>
      <c r="AF181" s="29">
        <v>28040</v>
      </c>
      <c r="AG181" s="29">
        <v>27850</v>
      </c>
      <c r="AH181" s="29">
        <v>27720</v>
      </c>
      <c r="AI181" s="29">
        <v>28250</v>
      </c>
      <c r="AJ181" s="29">
        <v>28710</v>
      </c>
      <c r="AK181" s="29">
        <v>28630</v>
      </c>
      <c r="AL181" s="29">
        <v>29360</v>
      </c>
      <c r="AM181" s="29">
        <v>29230</v>
      </c>
      <c r="AN181" s="29">
        <v>28340</v>
      </c>
      <c r="AO181" s="29">
        <v>27620</v>
      </c>
      <c r="AP181" s="29">
        <v>26680</v>
      </c>
      <c r="AQ181" s="29">
        <v>26120</v>
      </c>
      <c r="AR181" s="29">
        <v>26130</v>
      </c>
      <c r="AS181" s="29">
        <v>25680</v>
      </c>
      <c r="AT181" s="29">
        <v>26420</v>
      </c>
      <c r="AU181" s="29">
        <v>26960</v>
      </c>
      <c r="AV181" s="29">
        <v>27750</v>
      </c>
      <c r="AW181" s="29">
        <v>28090</v>
      </c>
      <c r="AX181" s="29">
        <v>29230</v>
      </c>
      <c r="AY181" s="29">
        <v>29780</v>
      </c>
      <c r="AZ181" s="29">
        <v>30330</v>
      </c>
      <c r="BA181" s="29">
        <v>31670</v>
      </c>
      <c r="BB181" s="29">
        <v>33200</v>
      </c>
      <c r="BC181" s="29">
        <v>34830</v>
      </c>
      <c r="BD181" s="29">
        <v>36890</v>
      </c>
      <c r="BE181" s="29">
        <v>39170</v>
      </c>
      <c r="BF181" s="29">
        <v>41180</v>
      </c>
      <c r="BG181" s="29">
        <v>41500</v>
      </c>
      <c r="BH181" s="29">
        <v>41950</v>
      </c>
      <c r="BI181" s="29">
        <v>41410</v>
      </c>
      <c r="BJ181" s="29">
        <v>41630</v>
      </c>
      <c r="BK181" s="29">
        <v>41480</v>
      </c>
      <c r="BL181" s="29">
        <v>39960</v>
      </c>
    </row>
    <row r="182" spans="1:64" x14ac:dyDescent="0.2">
      <c r="A182" s="29">
        <v>72</v>
      </c>
      <c r="B182" s="85">
        <v>11370</v>
      </c>
      <c r="C182" s="85">
        <v>11660</v>
      </c>
      <c r="D182" s="85">
        <v>11800</v>
      </c>
      <c r="E182" s="85">
        <v>12290</v>
      </c>
      <c r="F182" s="85">
        <v>12880</v>
      </c>
      <c r="G182" s="85">
        <v>13170</v>
      </c>
      <c r="H182" s="85">
        <v>14710</v>
      </c>
      <c r="I182" s="85">
        <v>15750</v>
      </c>
      <c r="J182" s="85">
        <v>16110</v>
      </c>
      <c r="K182" s="85">
        <v>14500</v>
      </c>
      <c r="L182" s="29">
        <v>16390</v>
      </c>
      <c r="M182" s="29">
        <v>17050</v>
      </c>
      <c r="N182" s="29">
        <v>18050</v>
      </c>
      <c r="O182" s="29">
        <v>21480</v>
      </c>
      <c r="P182" s="29">
        <v>21410</v>
      </c>
      <c r="Q182" s="29">
        <v>21350</v>
      </c>
      <c r="R182" s="29">
        <v>21560</v>
      </c>
      <c r="S182" s="29">
        <v>21750</v>
      </c>
      <c r="T182" s="29">
        <v>21990</v>
      </c>
      <c r="U182" s="29">
        <v>22230</v>
      </c>
      <c r="V182" s="29">
        <v>23060</v>
      </c>
      <c r="W182" s="29">
        <v>23680</v>
      </c>
      <c r="X182" s="29">
        <v>24560</v>
      </c>
      <c r="Y182" s="29">
        <v>25240</v>
      </c>
      <c r="Z182" s="29">
        <v>25270</v>
      </c>
      <c r="AA182" s="29">
        <v>26650</v>
      </c>
      <c r="AB182" s="29">
        <v>27120</v>
      </c>
      <c r="AC182" s="29">
        <v>28040</v>
      </c>
      <c r="AD182" s="29">
        <v>28790</v>
      </c>
      <c r="AE182" s="29">
        <v>28750</v>
      </c>
      <c r="AF182" s="29">
        <v>28560</v>
      </c>
      <c r="AG182" s="29">
        <v>27760</v>
      </c>
      <c r="AH182" s="29">
        <v>27570</v>
      </c>
      <c r="AI182" s="29">
        <v>27460</v>
      </c>
      <c r="AJ182" s="29">
        <v>27990</v>
      </c>
      <c r="AK182" s="29">
        <v>28450</v>
      </c>
      <c r="AL182" s="29">
        <v>28390</v>
      </c>
      <c r="AM182" s="29">
        <v>29120</v>
      </c>
      <c r="AN182" s="29">
        <v>29000</v>
      </c>
      <c r="AO182" s="29">
        <v>28110</v>
      </c>
      <c r="AP182" s="29">
        <v>27410</v>
      </c>
      <c r="AQ182" s="29">
        <v>26490</v>
      </c>
      <c r="AR182" s="29">
        <v>25930</v>
      </c>
      <c r="AS182" s="29">
        <v>25950</v>
      </c>
      <c r="AT182" s="29">
        <v>25510</v>
      </c>
      <c r="AU182" s="29">
        <v>26250</v>
      </c>
      <c r="AV182" s="29">
        <v>26790</v>
      </c>
      <c r="AW182" s="29">
        <v>27580</v>
      </c>
      <c r="AX182" s="29">
        <v>27920</v>
      </c>
      <c r="AY182" s="29">
        <v>29060</v>
      </c>
      <c r="AZ182" s="29">
        <v>29620</v>
      </c>
      <c r="BA182" s="29">
        <v>30160</v>
      </c>
      <c r="BB182" s="29">
        <v>31500</v>
      </c>
      <c r="BC182" s="29">
        <v>33020</v>
      </c>
      <c r="BD182" s="29">
        <v>34650</v>
      </c>
      <c r="BE182" s="29">
        <v>36710</v>
      </c>
      <c r="BF182" s="29">
        <v>38980</v>
      </c>
      <c r="BG182" s="29">
        <v>40990</v>
      </c>
      <c r="BH182" s="29">
        <v>41310</v>
      </c>
      <c r="BI182" s="29">
        <v>41760</v>
      </c>
      <c r="BJ182" s="29">
        <v>41230</v>
      </c>
      <c r="BK182" s="29">
        <v>41460</v>
      </c>
      <c r="BL182" s="29">
        <v>41320</v>
      </c>
    </row>
    <row r="183" spans="1:64" x14ac:dyDescent="0.2">
      <c r="A183" s="29">
        <v>73</v>
      </c>
      <c r="B183" s="85">
        <v>10890</v>
      </c>
      <c r="C183" s="85">
        <v>11030</v>
      </c>
      <c r="D183" s="85">
        <v>11360</v>
      </c>
      <c r="E183" s="85">
        <v>11460</v>
      </c>
      <c r="F183" s="85">
        <v>11980</v>
      </c>
      <c r="G183" s="85">
        <v>12540</v>
      </c>
      <c r="H183" s="85">
        <v>12830</v>
      </c>
      <c r="I183" s="85">
        <v>14360</v>
      </c>
      <c r="J183" s="85">
        <v>15390</v>
      </c>
      <c r="K183" s="85">
        <v>15770</v>
      </c>
      <c r="L183" s="29">
        <v>14220</v>
      </c>
      <c r="M183" s="29">
        <v>16090</v>
      </c>
      <c r="N183" s="29">
        <v>16740</v>
      </c>
      <c r="O183" s="29">
        <v>17720</v>
      </c>
      <c r="P183" s="29">
        <v>21090</v>
      </c>
      <c r="Q183" s="29">
        <v>21030</v>
      </c>
      <c r="R183" s="29">
        <v>20980</v>
      </c>
      <c r="S183" s="29">
        <v>21200</v>
      </c>
      <c r="T183" s="29">
        <v>21390</v>
      </c>
      <c r="U183" s="29">
        <v>21640</v>
      </c>
      <c r="V183" s="29">
        <v>21890</v>
      </c>
      <c r="W183" s="29">
        <v>22720</v>
      </c>
      <c r="X183" s="29">
        <v>23330</v>
      </c>
      <c r="Y183" s="29">
        <v>24210</v>
      </c>
      <c r="Z183" s="29">
        <v>24890</v>
      </c>
      <c r="AA183" s="29">
        <v>24930</v>
      </c>
      <c r="AB183" s="29">
        <v>26300</v>
      </c>
      <c r="AC183" s="29">
        <v>26780</v>
      </c>
      <c r="AD183" s="29">
        <v>27690</v>
      </c>
      <c r="AE183" s="29">
        <v>28440</v>
      </c>
      <c r="AF183" s="29">
        <v>28410</v>
      </c>
      <c r="AG183" s="29">
        <v>28240</v>
      </c>
      <c r="AH183" s="29">
        <v>27450</v>
      </c>
      <c r="AI183" s="29">
        <v>27280</v>
      </c>
      <c r="AJ183" s="29">
        <v>27170</v>
      </c>
      <c r="AK183" s="29">
        <v>27700</v>
      </c>
      <c r="AL183" s="29">
        <v>28170</v>
      </c>
      <c r="AM183" s="29">
        <v>28110</v>
      </c>
      <c r="AN183" s="29">
        <v>28850</v>
      </c>
      <c r="AO183" s="29">
        <v>28730</v>
      </c>
      <c r="AP183" s="29">
        <v>27870</v>
      </c>
      <c r="AQ183" s="29">
        <v>27180</v>
      </c>
      <c r="AR183" s="29">
        <v>26270</v>
      </c>
      <c r="AS183" s="29">
        <v>25730</v>
      </c>
      <c r="AT183" s="29">
        <v>25750</v>
      </c>
      <c r="AU183" s="29">
        <v>25320</v>
      </c>
      <c r="AV183" s="29">
        <v>26060</v>
      </c>
      <c r="AW183" s="29">
        <v>26600</v>
      </c>
      <c r="AX183" s="29">
        <v>27390</v>
      </c>
      <c r="AY183" s="29">
        <v>27740</v>
      </c>
      <c r="AZ183" s="29">
        <v>28880</v>
      </c>
      <c r="BA183" s="29">
        <v>29430</v>
      </c>
      <c r="BB183" s="29">
        <v>29970</v>
      </c>
      <c r="BC183" s="29">
        <v>31320</v>
      </c>
      <c r="BD183" s="29">
        <v>32830</v>
      </c>
      <c r="BE183" s="29">
        <v>34450</v>
      </c>
      <c r="BF183" s="29">
        <v>36510</v>
      </c>
      <c r="BG183" s="29">
        <v>38770</v>
      </c>
      <c r="BH183" s="29">
        <v>40780</v>
      </c>
      <c r="BI183" s="29">
        <v>41100</v>
      </c>
      <c r="BJ183" s="29">
        <v>41560</v>
      </c>
      <c r="BK183" s="29">
        <v>41040</v>
      </c>
      <c r="BL183" s="29">
        <v>41270</v>
      </c>
    </row>
    <row r="184" spans="1:64" x14ac:dyDescent="0.2">
      <c r="A184" s="29">
        <v>74</v>
      </c>
      <c r="B184" s="85">
        <v>10790</v>
      </c>
      <c r="C184" s="85">
        <v>10530</v>
      </c>
      <c r="D184" s="85">
        <v>10700</v>
      </c>
      <c r="E184" s="85">
        <v>11010</v>
      </c>
      <c r="F184" s="85">
        <v>11130</v>
      </c>
      <c r="G184" s="85">
        <v>11670</v>
      </c>
      <c r="H184" s="85">
        <v>12190</v>
      </c>
      <c r="I184" s="85">
        <v>12520</v>
      </c>
      <c r="J184" s="85">
        <v>14020</v>
      </c>
      <c r="K184" s="85">
        <v>15070</v>
      </c>
      <c r="L184" s="29">
        <v>15360</v>
      </c>
      <c r="M184" s="29">
        <v>13930</v>
      </c>
      <c r="N184" s="29">
        <v>15760</v>
      </c>
      <c r="O184" s="29">
        <v>16400</v>
      </c>
      <c r="P184" s="29">
        <v>17370</v>
      </c>
      <c r="Q184" s="29">
        <v>20670</v>
      </c>
      <c r="R184" s="29">
        <v>20620</v>
      </c>
      <c r="S184" s="29">
        <v>20580</v>
      </c>
      <c r="T184" s="29">
        <v>20800</v>
      </c>
      <c r="U184" s="29">
        <v>21000</v>
      </c>
      <c r="V184" s="29">
        <v>21260</v>
      </c>
      <c r="W184" s="29">
        <v>21520</v>
      </c>
      <c r="X184" s="29">
        <v>22340</v>
      </c>
      <c r="Y184" s="29">
        <v>22960</v>
      </c>
      <c r="Z184" s="29">
        <v>23830</v>
      </c>
      <c r="AA184" s="29">
        <v>24510</v>
      </c>
      <c r="AB184" s="29">
        <v>24560</v>
      </c>
      <c r="AC184" s="29">
        <v>25920</v>
      </c>
      <c r="AD184" s="29">
        <v>26400</v>
      </c>
      <c r="AE184" s="29">
        <v>27310</v>
      </c>
      <c r="AF184" s="29">
        <v>28070</v>
      </c>
      <c r="AG184" s="29">
        <v>28050</v>
      </c>
      <c r="AH184" s="29">
        <v>27880</v>
      </c>
      <c r="AI184" s="29">
        <v>27120</v>
      </c>
      <c r="AJ184" s="29">
        <v>26960</v>
      </c>
      <c r="AK184" s="29">
        <v>26860</v>
      </c>
      <c r="AL184" s="29">
        <v>27390</v>
      </c>
      <c r="AM184" s="29">
        <v>27870</v>
      </c>
      <c r="AN184" s="29">
        <v>27820</v>
      </c>
      <c r="AO184" s="29">
        <v>28550</v>
      </c>
      <c r="AP184" s="29">
        <v>28450</v>
      </c>
      <c r="AQ184" s="29">
        <v>27600</v>
      </c>
      <c r="AR184" s="29">
        <v>26920</v>
      </c>
      <c r="AS184" s="29">
        <v>26030</v>
      </c>
      <c r="AT184" s="29">
        <v>25500</v>
      </c>
      <c r="AU184" s="29">
        <v>25530</v>
      </c>
      <c r="AV184" s="29">
        <v>25110</v>
      </c>
      <c r="AW184" s="29">
        <v>25850</v>
      </c>
      <c r="AX184" s="29">
        <v>26390</v>
      </c>
      <c r="AY184" s="29">
        <v>27180</v>
      </c>
      <c r="AZ184" s="29">
        <v>27530</v>
      </c>
      <c r="BA184" s="29">
        <v>28670</v>
      </c>
      <c r="BB184" s="29">
        <v>29220</v>
      </c>
      <c r="BC184" s="29">
        <v>29770</v>
      </c>
      <c r="BD184" s="29">
        <v>31110</v>
      </c>
      <c r="BE184" s="29">
        <v>32620</v>
      </c>
      <c r="BF184" s="29">
        <v>34240</v>
      </c>
      <c r="BG184" s="29">
        <v>36290</v>
      </c>
      <c r="BH184" s="29">
        <v>38540</v>
      </c>
      <c r="BI184" s="29">
        <v>40540</v>
      </c>
      <c r="BJ184" s="29">
        <v>40870</v>
      </c>
      <c r="BK184" s="29">
        <v>41330</v>
      </c>
      <c r="BL184" s="29">
        <v>40820</v>
      </c>
    </row>
    <row r="185" spans="1:64" x14ac:dyDescent="0.2">
      <c r="A185" s="29">
        <v>75</v>
      </c>
      <c r="B185" s="85">
        <v>10770</v>
      </c>
      <c r="C185" s="85">
        <v>10450</v>
      </c>
      <c r="D185" s="85">
        <v>10190</v>
      </c>
      <c r="E185" s="85">
        <v>10350</v>
      </c>
      <c r="F185" s="85">
        <v>10640</v>
      </c>
      <c r="G185" s="85">
        <v>10790</v>
      </c>
      <c r="H185" s="85">
        <v>11310</v>
      </c>
      <c r="I185" s="85">
        <v>11820</v>
      </c>
      <c r="J185" s="85">
        <v>12210</v>
      </c>
      <c r="K185" s="85">
        <v>13660</v>
      </c>
      <c r="L185" s="29">
        <v>14650</v>
      </c>
      <c r="M185" s="29">
        <v>14990</v>
      </c>
      <c r="N185" s="29">
        <v>13600</v>
      </c>
      <c r="O185" s="29">
        <v>15390</v>
      </c>
      <c r="P185" s="29">
        <v>16030</v>
      </c>
      <c r="Q185" s="29">
        <v>16980</v>
      </c>
      <c r="R185" s="29">
        <v>20220</v>
      </c>
      <c r="S185" s="29">
        <v>20180</v>
      </c>
      <c r="T185" s="29">
        <v>20150</v>
      </c>
      <c r="U185" s="29">
        <v>20380</v>
      </c>
      <c r="V185" s="29">
        <v>20590</v>
      </c>
      <c r="W185" s="29">
        <v>20860</v>
      </c>
      <c r="X185" s="29">
        <v>21120</v>
      </c>
      <c r="Y185" s="29">
        <v>21940</v>
      </c>
      <c r="Z185" s="29">
        <v>22550</v>
      </c>
      <c r="AA185" s="29">
        <v>23420</v>
      </c>
      <c r="AB185" s="29">
        <v>24100</v>
      </c>
      <c r="AC185" s="29">
        <v>24170</v>
      </c>
      <c r="AD185" s="29">
        <v>25510</v>
      </c>
      <c r="AE185" s="29">
        <v>25990</v>
      </c>
      <c r="AF185" s="29">
        <v>26900</v>
      </c>
      <c r="AG185" s="29">
        <v>27660</v>
      </c>
      <c r="AH185" s="29">
        <v>27650</v>
      </c>
      <c r="AI185" s="29">
        <v>27500</v>
      </c>
      <c r="AJ185" s="29">
        <v>26750</v>
      </c>
      <c r="AK185" s="29">
        <v>26610</v>
      </c>
      <c r="AL185" s="29">
        <v>26520</v>
      </c>
      <c r="AM185" s="29">
        <v>27060</v>
      </c>
      <c r="AN185" s="29">
        <v>27530</v>
      </c>
      <c r="AO185" s="29">
        <v>27490</v>
      </c>
      <c r="AP185" s="29">
        <v>28230</v>
      </c>
      <c r="AQ185" s="29">
        <v>28130</v>
      </c>
      <c r="AR185" s="29">
        <v>27300</v>
      </c>
      <c r="AS185" s="29">
        <v>26640</v>
      </c>
      <c r="AT185" s="29">
        <v>25770</v>
      </c>
      <c r="AU185" s="29">
        <v>25250</v>
      </c>
      <c r="AV185" s="29">
        <v>25290</v>
      </c>
      <c r="AW185" s="29">
        <v>24880</v>
      </c>
      <c r="AX185" s="29">
        <v>25610</v>
      </c>
      <c r="AY185" s="29">
        <v>26160</v>
      </c>
      <c r="AZ185" s="29">
        <v>26950</v>
      </c>
      <c r="BA185" s="29">
        <v>27310</v>
      </c>
      <c r="BB185" s="29">
        <v>28440</v>
      </c>
      <c r="BC185" s="29">
        <v>28990</v>
      </c>
      <c r="BD185" s="29">
        <v>29550</v>
      </c>
      <c r="BE185" s="29">
        <v>30880</v>
      </c>
      <c r="BF185" s="29">
        <v>32380</v>
      </c>
      <c r="BG185" s="29">
        <v>34000</v>
      </c>
      <c r="BH185" s="29">
        <v>36040</v>
      </c>
      <c r="BI185" s="29">
        <v>38290</v>
      </c>
      <c r="BJ185" s="29">
        <v>40280</v>
      </c>
      <c r="BK185" s="29">
        <v>40610</v>
      </c>
      <c r="BL185" s="29">
        <v>41080</v>
      </c>
    </row>
    <row r="186" spans="1:64" x14ac:dyDescent="0.2">
      <c r="A186" s="29">
        <v>76</v>
      </c>
      <c r="B186" s="85">
        <v>10040</v>
      </c>
      <c r="C186" s="85">
        <v>10380</v>
      </c>
      <c r="D186" s="85">
        <v>10070</v>
      </c>
      <c r="E186" s="85">
        <v>9830</v>
      </c>
      <c r="F186" s="85">
        <v>9980</v>
      </c>
      <c r="G186" s="85">
        <v>10290</v>
      </c>
      <c r="H186" s="85">
        <v>10410</v>
      </c>
      <c r="I186" s="85">
        <v>10910</v>
      </c>
      <c r="J186" s="85">
        <v>11480</v>
      </c>
      <c r="K186" s="85">
        <v>11850</v>
      </c>
      <c r="L186" s="29">
        <v>13290</v>
      </c>
      <c r="M186" s="29">
        <v>14260</v>
      </c>
      <c r="N186" s="29">
        <v>14600</v>
      </c>
      <c r="O186" s="29">
        <v>13250</v>
      </c>
      <c r="P186" s="29">
        <v>15000</v>
      </c>
      <c r="Q186" s="29">
        <v>15630</v>
      </c>
      <c r="R186" s="29">
        <v>16560</v>
      </c>
      <c r="S186" s="29">
        <v>19730</v>
      </c>
      <c r="T186" s="29">
        <v>19710</v>
      </c>
      <c r="U186" s="29">
        <v>19690</v>
      </c>
      <c r="V186" s="29">
        <v>19930</v>
      </c>
      <c r="W186" s="29">
        <v>20150</v>
      </c>
      <c r="X186" s="29">
        <v>20420</v>
      </c>
      <c r="Y186" s="29">
        <v>20690</v>
      </c>
      <c r="Z186" s="29">
        <v>21500</v>
      </c>
      <c r="AA186" s="29">
        <v>22120</v>
      </c>
      <c r="AB186" s="29">
        <v>22970</v>
      </c>
      <c r="AC186" s="29">
        <v>23660</v>
      </c>
      <c r="AD186" s="29">
        <v>23730</v>
      </c>
      <c r="AE186" s="29">
        <v>25060</v>
      </c>
      <c r="AF186" s="29">
        <v>25550</v>
      </c>
      <c r="AG186" s="29">
        <v>26460</v>
      </c>
      <c r="AH186" s="29">
        <v>27210</v>
      </c>
      <c r="AI186" s="29">
        <v>27220</v>
      </c>
      <c r="AJ186" s="29">
        <v>27080</v>
      </c>
      <c r="AK186" s="29">
        <v>26360</v>
      </c>
      <c r="AL186" s="29">
        <v>26220</v>
      </c>
      <c r="AM186" s="29">
        <v>26150</v>
      </c>
      <c r="AN186" s="29">
        <v>26690</v>
      </c>
      <c r="AO186" s="29">
        <v>27170</v>
      </c>
      <c r="AP186" s="29">
        <v>27140</v>
      </c>
      <c r="AQ186" s="29">
        <v>27870</v>
      </c>
      <c r="AR186" s="29">
        <v>27790</v>
      </c>
      <c r="AS186" s="29">
        <v>26980</v>
      </c>
      <c r="AT186" s="29">
        <v>26340</v>
      </c>
      <c r="AU186" s="29">
        <v>25480</v>
      </c>
      <c r="AV186" s="29">
        <v>24980</v>
      </c>
      <c r="AW186" s="29">
        <v>25020</v>
      </c>
      <c r="AX186" s="29">
        <v>24620</v>
      </c>
      <c r="AY186" s="29">
        <v>25360</v>
      </c>
      <c r="AZ186" s="29">
        <v>25900</v>
      </c>
      <c r="BA186" s="29">
        <v>26690</v>
      </c>
      <c r="BB186" s="29">
        <v>27050</v>
      </c>
      <c r="BC186" s="29">
        <v>28180</v>
      </c>
      <c r="BD186" s="29">
        <v>28740</v>
      </c>
      <c r="BE186" s="29">
        <v>29290</v>
      </c>
      <c r="BF186" s="29">
        <v>30620</v>
      </c>
      <c r="BG186" s="29">
        <v>32120</v>
      </c>
      <c r="BH186" s="29">
        <v>33730</v>
      </c>
      <c r="BI186" s="29">
        <v>35760</v>
      </c>
      <c r="BJ186" s="29">
        <v>38000</v>
      </c>
      <c r="BK186" s="29">
        <v>39990</v>
      </c>
      <c r="BL186" s="29">
        <v>40330</v>
      </c>
    </row>
    <row r="187" spans="1:64" x14ac:dyDescent="0.2">
      <c r="A187" s="29">
        <v>77</v>
      </c>
      <c r="B187" s="85">
        <v>9480</v>
      </c>
      <c r="C187" s="85">
        <v>9590</v>
      </c>
      <c r="D187" s="85">
        <v>9950</v>
      </c>
      <c r="E187" s="85">
        <v>9670</v>
      </c>
      <c r="F187" s="85">
        <v>9460</v>
      </c>
      <c r="G187" s="85">
        <v>9610</v>
      </c>
      <c r="H187" s="85">
        <v>9880</v>
      </c>
      <c r="I187" s="85">
        <v>10020</v>
      </c>
      <c r="J187" s="85">
        <v>10580</v>
      </c>
      <c r="K187" s="85">
        <v>11120</v>
      </c>
      <c r="L187" s="29">
        <v>11460</v>
      </c>
      <c r="M187" s="29">
        <v>12880</v>
      </c>
      <c r="N187" s="29">
        <v>13830</v>
      </c>
      <c r="O187" s="29">
        <v>14170</v>
      </c>
      <c r="P187" s="29">
        <v>12870</v>
      </c>
      <c r="Q187" s="29">
        <v>14580</v>
      </c>
      <c r="R187" s="29">
        <v>15190</v>
      </c>
      <c r="S187" s="29">
        <v>16110</v>
      </c>
      <c r="T187" s="29">
        <v>19210</v>
      </c>
      <c r="U187" s="29">
        <v>19200</v>
      </c>
      <c r="V187" s="29">
        <v>19200</v>
      </c>
      <c r="W187" s="29">
        <v>19440</v>
      </c>
      <c r="X187" s="29">
        <v>19670</v>
      </c>
      <c r="Y187" s="29">
        <v>19940</v>
      </c>
      <c r="Z187" s="29">
        <v>20220</v>
      </c>
      <c r="AA187" s="29">
        <v>21020</v>
      </c>
      <c r="AB187" s="29">
        <v>21640</v>
      </c>
      <c r="AC187" s="29">
        <v>22490</v>
      </c>
      <c r="AD187" s="29">
        <v>23180</v>
      </c>
      <c r="AE187" s="29">
        <v>23260</v>
      </c>
      <c r="AF187" s="29">
        <v>24580</v>
      </c>
      <c r="AG187" s="29">
        <v>25070</v>
      </c>
      <c r="AH187" s="29">
        <v>25970</v>
      </c>
      <c r="AI187" s="29">
        <v>26720</v>
      </c>
      <c r="AJ187" s="29">
        <v>26740</v>
      </c>
      <c r="AK187" s="29">
        <v>26620</v>
      </c>
      <c r="AL187" s="29">
        <v>25920</v>
      </c>
      <c r="AM187" s="29">
        <v>25800</v>
      </c>
      <c r="AN187" s="29">
        <v>25740</v>
      </c>
      <c r="AO187" s="29">
        <v>26280</v>
      </c>
      <c r="AP187" s="29">
        <v>26760</v>
      </c>
      <c r="AQ187" s="29">
        <v>26750</v>
      </c>
      <c r="AR187" s="29">
        <v>27480</v>
      </c>
      <c r="AS187" s="29">
        <v>27410</v>
      </c>
      <c r="AT187" s="29">
        <v>26620</v>
      </c>
      <c r="AU187" s="29">
        <v>26000</v>
      </c>
      <c r="AV187" s="29">
        <v>25160</v>
      </c>
      <c r="AW187" s="29">
        <v>24670</v>
      </c>
      <c r="AX187" s="29">
        <v>24720</v>
      </c>
      <c r="AY187" s="29">
        <v>24340</v>
      </c>
      <c r="AZ187" s="29">
        <v>25070</v>
      </c>
      <c r="BA187" s="29">
        <v>25620</v>
      </c>
      <c r="BB187" s="29">
        <v>26410</v>
      </c>
      <c r="BC187" s="29">
        <v>26770</v>
      </c>
      <c r="BD187" s="29">
        <v>27900</v>
      </c>
      <c r="BE187" s="29">
        <v>28460</v>
      </c>
      <c r="BF187" s="29">
        <v>29010</v>
      </c>
      <c r="BG187" s="29">
        <v>30340</v>
      </c>
      <c r="BH187" s="29">
        <v>31830</v>
      </c>
      <c r="BI187" s="29">
        <v>33430</v>
      </c>
      <c r="BJ187" s="29">
        <v>35450</v>
      </c>
      <c r="BK187" s="29">
        <v>37680</v>
      </c>
      <c r="BL187" s="29">
        <v>39650</v>
      </c>
    </row>
    <row r="188" spans="1:64" x14ac:dyDescent="0.2">
      <c r="A188" s="29">
        <v>78</v>
      </c>
      <c r="B188" s="85">
        <v>9060</v>
      </c>
      <c r="C188" s="85">
        <v>9040</v>
      </c>
      <c r="D188" s="85">
        <v>9120</v>
      </c>
      <c r="E188" s="85">
        <v>9480</v>
      </c>
      <c r="F188" s="85">
        <v>9290</v>
      </c>
      <c r="G188" s="85">
        <v>8990</v>
      </c>
      <c r="H188" s="85">
        <v>9200</v>
      </c>
      <c r="I188" s="85">
        <v>9480</v>
      </c>
      <c r="J188" s="85">
        <v>9640</v>
      </c>
      <c r="K188" s="85">
        <v>10190</v>
      </c>
      <c r="L188" s="29">
        <v>10680</v>
      </c>
      <c r="M188" s="29">
        <v>11070</v>
      </c>
      <c r="N188" s="29">
        <v>12440</v>
      </c>
      <c r="O188" s="29">
        <v>13370</v>
      </c>
      <c r="P188" s="29">
        <v>13700</v>
      </c>
      <c r="Q188" s="29">
        <v>12460</v>
      </c>
      <c r="R188" s="29">
        <v>14120</v>
      </c>
      <c r="S188" s="29">
        <v>14730</v>
      </c>
      <c r="T188" s="29">
        <v>15630</v>
      </c>
      <c r="U188" s="29">
        <v>18640</v>
      </c>
      <c r="V188" s="29">
        <v>18650</v>
      </c>
      <c r="W188" s="29">
        <v>18660</v>
      </c>
      <c r="X188" s="29">
        <v>18920</v>
      </c>
      <c r="Y188" s="29">
        <v>19150</v>
      </c>
      <c r="Z188" s="29">
        <v>19430</v>
      </c>
      <c r="AA188" s="29">
        <v>19710</v>
      </c>
      <c r="AB188" s="29">
        <v>20510</v>
      </c>
      <c r="AC188" s="29">
        <v>21120</v>
      </c>
      <c r="AD188" s="29">
        <v>21970</v>
      </c>
      <c r="AE188" s="29">
        <v>22650</v>
      </c>
      <c r="AF188" s="29">
        <v>22740</v>
      </c>
      <c r="AG188" s="29">
        <v>24040</v>
      </c>
      <c r="AH188" s="29">
        <v>24540</v>
      </c>
      <c r="AI188" s="29">
        <v>25440</v>
      </c>
      <c r="AJ188" s="29">
        <v>26190</v>
      </c>
      <c r="AK188" s="29">
        <v>26220</v>
      </c>
      <c r="AL188" s="29">
        <v>26110</v>
      </c>
      <c r="AM188" s="29">
        <v>25440</v>
      </c>
      <c r="AN188" s="29">
        <v>25330</v>
      </c>
      <c r="AO188" s="29">
        <v>25290</v>
      </c>
      <c r="AP188" s="29">
        <v>25830</v>
      </c>
      <c r="AQ188" s="29">
        <v>26310</v>
      </c>
      <c r="AR188" s="29">
        <v>26310</v>
      </c>
      <c r="AS188" s="29">
        <v>27040</v>
      </c>
      <c r="AT188" s="29">
        <v>26980</v>
      </c>
      <c r="AU188" s="29">
        <v>26220</v>
      </c>
      <c r="AV188" s="29">
        <v>25610</v>
      </c>
      <c r="AW188" s="29">
        <v>24800</v>
      </c>
      <c r="AX188" s="29">
        <v>24330</v>
      </c>
      <c r="AY188" s="29">
        <v>24390</v>
      </c>
      <c r="AZ188" s="29">
        <v>24020</v>
      </c>
      <c r="BA188" s="29">
        <v>24750</v>
      </c>
      <c r="BB188" s="29">
        <v>25300</v>
      </c>
      <c r="BC188" s="29">
        <v>26080</v>
      </c>
      <c r="BD188" s="29">
        <v>26450</v>
      </c>
      <c r="BE188" s="29">
        <v>27570</v>
      </c>
      <c r="BF188" s="29">
        <v>28130</v>
      </c>
      <c r="BG188" s="29">
        <v>28690</v>
      </c>
      <c r="BH188" s="29">
        <v>30010</v>
      </c>
      <c r="BI188" s="29">
        <v>31490</v>
      </c>
      <c r="BJ188" s="29">
        <v>33090</v>
      </c>
      <c r="BK188" s="29">
        <v>35100</v>
      </c>
      <c r="BL188" s="29">
        <v>37310</v>
      </c>
    </row>
    <row r="189" spans="1:64" x14ac:dyDescent="0.2">
      <c r="A189" s="29">
        <v>79</v>
      </c>
      <c r="B189" s="85">
        <v>8220</v>
      </c>
      <c r="C189" s="85">
        <v>8550</v>
      </c>
      <c r="D189" s="85">
        <v>8580</v>
      </c>
      <c r="E189" s="85">
        <v>8610</v>
      </c>
      <c r="F189" s="85">
        <v>9030</v>
      </c>
      <c r="G189" s="85">
        <v>8850</v>
      </c>
      <c r="H189" s="85">
        <v>8550</v>
      </c>
      <c r="I189" s="85">
        <v>8780</v>
      </c>
      <c r="J189" s="85">
        <v>9060</v>
      </c>
      <c r="K189" s="85">
        <v>9260</v>
      </c>
      <c r="L189" s="29">
        <v>9800</v>
      </c>
      <c r="M189" s="29">
        <v>10260</v>
      </c>
      <c r="N189" s="29">
        <v>10640</v>
      </c>
      <c r="O189" s="29">
        <v>11970</v>
      </c>
      <c r="P189" s="29">
        <v>12870</v>
      </c>
      <c r="Q189" s="29">
        <v>13200</v>
      </c>
      <c r="R189" s="29">
        <v>12010</v>
      </c>
      <c r="S189" s="29">
        <v>13620</v>
      </c>
      <c r="T189" s="29">
        <v>14220</v>
      </c>
      <c r="U189" s="29">
        <v>15110</v>
      </c>
      <c r="V189" s="29">
        <v>18040</v>
      </c>
      <c r="W189" s="29">
        <v>18060</v>
      </c>
      <c r="X189" s="29">
        <v>18080</v>
      </c>
      <c r="Y189" s="29">
        <v>18340</v>
      </c>
      <c r="Z189" s="29">
        <v>18580</v>
      </c>
      <c r="AA189" s="29">
        <v>18870</v>
      </c>
      <c r="AB189" s="29">
        <v>19150</v>
      </c>
      <c r="AC189" s="29">
        <v>19940</v>
      </c>
      <c r="AD189" s="29">
        <v>20550</v>
      </c>
      <c r="AE189" s="29">
        <v>21390</v>
      </c>
      <c r="AF189" s="29">
        <v>22070</v>
      </c>
      <c r="AG189" s="29">
        <v>22180</v>
      </c>
      <c r="AH189" s="29">
        <v>23460</v>
      </c>
      <c r="AI189" s="29">
        <v>23960</v>
      </c>
      <c r="AJ189" s="29">
        <v>24840</v>
      </c>
      <c r="AK189" s="29">
        <v>25590</v>
      </c>
      <c r="AL189" s="29">
        <v>25640</v>
      </c>
      <c r="AM189" s="29">
        <v>25550</v>
      </c>
      <c r="AN189" s="29">
        <v>24900</v>
      </c>
      <c r="AO189" s="29">
        <v>24810</v>
      </c>
      <c r="AP189" s="29">
        <v>24780</v>
      </c>
      <c r="AQ189" s="29">
        <v>25320</v>
      </c>
      <c r="AR189" s="29">
        <v>25810</v>
      </c>
      <c r="AS189" s="29">
        <v>25820</v>
      </c>
      <c r="AT189" s="29">
        <v>26550</v>
      </c>
      <c r="AU189" s="29">
        <v>26510</v>
      </c>
      <c r="AV189" s="29">
        <v>25760</v>
      </c>
      <c r="AW189" s="29">
        <v>25180</v>
      </c>
      <c r="AX189" s="29">
        <v>24390</v>
      </c>
      <c r="AY189" s="29">
        <v>23940</v>
      </c>
      <c r="AZ189" s="29">
        <v>24000</v>
      </c>
      <c r="BA189" s="29">
        <v>23650</v>
      </c>
      <c r="BB189" s="29">
        <v>24380</v>
      </c>
      <c r="BC189" s="29">
        <v>24930</v>
      </c>
      <c r="BD189" s="29">
        <v>25710</v>
      </c>
      <c r="BE189" s="29">
        <v>26090</v>
      </c>
      <c r="BF189" s="29">
        <v>27200</v>
      </c>
      <c r="BG189" s="29">
        <v>27760</v>
      </c>
      <c r="BH189" s="29">
        <v>28320</v>
      </c>
      <c r="BI189" s="29">
        <v>29630</v>
      </c>
      <c r="BJ189" s="29">
        <v>31110</v>
      </c>
      <c r="BK189" s="29">
        <v>32690</v>
      </c>
      <c r="BL189" s="29">
        <v>34690</v>
      </c>
    </row>
    <row r="190" spans="1:64" x14ac:dyDescent="0.2">
      <c r="A190" s="29">
        <v>80</v>
      </c>
      <c r="B190" s="85">
        <v>7520</v>
      </c>
      <c r="C190" s="85">
        <v>7750</v>
      </c>
      <c r="D190" s="85">
        <v>8010</v>
      </c>
      <c r="E190" s="85">
        <v>8070</v>
      </c>
      <c r="F190" s="85">
        <v>8120</v>
      </c>
      <c r="G190" s="85">
        <v>8560</v>
      </c>
      <c r="H190" s="85">
        <v>8390</v>
      </c>
      <c r="I190" s="85">
        <v>8100</v>
      </c>
      <c r="J190" s="85">
        <v>8380</v>
      </c>
      <c r="K190" s="85">
        <v>8630</v>
      </c>
      <c r="L190" s="29">
        <v>8840</v>
      </c>
      <c r="M190" s="29">
        <v>9360</v>
      </c>
      <c r="N190" s="29">
        <v>9810</v>
      </c>
      <c r="O190" s="29">
        <v>10180</v>
      </c>
      <c r="P190" s="29">
        <v>11460</v>
      </c>
      <c r="Q190" s="29">
        <v>12330</v>
      </c>
      <c r="R190" s="29">
        <v>12660</v>
      </c>
      <c r="S190" s="29">
        <v>11530</v>
      </c>
      <c r="T190" s="29">
        <v>13090</v>
      </c>
      <c r="U190" s="29">
        <v>13680</v>
      </c>
      <c r="V190" s="29">
        <v>14540</v>
      </c>
      <c r="W190" s="29">
        <v>17380</v>
      </c>
      <c r="X190" s="29">
        <v>17410</v>
      </c>
      <c r="Y190" s="29">
        <v>17450</v>
      </c>
      <c r="Z190" s="29">
        <v>17720</v>
      </c>
      <c r="AA190" s="29">
        <v>17960</v>
      </c>
      <c r="AB190" s="29">
        <v>18250</v>
      </c>
      <c r="AC190" s="29">
        <v>18540</v>
      </c>
      <c r="AD190" s="29">
        <v>19320</v>
      </c>
      <c r="AE190" s="29">
        <v>19930</v>
      </c>
      <c r="AF190" s="29">
        <v>20750</v>
      </c>
      <c r="AG190" s="29">
        <v>21430</v>
      </c>
      <c r="AH190" s="29">
        <v>21550</v>
      </c>
      <c r="AI190" s="29">
        <v>22800</v>
      </c>
      <c r="AJ190" s="29">
        <v>23310</v>
      </c>
      <c r="AK190" s="29">
        <v>24190</v>
      </c>
      <c r="AL190" s="29">
        <v>24930</v>
      </c>
      <c r="AM190" s="29">
        <v>24990</v>
      </c>
      <c r="AN190" s="29">
        <v>24920</v>
      </c>
      <c r="AO190" s="29">
        <v>24300</v>
      </c>
      <c r="AP190" s="29">
        <v>24230</v>
      </c>
      <c r="AQ190" s="29">
        <v>24210</v>
      </c>
      <c r="AR190" s="29">
        <v>24750</v>
      </c>
      <c r="AS190" s="29">
        <v>25240</v>
      </c>
      <c r="AT190" s="29">
        <v>25260</v>
      </c>
      <c r="AU190" s="29">
        <v>25990</v>
      </c>
      <c r="AV190" s="29">
        <v>25960</v>
      </c>
      <c r="AW190" s="29">
        <v>25250</v>
      </c>
      <c r="AX190" s="29">
        <v>24690</v>
      </c>
      <c r="AY190" s="29">
        <v>23920</v>
      </c>
      <c r="AZ190" s="29">
        <v>23490</v>
      </c>
      <c r="BA190" s="29">
        <v>23570</v>
      </c>
      <c r="BB190" s="29">
        <v>23230</v>
      </c>
      <c r="BC190" s="29">
        <v>23960</v>
      </c>
      <c r="BD190" s="29">
        <v>24510</v>
      </c>
      <c r="BE190" s="29">
        <v>25290</v>
      </c>
      <c r="BF190" s="29">
        <v>25660</v>
      </c>
      <c r="BG190" s="29">
        <v>26770</v>
      </c>
      <c r="BH190" s="29">
        <v>27330</v>
      </c>
      <c r="BI190" s="29">
        <v>27890</v>
      </c>
      <c r="BJ190" s="29">
        <v>29190</v>
      </c>
      <c r="BK190" s="29">
        <v>30660</v>
      </c>
      <c r="BL190" s="29">
        <v>32230</v>
      </c>
    </row>
    <row r="191" spans="1:64" x14ac:dyDescent="0.2">
      <c r="A191" s="29">
        <v>81</v>
      </c>
      <c r="B191" s="85">
        <v>6900</v>
      </c>
      <c r="C191" s="85">
        <v>6990</v>
      </c>
      <c r="D191" s="85">
        <v>7210</v>
      </c>
      <c r="E191" s="85">
        <v>7500</v>
      </c>
      <c r="F191" s="85">
        <v>7560</v>
      </c>
      <c r="G191" s="85">
        <v>7650</v>
      </c>
      <c r="H191" s="85">
        <v>8040</v>
      </c>
      <c r="I191" s="85">
        <v>7900</v>
      </c>
      <c r="J191" s="85">
        <v>7660</v>
      </c>
      <c r="K191" s="85">
        <v>7960</v>
      </c>
      <c r="L191" s="29">
        <v>8200</v>
      </c>
      <c r="M191" s="29">
        <v>8390</v>
      </c>
      <c r="N191" s="29">
        <v>8890</v>
      </c>
      <c r="O191" s="29">
        <v>9330</v>
      </c>
      <c r="P191" s="29">
        <v>9690</v>
      </c>
      <c r="Q191" s="29">
        <v>10920</v>
      </c>
      <c r="R191" s="29">
        <v>11760</v>
      </c>
      <c r="S191" s="29">
        <v>12080</v>
      </c>
      <c r="T191" s="29">
        <v>11020</v>
      </c>
      <c r="U191" s="29">
        <v>12520</v>
      </c>
      <c r="V191" s="29">
        <v>13090</v>
      </c>
      <c r="W191" s="29">
        <v>13930</v>
      </c>
      <c r="X191" s="29">
        <v>16660</v>
      </c>
      <c r="Y191" s="29">
        <v>16710</v>
      </c>
      <c r="Z191" s="29">
        <v>16760</v>
      </c>
      <c r="AA191" s="29">
        <v>17030</v>
      </c>
      <c r="AB191" s="29">
        <v>17280</v>
      </c>
      <c r="AC191" s="29">
        <v>17580</v>
      </c>
      <c r="AD191" s="29">
        <v>17870</v>
      </c>
      <c r="AE191" s="29">
        <v>18640</v>
      </c>
      <c r="AF191" s="29">
        <v>19240</v>
      </c>
      <c r="AG191" s="29">
        <v>20050</v>
      </c>
      <c r="AH191" s="29">
        <v>20720</v>
      </c>
      <c r="AI191" s="29">
        <v>20850</v>
      </c>
      <c r="AJ191" s="29">
        <v>22080</v>
      </c>
      <c r="AK191" s="29">
        <v>22580</v>
      </c>
      <c r="AL191" s="29">
        <v>23450</v>
      </c>
      <c r="AM191" s="29">
        <v>24190</v>
      </c>
      <c r="AN191" s="29">
        <v>24260</v>
      </c>
      <c r="AO191" s="29">
        <v>24210</v>
      </c>
      <c r="AP191" s="29">
        <v>23630</v>
      </c>
      <c r="AQ191" s="29">
        <v>23570</v>
      </c>
      <c r="AR191" s="29">
        <v>23570</v>
      </c>
      <c r="AS191" s="29">
        <v>24110</v>
      </c>
      <c r="AT191" s="29">
        <v>24600</v>
      </c>
      <c r="AU191" s="29">
        <v>24640</v>
      </c>
      <c r="AV191" s="29">
        <v>25360</v>
      </c>
      <c r="AW191" s="29">
        <v>25340</v>
      </c>
      <c r="AX191" s="29">
        <v>24660</v>
      </c>
      <c r="AY191" s="29">
        <v>24130</v>
      </c>
      <c r="AZ191" s="29">
        <v>23390</v>
      </c>
      <c r="BA191" s="29">
        <v>22980</v>
      </c>
      <c r="BB191" s="29">
        <v>23070</v>
      </c>
      <c r="BC191" s="29">
        <v>22750</v>
      </c>
      <c r="BD191" s="29">
        <v>23470</v>
      </c>
      <c r="BE191" s="29">
        <v>24020</v>
      </c>
      <c r="BF191" s="29">
        <v>24800</v>
      </c>
      <c r="BG191" s="29">
        <v>25180</v>
      </c>
      <c r="BH191" s="29">
        <v>26270</v>
      </c>
      <c r="BI191" s="29">
        <v>26840</v>
      </c>
      <c r="BJ191" s="29">
        <v>27400</v>
      </c>
      <c r="BK191" s="29">
        <v>28690</v>
      </c>
      <c r="BL191" s="29">
        <v>30140</v>
      </c>
    </row>
    <row r="192" spans="1:64" x14ac:dyDescent="0.2">
      <c r="A192" s="29">
        <v>82</v>
      </c>
      <c r="B192" s="85">
        <v>5900</v>
      </c>
      <c r="C192" s="85">
        <v>6400</v>
      </c>
      <c r="D192" s="85">
        <v>6460</v>
      </c>
      <c r="E192" s="85">
        <v>6720</v>
      </c>
      <c r="F192" s="85">
        <v>6960</v>
      </c>
      <c r="G192" s="85">
        <v>7040</v>
      </c>
      <c r="H192" s="85">
        <v>7130</v>
      </c>
      <c r="I192" s="85">
        <v>7540</v>
      </c>
      <c r="J192" s="85">
        <v>7420</v>
      </c>
      <c r="K192" s="85">
        <v>7160</v>
      </c>
      <c r="L192" s="29">
        <v>7510</v>
      </c>
      <c r="M192" s="29">
        <v>7720</v>
      </c>
      <c r="N192" s="29">
        <v>7910</v>
      </c>
      <c r="O192" s="29">
        <v>8390</v>
      </c>
      <c r="P192" s="29">
        <v>8810</v>
      </c>
      <c r="Q192" s="29">
        <v>9160</v>
      </c>
      <c r="R192" s="29">
        <v>10330</v>
      </c>
      <c r="S192" s="29">
        <v>11140</v>
      </c>
      <c r="T192" s="29">
        <v>11460</v>
      </c>
      <c r="U192" s="29">
        <v>10460</v>
      </c>
      <c r="V192" s="29">
        <v>11900</v>
      </c>
      <c r="W192" s="29">
        <v>12460</v>
      </c>
      <c r="X192" s="29">
        <v>13270</v>
      </c>
      <c r="Y192" s="29">
        <v>15890</v>
      </c>
      <c r="Z192" s="29">
        <v>15950</v>
      </c>
      <c r="AA192" s="29">
        <v>16020</v>
      </c>
      <c r="AB192" s="29">
        <v>16290</v>
      </c>
      <c r="AC192" s="29">
        <v>16540</v>
      </c>
      <c r="AD192" s="29">
        <v>16840</v>
      </c>
      <c r="AE192" s="29">
        <v>17140</v>
      </c>
      <c r="AF192" s="29">
        <v>17890</v>
      </c>
      <c r="AG192" s="29">
        <v>18480</v>
      </c>
      <c r="AH192" s="29">
        <v>19280</v>
      </c>
      <c r="AI192" s="29">
        <v>19930</v>
      </c>
      <c r="AJ192" s="29">
        <v>20070</v>
      </c>
      <c r="AK192" s="29">
        <v>21280</v>
      </c>
      <c r="AL192" s="29">
        <v>21780</v>
      </c>
      <c r="AM192" s="29">
        <v>22630</v>
      </c>
      <c r="AN192" s="29">
        <v>23360</v>
      </c>
      <c r="AO192" s="29">
        <v>23450</v>
      </c>
      <c r="AP192" s="29">
        <v>23410</v>
      </c>
      <c r="AQ192" s="29">
        <v>22870</v>
      </c>
      <c r="AR192" s="29">
        <v>22830</v>
      </c>
      <c r="AS192" s="29">
        <v>22840</v>
      </c>
      <c r="AT192" s="29">
        <v>23380</v>
      </c>
      <c r="AU192" s="29">
        <v>23870</v>
      </c>
      <c r="AV192" s="29">
        <v>23920</v>
      </c>
      <c r="AW192" s="29">
        <v>24640</v>
      </c>
      <c r="AX192" s="29">
        <v>24640</v>
      </c>
      <c r="AY192" s="29">
        <v>23990</v>
      </c>
      <c r="AZ192" s="29">
        <v>23480</v>
      </c>
      <c r="BA192" s="29">
        <v>22780</v>
      </c>
      <c r="BB192" s="29">
        <v>22390</v>
      </c>
      <c r="BC192" s="29">
        <v>22490</v>
      </c>
      <c r="BD192" s="29">
        <v>22190</v>
      </c>
      <c r="BE192" s="29">
        <v>22910</v>
      </c>
      <c r="BF192" s="29">
        <v>23450</v>
      </c>
      <c r="BG192" s="29">
        <v>24230</v>
      </c>
      <c r="BH192" s="29">
        <v>24610</v>
      </c>
      <c r="BI192" s="29">
        <v>25690</v>
      </c>
      <c r="BJ192" s="29">
        <v>26260</v>
      </c>
      <c r="BK192" s="29">
        <v>26820</v>
      </c>
      <c r="BL192" s="29">
        <v>28090</v>
      </c>
    </row>
    <row r="193" spans="1:64" x14ac:dyDescent="0.2">
      <c r="A193" s="29">
        <v>83</v>
      </c>
      <c r="B193" s="85">
        <v>5210</v>
      </c>
      <c r="C193" s="85">
        <v>5440</v>
      </c>
      <c r="D193" s="85">
        <v>5830</v>
      </c>
      <c r="E193" s="85">
        <v>5940</v>
      </c>
      <c r="F193" s="85">
        <v>6210</v>
      </c>
      <c r="G193" s="85">
        <v>6400</v>
      </c>
      <c r="H193" s="85">
        <v>6540</v>
      </c>
      <c r="I193" s="85">
        <v>6570</v>
      </c>
      <c r="J193" s="85">
        <v>7030</v>
      </c>
      <c r="K193" s="85">
        <v>6940</v>
      </c>
      <c r="L193" s="29">
        <v>6690</v>
      </c>
      <c r="M193" s="29">
        <v>7010</v>
      </c>
      <c r="N193" s="29">
        <v>7220</v>
      </c>
      <c r="O193" s="29">
        <v>7400</v>
      </c>
      <c r="P193" s="29">
        <v>7860</v>
      </c>
      <c r="Q193" s="29">
        <v>8260</v>
      </c>
      <c r="R193" s="29">
        <v>8600</v>
      </c>
      <c r="S193" s="29">
        <v>9710</v>
      </c>
      <c r="T193" s="29">
        <v>10480</v>
      </c>
      <c r="U193" s="29">
        <v>10800</v>
      </c>
      <c r="V193" s="29">
        <v>9870</v>
      </c>
      <c r="W193" s="29">
        <v>11240</v>
      </c>
      <c r="X193" s="29">
        <v>11780</v>
      </c>
      <c r="Y193" s="29">
        <v>12560</v>
      </c>
      <c r="Z193" s="29">
        <v>15050</v>
      </c>
      <c r="AA193" s="29">
        <v>15120</v>
      </c>
      <c r="AB193" s="29">
        <v>15200</v>
      </c>
      <c r="AC193" s="29">
        <v>15480</v>
      </c>
      <c r="AD193" s="29">
        <v>15730</v>
      </c>
      <c r="AE193" s="29">
        <v>16030</v>
      </c>
      <c r="AF193" s="29">
        <v>16330</v>
      </c>
      <c r="AG193" s="29">
        <v>17060</v>
      </c>
      <c r="AH193" s="29">
        <v>17640</v>
      </c>
      <c r="AI193" s="29">
        <v>18420</v>
      </c>
      <c r="AJ193" s="29">
        <v>19070</v>
      </c>
      <c r="AK193" s="29">
        <v>19220</v>
      </c>
      <c r="AL193" s="29">
        <v>20390</v>
      </c>
      <c r="AM193" s="29">
        <v>20880</v>
      </c>
      <c r="AN193" s="29">
        <v>21720</v>
      </c>
      <c r="AO193" s="29">
        <v>22440</v>
      </c>
      <c r="AP193" s="29">
        <v>22540</v>
      </c>
      <c r="AQ193" s="29">
        <v>22520</v>
      </c>
      <c r="AR193" s="29">
        <v>22010</v>
      </c>
      <c r="AS193" s="29">
        <v>21990</v>
      </c>
      <c r="AT193" s="29">
        <v>22020</v>
      </c>
      <c r="AU193" s="29">
        <v>22560</v>
      </c>
      <c r="AV193" s="29">
        <v>23050</v>
      </c>
      <c r="AW193" s="29">
        <v>23110</v>
      </c>
      <c r="AX193" s="29">
        <v>23820</v>
      </c>
      <c r="AY193" s="29">
        <v>23840</v>
      </c>
      <c r="AZ193" s="29">
        <v>23220</v>
      </c>
      <c r="BA193" s="29">
        <v>22750</v>
      </c>
      <c r="BB193" s="29">
        <v>22080</v>
      </c>
      <c r="BC193" s="29">
        <v>21720</v>
      </c>
      <c r="BD193" s="29">
        <v>21820</v>
      </c>
      <c r="BE193" s="29">
        <v>21540</v>
      </c>
      <c r="BF193" s="29">
        <v>22250</v>
      </c>
      <c r="BG193" s="29">
        <v>22800</v>
      </c>
      <c r="BH193" s="29">
        <v>23560</v>
      </c>
      <c r="BI193" s="29">
        <v>23950</v>
      </c>
      <c r="BJ193" s="29">
        <v>25010</v>
      </c>
      <c r="BK193" s="29">
        <v>25580</v>
      </c>
      <c r="BL193" s="29">
        <v>26140</v>
      </c>
    </row>
    <row r="194" spans="1:64" x14ac:dyDescent="0.2">
      <c r="A194" s="29">
        <v>84</v>
      </c>
      <c r="B194" s="85">
        <v>4650</v>
      </c>
      <c r="C194" s="85">
        <v>4730</v>
      </c>
      <c r="D194" s="85">
        <v>4950</v>
      </c>
      <c r="E194" s="85">
        <v>5290</v>
      </c>
      <c r="F194" s="85">
        <v>5380</v>
      </c>
      <c r="G194" s="85">
        <v>5700</v>
      </c>
      <c r="H194" s="85">
        <v>5860</v>
      </c>
      <c r="I194" s="85">
        <v>6000</v>
      </c>
      <c r="J194" s="85">
        <v>6020</v>
      </c>
      <c r="K194" s="85">
        <v>6520</v>
      </c>
      <c r="L194" s="29">
        <v>6420</v>
      </c>
      <c r="M194" s="29">
        <v>6180</v>
      </c>
      <c r="N194" s="29">
        <v>6490</v>
      </c>
      <c r="O194" s="29">
        <v>6690</v>
      </c>
      <c r="P194" s="29">
        <v>6870</v>
      </c>
      <c r="Q194" s="29">
        <v>7300</v>
      </c>
      <c r="R194" s="29">
        <v>7680</v>
      </c>
      <c r="S194" s="29">
        <v>8010</v>
      </c>
      <c r="T194" s="29">
        <v>9060</v>
      </c>
      <c r="U194" s="29">
        <v>9790</v>
      </c>
      <c r="V194" s="29">
        <v>10090</v>
      </c>
      <c r="W194" s="29">
        <v>9230</v>
      </c>
      <c r="X194" s="29">
        <v>10530</v>
      </c>
      <c r="Y194" s="29">
        <v>11050</v>
      </c>
      <c r="Z194" s="29">
        <v>11790</v>
      </c>
      <c r="AA194" s="29">
        <v>14150</v>
      </c>
      <c r="AB194" s="29">
        <v>14230</v>
      </c>
      <c r="AC194" s="29">
        <v>14320</v>
      </c>
      <c r="AD194" s="29">
        <v>14600</v>
      </c>
      <c r="AE194" s="29">
        <v>14860</v>
      </c>
      <c r="AF194" s="29">
        <v>15150</v>
      </c>
      <c r="AG194" s="29">
        <v>15450</v>
      </c>
      <c r="AH194" s="29">
        <v>16160</v>
      </c>
      <c r="AI194" s="29">
        <v>16730</v>
      </c>
      <c r="AJ194" s="29">
        <v>17480</v>
      </c>
      <c r="AK194" s="29">
        <v>18110</v>
      </c>
      <c r="AL194" s="29">
        <v>18270</v>
      </c>
      <c r="AM194" s="29">
        <v>19400</v>
      </c>
      <c r="AN194" s="29">
        <v>19890</v>
      </c>
      <c r="AO194" s="29">
        <v>20710</v>
      </c>
      <c r="AP194" s="29">
        <v>21410</v>
      </c>
      <c r="AQ194" s="29">
        <v>21520</v>
      </c>
      <c r="AR194" s="29">
        <v>21520</v>
      </c>
      <c r="AS194" s="29">
        <v>21050</v>
      </c>
      <c r="AT194" s="29">
        <v>21050</v>
      </c>
      <c r="AU194" s="29">
        <v>21090</v>
      </c>
      <c r="AV194" s="29">
        <v>21630</v>
      </c>
      <c r="AW194" s="29">
        <v>22110</v>
      </c>
      <c r="AX194" s="29">
        <v>22190</v>
      </c>
      <c r="AY194" s="29">
        <v>22890</v>
      </c>
      <c r="AZ194" s="29">
        <v>22920</v>
      </c>
      <c r="BA194" s="29">
        <v>22350</v>
      </c>
      <c r="BB194" s="29">
        <v>21900</v>
      </c>
      <c r="BC194" s="29">
        <v>21280</v>
      </c>
      <c r="BD194" s="29">
        <v>20940</v>
      </c>
      <c r="BE194" s="29">
        <v>21060</v>
      </c>
      <c r="BF194" s="29">
        <v>20800</v>
      </c>
      <c r="BG194" s="29">
        <v>21500</v>
      </c>
      <c r="BH194" s="29">
        <v>22040</v>
      </c>
      <c r="BI194" s="29">
        <v>22790</v>
      </c>
      <c r="BJ194" s="29">
        <v>23180</v>
      </c>
      <c r="BK194" s="29">
        <v>24220</v>
      </c>
      <c r="BL194" s="29">
        <v>24790</v>
      </c>
    </row>
    <row r="195" spans="1:64" x14ac:dyDescent="0.2">
      <c r="A195" s="29">
        <v>85</v>
      </c>
      <c r="B195" s="85">
        <v>3850</v>
      </c>
      <c r="C195" s="85">
        <v>4140</v>
      </c>
      <c r="D195" s="85">
        <v>4250</v>
      </c>
      <c r="E195" s="85">
        <v>4440</v>
      </c>
      <c r="F195" s="85">
        <v>4760</v>
      </c>
      <c r="G195" s="85">
        <v>4830</v>
      </c>
      <c r="H195" s="85">
        <v>5160</v>
      </c>
      <c r="I195" s="85">
        <v>5280</v>
      </c>
      <c r="J195" s="85">
        <v>5470</v>
      </c>
      <c r="K195" s="85">
        <v>5510</v>
      </c>
      <c r="L195" s="29">
        <v>5970</v>
      </c>
      <c r="M195" s="29">
        <v>5870</v>
      </c>
      <c r="N195" s="29">
        <v>5660</v>
      </c>
      <c r="O195" s="29">
        <v>5950</v>
      </c>
      <c r="P195" s="29">
        <v>6140</v>
      </c>
      <c r="Q195" s="29">
        <v>6310</v>
      </c>
      <c r="R195" s="29">
        <v>6710</v>
      </c>
      <c r="S195" s="29">
        <v>7080</v>
      </c>
      <c r="T195" s="29">
        <v>7390</v>
      </c>
      <c r="U195" s="29">
        <v>8360</v>
      </c>
      <c r="V195" s="29">
        <v>9050</v>
      </c>
      <c r="W195" s="29">
        <v>9350</v>
      </c>
      <c r="X195" s="29">
        <v>8560</v>
      </c>
      <c r="Y195" s="29">
        <v>9770</v>
      </c>
      <c r="Z195" s="29">
        <v>10270</v>
      </c>
      <c r="AA195" s="29">
        <v>10980</v>
      </c>
      <c r="AB195" s="29">
        <v>13180</v>
      </c>
      <c r="AC195" s="29">
        <v>13280</v>
      </c>
      <c r="AD195" s="29">
        <v>13380</v>
      </c>
      <c r="AE195" s="29">
        <v>13650</v>
      </c>
      <c r="AF195" s="29">
        <v>13910</v>
      </c>
      <c r="AG195" s="29">
        <v>14200</v>
      </c>
      <c r="AH195" s="29">
        <v>14500</v>
      </c>
      <c r="AI195" s="29">
        <v>15180</v>
      </c>
      <c r="AJ195" s="29">
        <v>15720</v>
      </c>
      <c r="AK195" s="29">
        <v>16450</v>
      </c>
      <c r="AL195" s="29">
        <v>17060</v>
      </c>
      <c r="AM195" s="29">
        <v>17230</v>
      </c>
      <c r="AN195" s="29">
        <v>18310</v>
      </c>
      <c r="AO195" s="29">
        <v>18790</v>
      </c>
      <c r="AP195" s="29">
        <v>19580</v>
      </c>
      <c r="AQ195" s="29">
        <v>20260</v>
      </c>
      <c r="AR195" s="29">
        <v>20390</v>
      </c>
      <c r="AS195" s="29">
        <v>20410</v>
      </c>
      <c r="AT195" s="29">
        <v>19980</v>
      </c>
      <c r="AU195" s="29">
        <v>20000</v>
      </c>
      <c r="AV195" s="29">
        <v>20050</v>
      </c>
      <c r="AW195" s="29">
        <v>20580</v>
      </c>
      <c r="AX195" s="29">
        <v>21060</v>
      </c>
      <c r="AY195" s="29">
        <v>21150</v>
      </c>
      <c r="AZ195" s="29">
        <v>21830</v>
      </c>
      <c r="BA195" s="29">
        <v>21880</v>
      </c>
      <c r="BB195" s="29">
        <v>21350</v>
      </c>
      <c r="BC195" s="29">
        <v>20940</v>
      </c>
      <c r="BD195" s="29">
        <v>20360</v>
      </c>
      <c r="BE195" s="29">
        <v>20050</v>
      </c>
      <c r="BF195" s="29">
        <v>20180</v>
      </c>
      <c r="BG195" s="29">
        <v>19950</v>
      </c>
      <c r="BH195" s="29">
        <v>20630</v>
      </c>
      <c r="BI195" s="29">
        <v>21160</v>
      </c>
      <c r="BJ195" s="29">
        <v>21900</v>
      </c>
      <c r="BK195" s="29">
        <v>22290</v>
      </c>
      <c r="BL195" s="29">
        <v>23310</v>
      </c>
    </row>
    <row r="196" spans="1:64" x14ac:dyDescent="0.2">
      <c r="A196" s="29">
        <v>86</v>
      </c>
      <c r="B196" s="85">
        <v>3290</v>
      </c>
      <c r="C196" s="85">
        <v>3420</v>
      </c>
      <c r="D196" s="85">
        <v>3640</v>
      </c>
      <c r="E196" s="85">
        <v>3790</v>
      </c>
      <c r="F196" s="85">
        <v>3970</v>
      </c>
      <c r="G196" s="85">
        <v>4250</v>
      </c>
      <c r="H196" s="85">
        <v>4310</v>
      </c>
      <c r="I196" s="85">
        <v>4610</v>
      </c>
      <c r="J196" s="85">
        <v>4750</v>
      </c>
      <c r="K196" s="85">
        <v>4910</v>
      </c>
      <c r="L196" s="29">
        <v>4980</v>
      </c>
      <c r="M196" s="29">
        <v>5390</v>
      </c>
      <c r="N196" s="29">
        <v>5300</v>
      </c>
      <c r="O196" s="29">
        <v>5120</v>
      </c>
      <c r="P196" s="29">
        <v>5390</v>
      </c>
      <c r="Q196" s="29">
        <v>5570</v>
      </c>
      <c r="R196" s="29">
        <v>5730</v>
      </c>
      <c r="S196" s="29">
        <v>6110</v>
      </c>
      <c r="T196" s="29">
        <v>6450</v>
      </c>
      <c r="U196" s="29">
        <v>6740</v>
      </c>
      <c r="V196" s="29">
        <v>7640</v>
      </c>
      <c r="W196" s="29">
        <v>8280</v>
      </c>
      <c r="X196" s="29">
        <v>8560</v>
      </c>
      <c r="Y196" s="29">
        <v>7860</v>
      </c>
      <c r="Z196" s="29">
        <v>8980</v>
      </c>
      <c r="AA196" s="29">
        <v>9450</v>
      </c>
      <c r="AB196" s="29">
        <v>10110</v>
      </c>
      <c r="AC196" s="29">
        <v>12160</v>
      </c>
      <c r="AD196" s="29">
        <v>12260</v>
      </c>
      <c r="AE196" s="29">
        <v>12370</v>
      </c>
      <c r="AF196" s="29">
        <v>12630</v>
      </c>
      <c r="AG196" s="29">
        <v>12880</v>
      </c>
      <c r="AH196" s="29">
        <v>13170</v>
      </c>
      <c r="AI196" s="29">
        <v>13460</v>
      </c>
      <c r="AJ196" s="29">
        <v>14110</v>
      </c>
      <c r="AK196" s="29">
        <v>14640</v>
      </c>
      <c r="AL196" s="29">
        <v>15330</v>
      </c>
      <c r="AM196" s="29">
        <v>15910</v>
      </c>
      <c r="AN196" s="29">
        <v>16080</v>
      </c>
      <c r="AO196" s="29">
        <v>17110</v>
      </c>
      <c r="AP196" s="29">
        <v>17580</v>
      </c>
      <c r="AQ196" s="29">
        <v>18340</v>
      </c>
      <c r="AR196" s="29">
        <v>19000</v>
      </c>
      <c r="AS196" s="29">
        <v>19140</v>
      </c>
      <c r="AT196" s="29">
        <v>19170</v>
      </c>
      <c r="AU196" s="29">
        <v>18790</v>
      </c>
      <c r="AV196" s="29">
        <v>18820</v>
      </c>
      <c r="AW196" s="29">
        <v>18890</v>
      </c>
      <c r="AX196" s="29">
        <v>19400</v>
      </c>
      <c r="AY196" s="29">
        <v>19870</v>
      </c>
      <c r="AZ196" s="29">
        <v>19980</v>
      </c>
      <c r="BA196" s="29">
        <v>20640</v>
      </c>
      <c r="BB196" s="29">
        <v>20700</v>
      </c>
      <c r="BC196" s="29">
        <v>20220</v>
      </c>
      <c r="BD196" s="29">
        <v>19850</v>
      </c>
      <c r="BE196" s="29">
        <v>19310</v>
      </c>
      <c r="BF196" s="29">
        <v>19030</v>
      </c>
      <c r="BG196" s="29">
        <v>19170</v>
      </c>
      <c r="BH196" s="29">
        <v>18960</v>
      </c>
      <c r="BI196" s="29">
        <v>19630</v>
      </c>
      <c r="BJ196" s="29">
        <v>20150</v>
      </c>
      <c r="BK196" s="29">
        <v>20870</v>
      </c>
      <c r="BL196" s="29">
        <v>21250</v>
      </c>
    </row>
    <row r="197" spans="1:64" x14ac:dyDescent="0.2">
      <c r="A197" s="29">
        <v>87</v>
      </c>
      <c r="B197" s="85">
        <v>2380</v>
      </c>
      <c r="C197" s="85">
        <v>2850</v>
      </c>
      <c r="D197" s="85">
        <v>2980</v>
      </c>
      <c r="E197" s="85">
        <v>3200</v>
      </c>
      <c r="F197" s="85">
        <v>3330</v>
      </c>
      <c r="G197" s="85">
        <v>3480</v>
      </c>
      <c r="H197" s="85">
        <v>3760</v>
      </c>
      <c r="I197" s="85">
        <v>3760</v>
      </c>
      <c r="J197" s="85">
        <v>4090</v>
      </c>
      <c r="K197" s="85">
        <v>4180</v>
      </c>
      <c r="L197" s="29">
        <v>4390</v>
      </c>
      <c r="M197" s="29">
        <v>4430</v>
      </c>
      <c r="N197" s="29">
        <v>4800</v>
      </c>
      <c r="O197" s="29">
        <v>4730</v>
      </c>
      <c r="P197" s="29">
        <v>4580</v>
      </c>
      <c r="Q197" s="29">
        <v>4820</v>
      </c>
      <c r="R197" s="29">
        <v>4990</v>
      </c>
      <c r="S197" s="29">
        <v>5150</v>
      </c>
      <c r="T197" s="29">
        <v>5490</v>
      </c>
      <c r="U197" s="29">
        <v>5810</v>
      </c>
      <c r="V197" s="29">
        <v>6080</v>
      </c>
      <c r="W197" s="29">
        <v>6900</v>
      </c>
      <c r="X197" s="29">
        <v>7490</v>
      </c>
      <c r="Y197" s="29">
        <v>7750</v>
      </c>
      <c r="Z197" s="29">
        <v>7120</v>
      </c>
      <c r="AA197" s="29">
        <v>8150</v>
      </c>
      <c r="AB197" s="29">
        <v>8590</v>
      </c>
      <c r="AC197" s="29">
        <v>9200</v>
      </c>
      <c r="AD197" s="29">
        <v>11080</v>
      </c>
      <c r="AE197" s="29">
        <v>11190</v>
      </c>
      <c r="AF197" s="29">
        <v>11300</v>
      </c>
      <c r="AG197" s="29">
        <v>11550</v>
      </c>
      <c r="AH197" s="29">
        <v>11800</v>
      </c>
      <c r="AI197" s="29">
        <v>12080</v>
      </c>
      <c r="AJ197" s="29">
        <v>12360</v>
      </c>
      <c r="AK197" s="29">
        <v>12970</v>
      </c>
      <c r="AL197" s="29">
        <v>13470</v>
      </c>
      <c r="AM197" s="29">
        <v>14120</v>
      </c>
      <c r="AN197" s="29">
        <v>14670</v>
      </c>
      <c r="AO197" s="29">
        <v>14850</v>
      </c>
      <c r="AP197" s="29">
        <v>15820</v>
      </c>
      <c r="AQ197" s="29">
        <v>16270</v>
      </c>
      <c r="AR197" s="29">
        <v>16980</v>
      </c>
      <c r="AS197" s="29">
        <v>17610</v>
      </c>
      <c r="AT197" s="29">
        <v>17760</v>
      </c>
      <c r="AU197" s="29">
        <v>17810</v>
      </c>
      <c r="AV197" s="29">
        <v>17470</v>
      </c>
      <c r="AW197" s="29">
        <v>17520</v>
      </c>
      <c r="AX197" s="29">
        <v>17600</v>
      </c>
      <c r="AY197" s="29">
        <v>18100</v>
      </c>
      <c r="AZ197" s="29">
        <v>18550</v>
      </c>
      <c r="BA197" s="29">
        <v>18670</v>
      </c>
      <c r="BB197" s="29">
        <v>19310</v>
      </c>
      <c r="BC197" s="29">
        <v>19380</v>
      </c>
      <c r="BD197" s="29">
        <v>18940</v>
      </c>
      <c r="BE197" s="29">
        <v>18620</v>
      </c>
      <c r="BF197" s="29">
        <v>18130</v>
      </c>
      <c r="BG197" s="29">
        <v>17880</v>
      </c>
      <c r="BH197" s="29">
        <v>18020</v>
      </c>
      <c r="BI197" s="29">
        <v>17850</v>
      </c>
      <c r="BJ197" s="29">
        <v>18490</v>
      </c>
      <c r="BK197" s="29">
        <v>19000</v>
      </c>
      <c r="BL197" s="29">
        <v>19690</v>
      </c>
    </row>
    <row r="198" spans="1:64" x14ac:dyDescent="0.2">
      <c r="A198" s="29">
        <v>88</v>
      </c>
      <c r="B198" s="85">
        <v>1930</v>
      </c>
      <c r="C198" s="85">
        <v>2020</v>
      </c>
      <c r="D198" s="85">
        <v>2480</v>
      </c>
      <c r="E198" s="85">
        <v>2590</v>
      </c>
      <c r="F198" s="85">
        <v>2790</v>
      </c>
      <c r="G198" s="85">
        <v>2920</v>
      </c>
      <c r="H198" s="85">
        <v>2990</v>
      </c>
      <c r="I198" s="85">
        <v>3210</v>
      </c>
      <c r="J198" s="85">
        <v>3310</v>
      </c>
      <c r="K198" s="85">
        <v>3550</v>
      </c>
      <c r="L198" s="29">
        <v>3700</v>
      </c>
      <c r="M198" s="29">
        <v>3850</v>
      </c>
      <c r="N198" s="29">
        <v>3890</v>
      </c>
      <c r="O198" s="29">
        <v>4220</v>
      </c>
      <c r="P198" s="29">
        <v>4160</v>
      </c>
      <c r="Q198" s="29">
        <v>4030</v>
      </c>
      <c r="R198" s="29">
        <v>4260</v>
      </c>
      <c r="S198" s="29">
        <v>4410</v>
      </c>
      <c r="T198" s="29">
        <v>4550</v>
      </c>
      <c r="U198" s="29">
        <v>4870</v>
      </c>
      <c r="V198" s="29">
        <v>5150</v>
      </c>
      <c r="W198" s="29">
        <v>5400</v>
      </c>
      <c r="X198" s="29">
        <v>6140</v>
      </c>
      <c r="Y198" s="29">
        <v>6670</v>
      </c>
      <c r="Z198" s="29">
        <v>6920</v>
      </c>
      <c r="AA198" s="29">
        <v>6370</v>
      </c>
      <c r="AB198" s="29">
        <v>7300</v>
      </c>
      <c r="AC198" s="29">
        <v>7700</v>
      </c>
      <c r="AD198" s="29">
        <v>8260</v>
      </c>
      <c r="AE198" s="29">
        <v>9950</v>
      </c>
      <c r="AF198" s="29">
        <v>10060</v>
      </c>
      <c r="AG198" s="29">
        <v>10180</v>
      </c>
      <c r="AH198" s="29">
        <v>10420</v>
      </c>
      <c r="AI198" s="29">
        <v>10660</v>
      </c>
      <c r="AJ198" s="29">
        <v>10920</v>
      </c>
      <c r="AK198" s="29">
        <v>11190</v>
      </c>
      <c r="AL198" s="29">
        <v>11760</v>
      </c>
      <c r="AM198" s="29">
        <v>12220</v>
      </c>
      <c r="AN198" s="29">
        <v>12830</v>
      </c>
      <c r="AO198" s="29">
        <v>13350</v>
      </c>
      <c r="AP198" s="29">
        <v>13530</v>
      </c>
      <c r="AQ198" s="29">
        <v>14420</v>
      </c>
      <c r="AR198" s="29">
        <v>14850</v>
      </c>
      <c r="AS198" s="29">
        <v>15520</v>
      </c>
      <c r="AT198" s="29">
        <v>16110</v>
      </c>
      <c r="AU198" s="29">
        <v>16270</v>
      </c>
      <c r="AV198" s="29">
        <v>16330</v>
      </c>
      <c r="AW198" s="29">
        <v>16040</v>
      </c>
      <c r="AX198" s="29">
        <v>16100</v>
      </c>
      <c r="AY198" s="29">
        <v>16190</v>
      </c>
      <c r="AZ198" s="29">
        <v>16660</v>
      </c>
      <c r="BA198" s="29">
        <v>17100</v>
      </c>
      <c r="BB198" s="29">
        <v>17220</v>
      </c>
      <c r="BC198" s="29">
        <v>17830</v>
      </c>
      <c r="BD198" s="29">
        <v>17920</v>
      </c>
      <c r="BE198" s="29">
        <v>17530</v>
      </c>
      <c r="BF198" s="29">
        <v>17240</v>
      </c>
      <c r="BG198" s="29">
        <v>16810</v>
      </c>
      <c r="BH198" s="29">
        <v>16590</v>
      </c>
      <c r="BI198" s="29">
        <v>16740</v>
      </c>
      <c r="BJ198" s="29">
        <v>16590</v>
      </c>
      <c r="BK198" s="29">
        <v>17210</v>
      </c>
      <c r="BL198" s="29">
        <v>17690</v>
      </c>
    </row>
    <row r="199" spans="1:64" x14ac:dyDescent="0.2">
      <c r="A199" s="29">
        <v>89</v>
      </c>
      <c r="B199" s="85">
        <v>1720</v>
      </c>
      <c r="C199" s="85">
        <v>1620</v>
      </c>
      <c r="D199" s="85">
        <v>1720</v>
      </c>
      <c r="E199" s="85">
        <v>2130</v>
      </c>
      <c r="F199" s="85">
        <v>2190</v>
      </c>
      <c r="G199" s="85">
        <v>2360</v>
      </c>
      <c r="H199" s="85">
        <v>2460</v>
      </c>
      <c r="I199" s="85">
        <v>2470</v>
      </c>
      <c r="J199" s="85">
        <v>2780</v>
      </c>
      <c r="K199" s="85">
        <v>2840</v>
      </c>
      <c r="L199" s="29">
        <v>3070</v>
      </c>
      <c r="M199" s="29">
        <v>3180</v>
      </c>
      <c r="N199" s="29">
        <v>3310</v>
      </c>
      <c r="O199" s="29">
        <v>3360</v>
      </c>
      <c r="P199" s="29">
        <v>3650</v>
      </c>
      <c r="Q199" s="29">
        <v>3600</v>
      </c>
      <c r="R199" s="29">
        <v>3500</v>
      </c>
      <c r="S199" s="29">
        <v>3700</v>
      </c>
      <c r="T199" s="29">
        <v>3840</v>
      </c>
      <c r="U199" s="29">
        <v>3970</v>
      </c>
      <c r="V199" s="29">
        <v>4250</v>
      </c>
      <c r="W199" s="29">
        <v>4500</v>
      </c>
      <c r="X199" s="29">
        <v>4730</v>
      </c>
      <c r="Y199" s="29">
        <v>5380</v>
      </c>
      <c r="Z199" s="29">
        <v>5850</v>
      </c>
      <c r="AA199" s="29">
        <v>6080</v>
      </c>
      <c r="AB199" s="29">
        <v>5600</v>
      </c>
      <c r="AC199" s="29">
        <v>6430</v>
      </c>
      <c r="AD199" s="29">
        <v>6790</v>
      </c>
      <c r="AE199" s="29">
        <v>7290</v>
      </c>
      <c r="AF199" s="29">
        <v>8800</v>
      </c>
      <c r="AG199" s="29">
        <v>8910</v>
      </c>
      <c r="AH199" s="29">
        <v>9030</v>
      </c>
      <c r="AI199" s="29">
        <v>9260</v>
      </c>
      <c r="AJ199" s="29">
        <v>9480</v>
      </c>
      <c r="AK199" s="29">
        <v>9720</v>
      </c>
      <c r="AL199" s="29">
        <v>9970</v>
      </c>
      <c r="AM199" s="29">
        <v>10490</v>
      </c>
      <c r="AN199" s="29">
        <v>10920</v>
      </c>
      <c r="AO199" s="29">
        <v>11480</v>
      </c>
      <c r="AP199" s="29">
        <v>11960</v>
      </c>
      <c r="AQ199" s="29">
        <v>12130</v>
      </c>
      <c r="AR199" s="29">
        <v>12950</v>
      </c>
      <c r="AS199" s="29">
        <v>13350</v>
      </c>
      <c r="AT199" s="29">
        <v>13970</v>
      </c>
      <c r="AU199" s="29">
        <v>14520</v>
      </c>
      <c r="AV199" s="29">
        <v>14670</v>
      </c>
      <c r="AW199" s="29">
        <v>14750</v>
      </c>
      <c r="AX199" s="29">
        <v>14500</v>
      </c>
      <c r="AY199" s="29">
        <v>14570</v>
      </c>
      <c r="AZ199" s="29">
        <v>14670</v>
      </c>
      <c r="BA199" s="29">
        <v>15110</v>
      </c>
      <c r="BB199" s="29">
        <v>15530</v>
      </c>
      <c r="BC199" s="29">
        <v>15650</v>
      </c>
      <c r="BD199" s="29">
        <v>16220</v>
      </c>
      <c r="BE199" s="29">
        <v>16320</v>
      </c>
      <c r="BF199" s="29">
        <v>15980</v>
      </c>
      <c r="BG199" s="29">
        <v>15740</v>
      </c>
      <c r="BH199" s="29">
        <v>15350</v>
      </c>
      <c r="BI199" s="29">
        <v>15170</v>
      </c>
      <c r="BJ199" s="29">
        <v>15320</v>
      </c>
      <c r="BK199" s="29">
        <v>15200</v>
      </c>
      <c r="BL199" s="29">
        <v>15780</v>
      </c>
    </row>
    <row r="200" spans="1:64" x14ac:dyDescent="0.2">
      <c r="A200" s="29" t="s">
        <v>3</v>
      </c>
      <c r="B200" s="85">
        <v>5020</v>
      </c>
      <c r="C200" s="85">
        <v>5290</v>
      </c>
      <c r="D200" s="85">
        <v>5460</v>
      </c>
      <c r="E200" s="85">
        <v>5640</v>
      </c>
      <c r="F200" s="85">
        <v>6100</v>
      </c>
      <c r="G200" s="85">
        <v>6550</v>
      </c>
      <c r="H200" s="85">
        <v>7010</v>
      </c>
      <c r="I200" s="85">
        <v>7500</v>
      </c>
      <c r="J200" s="85">
        <v>8070</v>
      </c>
      <c r="K200" s="85">
        <v>8610</v>
      </c>
      <c r="L200" s="85">
        <v>9180</v>
      </c>
      <c r="M200" s="85">
        <v>9700</v>
      </c>
      <c r="N200" s="85">
        <v>10330</v>
      </c>
      <c r="O200" s="85">
        <v>10900</v>
      </c>
      <c r="P200" s="85">
        <v>11340</v>
      </c>
      <c r="Q200" s="85">
        <v>11960</v>
      </c>
      <c r="R200" s="85">
        <v>12470</v>
      </c>
      <c r="S200" s="85">
        <v>12720</v>
      </c>
      <c r="T200" s="85">
        <v>13080</v>
      </c>
      <c r="U200" s="85">
        <v>13510</v>
      </c>
      <c r="V200" s="85">
        <v>14000</v>
      </c>
      <c r="W200" s="85">
        <v>14620</v>
      </c>
      <c r="X200" s="85">
        <v>15390</v>
      </c>
      <c r="Y200" s="85">
        <v>16190</v>
      </c>
      <c r="Z200" s="85">
        <v>17390</v>
      </c>
      <c r="AA200" s="85">
        <v>18780</v>
      </c>
      <c r="AB200" s="85">
        <v>20180</v>
      </c>
      <c r="AC200" s="85">
        <v>20860</v>
      </c>
      <c r="AD200" s="85">
        <v>22200</v>
      </c>
      <c r="AE200" s="85">
        <v>23480</v>
      </c>
      <c r="AF200" s="85">
        <v>25000</v>
      </c>
      <c r="AG200" s="85">
        <v>27600</v>
      </c>
      <c r="AH200" s="85">
        <v>29780</v>
      </c>
      <c r="AI200" s="85">
        <v>31770</v>
      </c>
      <c r="AJ200" s="85">
        <v>33560</v>
      </c>
      <c r="AK200" s="85">
        <v>35140</v>
      </c>
      <c r="AL200" s="85">
        <v>36660</v>
      </c>
      <c r="AM200" s="85">
        <v>38070</v>
      </c>
      <c r="AN200" s="85">
        <v>39660</v>
      </c>
      <c r="AO200" s="85">
        <v>41410</v>
      </c>
      <c r="AP200" s="85">
        <v>43290</v>
      </c>
      <c r="AQ200" s="85">
        <v>45180</v>
      </c>
      <c r="AR200" s="85">
        <v>46990</v>
      </c>
      <c r="AS200" s="85">
        <v>49250</v>
      </c>
      <c r="AT200" s="85">
        <v>51440</v>
      </c>
      <c r="AU200" s="85">
        <v>53730</v>
      </c>
      <c r="AV200" s="85">
        <v>56180</v>
      </c>
      <c r="AW200" s="85">
        <v>58340</v>
      </c>
      <c r="AX200" s="85">
        <v>60220</v>
      </c>
      <c r="AY200" s="85">
        <v>61490</v>
      </c>
      <c r="AZ200" s="85">
        <v>62650</v>
      </c>
      <c r="BA200" s="85">
        <v>63590</v>
      </c>
      <c r="BB200" s="85">
        <v>64750</v>
      </c>
      <c r="BC200" s="85">
        <v>66110</v>
      </c>
      <c r="BD200" s="85">
        <v>67360</v>
      </c>
      <c r="BE200" s="85">
        <v>68980</v>
      </c>
      <c r="BF200" s="85">
        <v>70490</v>
      </c>
      <c r="BG200" s="85">
        <v>71450</v>
      </c>
      <c r="BH200" s="85">
        <v>71950</v>
      </c>
      <c r="BI200" s="85">
        <v>72160</v>
      </c>
      <c r="BJ200" s="85">
        <v>72030</v>
      </c>
      <c r="BK200" s="85">
        <v>72130</v>
      </c>
      <c r="BL200" s="85">
        <v>72130</v>
      </c>
    </row>
    <row r="201" spans="1:64" x14ac:dyDescent="0.2">
      <c r="A201" s="76" t="s">
        <v>10</v>
      </c>
      <c r="B201" s="85">
        <f t="shared" ref="B201:AY201" si="3">SUM(B$110:B$200)</f>
        <v>2048380</v>
      </c>
      <c r="C201" s="85">
        <f t="shared" si="3"/>
        <v>2066490</v>
      </c>
      <c r="D201" s="85">
        <f t="shared" si="3"/>
        <v>2083420</v>
      </c>
      <c r="E201" s="85">
        <f t="shared" si="3"/>
        <v>2104650</v>
      </c>
      <c r="F201" s="85">
        <f t="shared" si="3"/>
        <v>2127750</v>
      </c>
      <c r="G201" s="85">
        <f t="shared" si="3"/>
        <v>2143560</v>
      </c>
      <c r="H201" s="85">
        <f t="shared" si="3"/>
        <v>2154980</v>
      </c>
      <c r="I201" s="85">
        <f t="shared" si="3"/>
        <v>2172160</v>
      </c>
      <c r="J201" s="85">
        <f t="shared" si="3"/>
        <v>2209540</v>
      </c>
      <c r="K201" s="85">
        <f t="shared" si="3"/>
        <v>2257200</v>
      </c>
      <c r="L201" s="85">
        <f t="shared" si="3"/>
        <v>2308840</v>
      </c>
      <c r="M201" s="85">
        <f t="shared" si="3"/>
        <v>2357060</v>
      </c>
      <c r="N201" s="85">
        <f t="shared" si="3"/>
        <v>2401000</v>
      </c>
      <c r="O201" s="85">
        <f t="shared" si="3"/>
        <v>2440530</v>
      </c>
      <c r="P201" s="85">
        <f t="shared" si="3"/>
        <v>2475320</v>
      </c>
      <c r="Q201" s="85">
        <f t="shared" si="3"/>
        <v>2505420</v>
      </c>
      <c r="R201" s="85">
        <f t="shared" si="3"/>
        <v>2530480</v>
      </c>
      <c r="S201" s="85">
        <f t="shared" si="3"/>
        <v>2555500</v>
      </c>
      <c r="T201" s="85">
        <f t="shared" si="3"/>
        <v>2580210</v>
      </c>
      <c r="U201" s="85">
        <f t="shared" si="3"/>
        <v>2604730</v>
      </c>
      <c r="V201" s="85">
        <f t="shared" si="3"/>
        <v>2628820</v>
      </c>
      <c r="W201" s="85">
        <f t="shared" si="3"/>
        <v>2652540</v>
      </c>
      <c r="X201" s="85">
        <f t="shared" si="3"/>
        <v>2675830</v>
      </c>
      <c r="Y201" s="85">
        <f t="shared" si="3"/>
        <v>2698360</v>
      </c>
      <c r="Z201" s="85">
        <f t="shared" si="3"/>
        <v>2720330</v>
      </c>
      <c r="AA201" s="85">
        <f t="shared" si="3"/>
        <v>2741730</v>
      </c>
      <c r="AB201" s="85">
        <f t="shared" si="3"/>
        <v>2762400</v>
      </c>
      <c r="AC201" s="85">
        <f t="shared" si="3"/>
        <v>2782490</v>
      </c>
      <c r="AD201" s="85">
        <f t="shared" si="3"/>
        <v>2802010</v>
      </c>
      <c r="AE201" s="85">
        <f t="shared" si="3"/>
        <v>2820800</v>
      </c>
      <c r="AF201" s="85">
        <f t="shared" si="3"/>
        <v>2839120</v>
      </c>
      <c r="AG201" s="85">
        <f t="shared" si="3"/>
        <v>2857120</v>
      </c>
      <c r="AH201" s="85">
        <f t="shared" si="3"/>
        <v>2874540</v>
      </c>
      <c r="AI201" s="85">
        <f t="shared" si="3"/>
        <v>2891730</v>
      </c>
      <c r="AJ201" s="85">
        <f t="shared" si="3"/>
        <v>2908570</v>
      </c>
      <c r="AK201" s="85">
        <f t="shared" si="3"/>
        <v>2925060</v>
      </c>
      <c r="AL201" s="85">
        <f t="shared" si="3"/>
        <v>2941320</v>
      </c>
      <c r="AM201" s="85">
        <f t="shared" si="3"/>
        <v>2957230</v>
      </c>
      <c r="AN201" s="85">
        <f t="shared" si="3"/>
        <v>2973020</v>
      </c>
      <c r="AO201" s="85">
        <f t="shared" si="3"/>
        <v>2988610</v>
      </c>
      <c r="AP201" s="85">
        <f t="shared" si="3"/>
        <v>3003860</v>
      </c>
      <c r="AQ201" s="85">
        <f t="shared" si="3"/>
        <v>3018840</v>
      </c>
      <c r="AR201" s="85">
        <f t="shared" si="3"/>
        <v>3033680</v>
      </c>
      <c r="AS201" s="85">
        <f t="shared" si="3"/>
        <v>3048470</v>
      </c>
      <c r="AT201" s="85">
        <f t="shared" si="3"/>
        <v>3062900</v>
      </c>
      <c r="AU201" s="85">
        <f t="shared" si="3"/>
        <v>3077160</v>
      </c>
      <c r="AV201" s="85">
        <f t="shared" si="3"/>
        <v>3091290</v>
      </c>
      <c r="AW201" s="85">
        <f t="shared" si="3"/>
        <v>3105300</v>
      </c>
      <c r="AX201" s="85">
        <f t="shared" si="3"/>
        <v>3119180</v>
      </c>
      <c r="AY201" s="85">
        <f t="shared" si="3"/>
        <v>3133040</v>
      </c>
      <c r="AZ201" s="85">
        <f t="shared" ref="AZ201:BL201" si="4">SUM(AZ$110:AZ$200)</f>
        <v>3146790</v>
      </c>
      <c r="BA201" s="85">
        <f t="shared" si="4"/>
        <v>3160470</v>
      </c>
      <c r="BB201" s="85">
        <f t="shared" si="4"/>
        <v>3174010</v>
      </c>
      <c r="BC201" s="85">
        <f t="shared" si="4"/>
        <v>3187600</v>
      </c>
      <c r="BD201" s="85">
        <f t="shared" si="4"/>
        <v>3201090</v>
      </c>
      <c r="BE201" s="85">
        <f t="shared" si="4"/>
        <v>3214560</v>
      </c>
      <c r="BF201" s="85">
        <f t="shared" si="4"/>
        <v>3227890</v>
      </c>
      <c r="BG201" s="85">
        <f t="shared" si="4"/>
        <v>3241230</v>
      </c>
      <c r="BH201" s="85">
        <f t="shared" si="4"/>
        <v>3254250</v>
      </c>
      <c r="BI201" s="85">
        <f t="shared" si="4"/>
        <v>3267530</v>
      </c>
      <c r="BJ201" s="85">
        <f t="shared" si="4"/>
        <v>3280470</v>
      </c>
      <c r="BK201" s="85">
        <f t="shared" si="4"/>
        <v>3293450</v>
      </c>
      <c r="BL201" s="85">
        <f t="shared" si="4"/>
        <v>3306310</v>
      </c>
    </row>
    <row r="203" spans="1:64" x14ac:dyDescent="0.2">
      <c r="G203" s="76" t="s">
        <v>78</v>
      </c>
      <c r="K203" s="90">
        <v>80.2</v>
      </c>
      <c r="L203" s="90">
        <v>80.3</v>
      </c>
      <c r="M203" s="90">
        <v>80.599999999999994</v>
      </c>
      <c r="N203" s="90">
        <v>80.8</v>
      </c>
      <c r="O203" s="90">
        <v>81</v>
      </c>
      <c r="P203" s="90">
        <v>81.2</v>
      </c>
      <c r="Q203" s="90">
        <v>81.400000000000006</v>
      </c>
      <c r="R203" s="90">
        <v>81.599999999999994</v>
      </c>
      <c r="S203" s="90">
        <v>81.8</v>
      </c>
      <c r="T203" s="90">
        <v>82</v>
      </c>
      <c r="U203" s="90">
        <v>82.2</v>
      </c>
      <c r="V203" s="90">
        <v>82.4</v>
      </c>
      <c r="W203" s="90">
        <v>82.6</v>
      </c>
      <c r="X203" s="90">
        <v>82.8</v>
      </c>
      <c r="Y203" s="90">
        <v>83</v>
      </c>
      <c r="Z203" s="90">
        <v>83.2</v>
      </c>
      <c r="AA203" s="90">
        <v>83.4</v>
      </c>
      <c r="AB203" s="90">
        <v>83.6</v>
      </c>
      <c r="AC203" s="90">
        <v>83.8</v>
      </c>
      <c r="AD203" s="90">
        <v>84</v>
      </c>
      <c r="AE203" s="90">
        <v>84.2</v>
      </c>
      <c r="AF203" s="90">
        <v>84.3</v>
      </c>
      <c r="AG203" s="90">
        <v>84.5</v>
      </c>
      <c r="AH203" s="90">
        <v>84.7</v>
      </c>
      <c r="AI203" s="90">
        <v>84.9</v>
      </c>
      <c r="AJ203" s="90">
        <v>85</v>
      </c>
      <c r="AK203" s="90">
        <v>85.2</v>
      </c>
      <c r="AL203" s="90">
        <v>85.4</v>
      </c>
      <c r="AM203" s="90">
        <v>85.5</v>
      </c>
      <c r="AN203" s="90">
        <v>85.7</v>
      </c>
      <c r="AO203" s="90">
        <v>85.9</v>
      </c>
      <c r="AP203" s="90">
        <v>86</v>
      </c>
      <c r="AQ203" s="90">
        <v>86.2</v>
      </c>
      <c r="AR203" s="90">
        <v>86.3</v>
      </c>
      <c r="AS203" s="90">
        <v>86.5</v>
      </c>
      <c r="AT203" s="90">
        <v>86.6</v>
      </c>
      <c r="AU203" s="90">
        <v>86.8</v>
      </c>
      <c r="AV203" s="90">
        <v>86.9</v>
      </c>
      <c r="AW203" s="90">
        <v>87.1</v>
      </c>
      <c r="AX203" s="90">
        <v>87.2</v>
      </c>
      <c r="AY203" s="90">
        <v>87.4</v>
      </c>
      <c r="AZ203" s="90">
        <v>87.5</v>
      </c>
      <c r="BA203" s="90">
        <v>87.6</v>
      </c>
      <c r="BB203" s="90">
        <v>87.8</v>
      </c>
      <c r="BC203" s="90">
        <v>87.9</v>
      </c>
      <c r="BD203" s="90">
        <v>88</v>
      </c>
      <c r="BE203" s="90">
        <v>88.2</v>
      </c>
      <c r="BF203" s="90">
        <v>88.3</v>
      </c>
      <c r="BG203" s="90">
        <v>88.4</v>
      </c>
      <c r="BH203" s="90">
        <v>88.6</v>
      </c>
      <c r="BI203" s="90">
        <v>88.7</v>
      </c>
      <c r="BJ203" s="90">
        <v>88.8</v>
      </c>
      <c r="BK203" s="90">
        <v>88.9</v>
      </c>
      <c r="BL203" s="90">
        <v>89</v>
      </c>
    </row>
    <row r="204" spans="1:64" x14ac:dyDescent="0.2">
      <c r="G204" s="76" t="s">
        <v>79</v>
      </c>
      <c r="K204" s="90">
        <v>19.2</v>
      </c>
      <c r="L204" s="90">
        <v>19.3</v>
      </c>
      <c r="M204" s="90">
        <v>19.5</v>
      </c>
      <c r="N204" s="90">
        <v>19.600000000000001</v>
      </c>
      <c r="O204" s="90">
        <v>19.8</v>
      </c>
      <c r="P204" s="90">
        <v>19.899999999999999</v>
      </c>
      <c r="Q204" s="90">
        <v>20</v>
      </c>
      <c r="R204" s="90">
        <v>20.2</v>
      </c>
      <c r="S204" s="90">
        <v>20.3</v>
      </c>
      <c r="T204" s="90">
        <v>20.5</v>
      </c>
      <c r="U204" s="90">
        <v>20.6</v>
      </c>
      <c r="V204" s="90">
        <v>20.7</v>
      </c>
      <c r="W204" s="90">
        <v>20.9</v>
      </c>
      <c r="X204" s="90">
        <v>21</v>
      </c>
      <c r="Y204" s="90">
        <v>21.1</v>
      </c>
      <c r="Z204" s="90">
        <v>21.3</v>
      </c>
      <c r="AA204" s="90">
        <v>21.4</v>
      </c>
      <c r="AB204" s="90">
        <v>21.5</v>
      </c>
      <c r="AC204" s="90">
        <v>21.6</v>
      </c>
      <c r="AD204" s="90">
        <v>21.8</v>
      </c>
      <c r="AE204" s="90">
        <v>21.9</v>
      </c>
      <c r="AF204" s="90">
        <v>22</v>
      </c>
      <c r="AG204" s="90">
        <v>22.1</v>
      </c>
      <c r="AH204" s="90">
        <v>22.3</v>
      </c>
      <c r="AI204" s="90">
        <v>22.4</v>
      </c>
      <c r="AJ204" s="90">
        <v>22.5</v>
      </c>
      <c r="AK204" s="90">
        <v>22.6</v>
      </c>
      <c r="AL204" s="90">
        <v>22.7</v>
      </c>
      <c r="AM204" s="90">
        <v>22.9</v>
      </c>
      <c r="AN204" s="90">
        <v>23</v>
      </c>
      <c r="AO204" s="90">
        <v>23.1</v>
      </c>
      <c r="AP204" s="90">
        <v>23.2</v>
      </c>
      <c r="AQ204" s="90">
        <v>23.3</v>
      </c>
      <c r="AR204" s="90">
        <v>23.4</v>
      </c>
      <c r="AS204" s="90">
        <v>23.5</v>
      </c>
      <c r="AT204" s="90">
        <v>23.6</v>
      </c>
      <c r="AU204" s="90">
        <v>23.8</v>
      </c>
      <c r="AV204" s="90">
        <v>23.9</v>
      </c>
      <c r="AW204" s="90">
        <v>24</v>
      </c>
      <c r="AX204" s="90">
        <v>24.1</v>
      </c>
      <c r="AY204" s="90">
        <v>24.2</v>
      </c>
      <c r="AZ204" s="90">
        <v>24.3</v>
      </c>
      <c r="BA204" s="90">
        <v>24.4</v>
      </c>
      <c r="BB204" s="90">
        <v>24.5</v>
      </c>
      <c r="BC204" s="90">
        <v>24.6</v>
      </c>
      <c r="BD204" s="90">
        <v>24.7</v>
      </c>
      <c r="BE204" s="90">
        <v>24.8</v>
      </c>
      <c r="BF204" s="90">
        <v>24.9</v>
      </c>
      <c r="BG204" s="90">
        <v>25</v>
      </c>
      <c r="BH204" s="90">
        <v>25.1</v>
      </c>
      <c r="BI204" s="90">
        <v>25.2</v>
      </c>
      <c r="BJ204" s="90">
        <v>25.2</v>
      </c>
      <c r="BK204" s="90">
        <v>25.3</v>
      </c>
      <c r="BL204" s="90">
        <v>25.4</v>
      </c>
    </row>
    <row r="206" spans="1:64" x14ac:dyDescent="0.2">
      <c r="A206" s="76" t="s">
        <v>457</v>
      </c>
    </row>
    <row r="207" spans="1:64" x14ac:dyDescent="0.2">
      <c r="A207" s="29" t="s">
        <v>492</v>
      </c>
      <c r="C207" s="82">
        <f>SUM(C$25:C$100,C$125:C$200)/SUM(B$25:B$100,B$125:B$200)-1</f>
        <v>1.0994078244830563E-2</v>
      </c>
      <c r="D207" s="82">
        <f t="shared" ref="D207:BL207" si="5">SUM(D$25:D$100,D$125:D$200)/SUM(C$25:C$100,C$125:C$200)-1</f>
        <v>9.5062054396619633E-3</v>
      </c>
      <c r="E207" s="82">
        <f t="shared" si="5"/>
        <v>1.1054502651416165E-2</v>
      </c>
      <c r="F207" s="82">
        <f t="shared" si="5"/>
        <v>1.2083153262010482E-2</v>
      </c>
      <c r="G207" s="82">
        <f t="shared" si="5"/>
        <v>8.9265743508408768E-3</v>
      </c>
      <c r="H207" s="82">
        <f t="shared" si="5"/>
        <v>7.1719364516333872E-3</v>
      </c>
      <c r="I207" s="82">
        <f t="shared" si="5"/>
        <v>1.0045252231881241E-2</v>
      </c>
      <c r="J207" s="82">
        <f t="shared" si="5"/>
        <v>1.8478423914120246E-2</v>
      </c>
      <c r="K207" s="82">
        <f t="shared" si="5"/>
        <v>2.3008947924192835E-2</v>
      </c>
      <c r="L207" s="82">
        <f t="shared" si="5"/>
        <v>2.4487966534470607E-2</v>
      </c>
      <c r="M207" s="82">
        <f t="shared" si="5"/>
        <v>2.118227254046734E-2</v>
      </c>
      <c r="N207" s="82">
        <f t="shared" si="5"/>
        <v>1.8712481565336558E-2</v>
      </c>
      <c r="O207" s="82">
        <f t="shared" si="5"/>
        <v>1.6597383465315474E-2</v>
      </c>
      <c r="P207" s="82">
        <f t="shared" si="5"/>
        <v>1.4147714879545026E-2</v>
      </c>
      <c r="Q207" s="82">
        <f t="shared" si="5"/>
        <v>1.227917509258214E-2</v>
      </c>
      <c r="R207" s="82">
        <f t="shared" si="5"/>
        <v>1.0804131163715258E-2</v>
      </c>
      <c r="S207" s="82">
        <f t="shared" si="5"/>
        <v>1.1203270378862484E-2</v>
      </c>
      <c r="T207" s="82">
        <f t="shared" si="5"/>
        <v>1.0935790162806436E-2</v>
      </c>
      <c r="U207" s="82">
        <f t="shared" si="5"/>
        <v>1.096875288044985E-2</v>
      </c>
      <c r="V207" s="82">
        <f t="shared" si="5"/>
        <v>1.0459331575305209E-2</v>
      </c>
      <c r="W207" s="82">
        <f t="shared" si="5"/>
        <v>9.9577535826165242E-3</v>
      </c>
      <c r="X207" s="82">
        <f t="shared" si="5"/>
        <v>9.5732252078895019E-3</v>
      </c>
      <c r="Y207" s="82">
        <f t="shared" si="5"/>
        <v>8.9356014966792685E-3</v>
      </c>
      <c r="Z207" s="82">
        <f t="shared" si="5"/>
        <v>8.6225702636024693E-3</v>
      </c>
      <c r="AA207" s="82">
        <f t="shared" si="5"/>
        <v>8.3548689911054907E-3</v>
      </c>
      <c r="AB207" s="82">
        <f t="shared" si="5"/>
        <v>8.270164607233621E-3</v>
      </c>
      <c r="AC207" s="82">
        <f t="shared" si="5"/>
        <v>8.2922485788476941E-3</v>
      </c>
      <c r="AD207" s="82">
        <f t="shared" si="5"/>
        <v>8.2719048872319512E-3</v>
      </c>
      <c r="AE207" s="82">
        <f t="shared" si="5"/>
        <v>8.1630539831560878E-3</v>
      </c>
      <c r="AF207" s="82">
        <f t="shared" si="5"/>
        <v>8.0691408322919322E-3</v>
      </c>
      <c r="AG207" s="82">
        <f t="shared" si="5"/>
        <v>7.9281352219346957E-3</v>
      </c>
      <c r="AH207" s="82">
        <f t="shared" si="5"/>
        <v>7.7036150972322748E-3</v>
      </c>
      <c r="AI207" s="82">
        <f t="shared" si="5"/>
        <v>7.4796238244514424E-3</v>
      </c>
      <c r="AJ207" s="82">
        <f t="shared" si="5"/>
        <v>7.2602208351744135E-3</v>
      </c>
      <c r="AK207" s="82">
        <f t="shared" si="5"/>
        <v>6.9648811007065881E-3</v>
      </c>
      <c r="AL207" s="82">
        <f t="shared" si="5"/>
        <v>6.7244626872082769E-3</v>
      </c>
      <c r="AM207" s="82">
        <f t="shared" si="5"/>
        <v>6.4296727875525761E-3</v>
      </c>
      <c r="AN207" s="82">
        <f t="shared" si="5"/>
        <v>6.1483930611569981E-3</v>
      </c>
      <c r="AO207" s="82">
        <f t="shared" si="5"/>
        <v>5.8399871604541964E-3</v>
      </c>
      <c r="AP207" s="82">
        <f t="shared" si="5"/>
        <v>5.5787031958369759E-3</v>
      </c>
      <c r="AQ207" s="82">
        <f t="shared" si="5"/>
        <v>5.2621348439410021E-3</v>
      </c>
      <c r="AR207" s="82">
        <f t="shared" si="5"/>
        <v>5.0333352406470855E-3</v>
      </c>
      <c r="AS207" s="82">
        <f t="shared" si="5"/>
        <v>4.8294762963021487E-3</v>
      </c>
      <c r="AT207" s="82">
        <f t="shared" si="5"/>
        <v>4.595257818971854E-3</v>
      </c>
      <c r="AU207" s="82">
        <f t="shared" si="5"/>
        <v>4.3816999362096265E-3</v>
      </c>
      <c r="AV207" s="82">
        <f t="shared" si="5"/>
        <v>4.2754488930885071E-3</v>
      </c>
      <c r="AW207" s="82">
        <f t="shared" si="5"/>
        <v>4.11456776793373E-3</v>
      </c>
      <c r="AX207" s="82">
        <f t="shared" si="5"/>
        <v>4.0516226652764775E-3</v>
      </c>
      <c r="AY207" s="82">
        <f t="shared" si="5"/>
        <v>3.9645125447274054E-3</v>
      </c>
      <c r="AZ207" s="82">
        <f t="shared" si="5"/>
        <v>3.9374278519206385E-3</v>
      </c>
      <c r="BA207" s="82">
        <f t="shared" si="5"/>
        <v>3.9049084585478511E-3</v>
      </c>
      <c r="BB207" s="82">
        <f t="shared" si="5"/>
        <v>3.8594786868699771E-3</v>
      </c>
      <c r="BC207" s="82">
        <f t="shared" si="5"/>
        <v>3.8822960147157914E-3</v>
      </c>
      <c r="BD207" s="82">
        <f t="shared" si="5"/>
        <v>3.8691575814295831E-3</v>
      </c>
      <c r="BE207" s="82">
        <f t="shared" si="5"/>
        <v>3.8897420663834836E-3</v>
      </c>
      <c r="BF207" s="82">
        <f t="shared" si="5"/>
        <v>3.8746705971681727E-3</v>
      </c>
      <c r="BG207" s="82">
        <f t="shared" si="5"/>
        <v>3.9079155682606448E-3</v>
      </c>
      <c r="BH207" s="82">
        <f t="shared" si="5"/>
        <v>3.8760835121489645E-3</v>
      </c>
      <c r="BI207" s="82">
        <f t="shared" si="5"/>
        <v>3.953092664980451E-3</v>
      </c>
      <c r="BJ207" s="82">
        <f t="shared" si="5"/>
        <v>3.9356949946314224E-3</v>
      </c>
      <c r="BK207" s="82">
        <f t="shared" si="5"/>
        <v>3.9640678782746352E-3</v>
      </c>
      <c r="BL207" s="82">
        <f t="shared" si="5"/>
        <v>3.9738662846713346E-3</v>
      </c>
    </row>
    <row r="208" spans="1:64" x14ac:dyDescent="0.2">
      <c r="A208" s="29" t="s">
        <v>471</v>
      </c>
      <c r="C208" s="82">
        <f>SUM(C$28:C$29,C$128:C$129)/SUM(B$28:B$29,B$128:B$129)-1</f>
        <v>1.7572944297082227E-2</v>
      </c>
      <c r="D208" s="82">
        <f t="shared" ref="D208:BL208" si="6">SUM(D$28:D$29,D$128:D$129)/SUM(C$28:C$29,C$128:C$129)-1</f>
        <v>1.9224503095470746E-2</v>
      </c>
      <c r="E208" s="82">
        <f t="shared" si="6"/>
        <v>2.7493606138107474E-2</v>
      </c>
      <c r="F208" s="82">
        <f t="shared" si="6"/>
        <v>3.8892345986309973E-3</v>
      </c>
      <c r="G208" s="82">
        <f t="shared" si="6"/>
        <v>-1.3482101348210151E-2</v>
      </c>
      <c r="H208" s="82">
        <f t="shared" si="6"/>
        <v>-9.1109016650958718E-3</v>
      </c>
      <c r="I208" s="82">
        <f t="shared" si="6"/>
        <v>-7.9264426125558174E-4</v>
      </c>
      <c r="J208" s="82">
        <f t="shared" si="6"/>
        <v>1.7372679676344704E-2</v>
      </c>
      <c r="K208" s="82">
        <f t="shared" si="6"/>
        <v>1.3489278752436551E-2</v>
      </c>
      <c r="L208" s="82">
        <f t="shared" si="6"/>
        <v>8.0012309586090513E-3</v>
      </c>
      <c r="M208" s="82">
        <f t="shared" si="6"/>
        <v>-6.0296137994199084E-3</v>
      </c>
      <c r="N208" s="82">
        <f t="shared" si="6"/>
        <v>9.8287644935881602E-3</v>
      </c>
      <c r="O208" s="82">
        <f t="shared" si="6"/>
        <v>4.4103110029656278E-3</v>
      </c>
      <c r="P208" s="82">
        <f t="shared" si="6"/>
        <v>-3.1720796426678799E-2</v>
      </c>
      <c r="Q208" s="82">
        <f t="shared" si="6"/>
        <v>-2.3143080531665361E-2</v>
      </c>
      <c r="R208" s="82">
        <f t="shared" si="6"/>
        <v>4.8823435248919189E-3</v>
      </c>
      <c r="S208" s="82">
        <f t="shared" si="6"/>
        <v>5.177220230983659E-3</v>
      </c>
      <c r="T208" s="82">
        <f t="shared" si="6"/>
        <v>6.9730586370839731E-3</v>
      </c>
      <c r="U208" s="82">
        <f t="shared" si="6"/>
        <v>3.3128737802958774E-2</v>
      </c>
      <c r="V208" s="82">
        <f t="shared" si="6"/>
        <v>4.1815827557315943E-2</v>
      </c>
      <c r="W208" s="82">
        <f t="shared" si="6"/>
        <v>1.8643076473168652E-2</v>
      </c>
      <c r="X208" s="82">
        <f t="shared" si="6"/>
        <v>7.679609560037326E-3</v>
      </c>
      <c r="Y208" s="82">
        <f t="shared" si="6"/>
        <v>-4.985754985754598E-4</v>
      </c>
      <c r="Z208" s="82">
        <f t="shared" si="6"/>
        <v>-1.5107247203021479E-2</v>
      </c>
      <c r="AA208" s="82">
        <f t="shared" si="6"/>
        <v>-1.2010708342377496E-2</v>
      </c>
      <c r="AB208" s="82">
        <f t="shared" si="6"/>
        <v>-1.7429512998901497E-2</v>
      </c>
      <c r="AC208" s="82">
        <f t="shared" si="6"/>
        <v>-1.3341283446373975E-2</v>
      </c>
      <c r="AD208" s="82">
        <f t="shared" si="6"/>
        <v>-2.7949841365765282E-3</v>
      </c>
      <c r="AE208" s="82">
        <f t="shared" si="6"/>
        <v>5.3783804257252488E-3</v>
      </c>
      <c r="AF208" s="82">
        <f t="shared" si="6"/>
        <v>1.574743821579272E-2</v>
      </c>
      <c r="AG208" s="82">
        <f t="shared" si="6"/>
        <v>1.6690156516578902E-2</v>
      </c>
      <c r="AH208" s="82">
        <f t="shared" si="6"/>
        <v>1.4300306435137911E-2</v>
      </c>
      <c r="AI208" s="82">
        <f t="shared" si="6"/>
        <v>1.1652999568407374E-2</v>
      </c>
      <c r="AJ208" s="82">
        <f t="shared" si="6"/>
        <v>8.5324232081911422E-3</v>
      </c>
      <c r="AK208" s="82">
        <f t="shared" si="6"/>
        <v>5.3581500282007255E-3</v>
      </c>
      <c r="AL208" s="82">
        <f t="shared" si="6"/>
        <v>3.0154277699858678E-3</v>
      </c>
      <c r="AM208" s="82">
        <f t="shared" si="6"/>
        <v>1.1186464378103445E-3</v>
      </c>
      <c r="AN208" s="82">
        <f t="shared" si="6"/>
        <v>-8.3804734967529715E-4</v>
      </c>
      <c r="AO208" s="82">
        <f t="shared" si="6"/>
        <v>-2.3764590759768334E-3</v>
      </c>
      <c r="AP208" s="82">
        <f t="shared" si="6"/>
        <v>-3.9234919077979491E-3</v>
      </c>
      <c r="AQ208" s="82">
        <f t="shared" si="6"/>
        <v>-5.0643595695294419E-3</v>
      </c>
      <c r="AR208" s="82">
        <f t="shared" si="6"/>
        <v>-5.9384941675503233E-3</v>
      </c>
      <c r="AS208" s="82">
        <f t="shared" si="6"/>
        <v>-6.5429201337031673E-3</v>
      </c>
      <c r="AT208" s="82">
        <f t="shared" si="6"/>
        <v>-6.8007731405254068E-3</v>
      </c>
      <c r="AU208" s="82">
        <f t="shared" si="6"/>
        <v>-6.486954014703783E-3</v>
      </c>
      <c r="AV208" s="82">
        <f t="shared" si="6"/>
        <v>-5.8038305281485902E-3</v>
      </c>
      <c r="AW208" s="82">
        <f t="shared" si="6"/>
        <v>-4.8161120840630733E-3</v>
      </c>
      <c r="AX208" s="82">
        <f t="shared" si="6"/>
        <v>-3.3729285819035226E-3</v>
      </c>
      <c r="AY208" s="82">
        <f t="shared" si="6"/>
        <v>-1.9864626250736261E-3</v>
      </c>
      <c r="AZ208" s="82">
        <f t="shared" si="6"/>
        <v>-5.1603391079990679E-4</v>
      </c>
      <c r="BA208" s="82">
        <f t="shared" si="6"/>
        <v>8.1132910458769913E-4</v>
      </c>
      <c r="BB208" s="82">
        <f t="shared" si="6"/>
        <v>1.8424349620458358E-3</v>
      </c>
      <c r="BC208" s="82">
        <f t="shared" si="6"/>
        <v>2.2804178313962087E-3</v>
      </c>
      <c r="BD208" s="82">
        <f t="shared" si="6"/>
        <v>2.9357798165137172E-3</v>
      </c>
      <c r="BE208" s="82">
        <f t="shared" si="6"/>
        <v>2.9271862422246553E-3</v>
      </c>
      <c r="BF208" s="82">
        <f t="shared" si="6"/>
        <v>2.9916089018606762E-3</v>
      </c>
      <c r="BG208" s="82">
        <f t="shared" si="6"/>
        <v>2.7644405645279591E-3</v>
      </c>
      <c r="BH208" s="82">
        <f t="shared" si="6"/>
        <v>2.6842716192687632E-3</v>
      </c>
      <c r="BI208" s="82">
        <f t="shared" si="6"/>
        <v>2.532378264959112E-3</v>
      </c>
      <c r="BJ208" s="82">
        <f t="shared" si="6"/>
        <v>2.3094688221709792E-3</v>
      </c>
      <c r="BK208" s="82">
        <f t="shared" si="6"/>
        <v>2.3041474654377225E-3</v>
      </c>
      <c r="BL208" s="82">
        <f t="shared" si="6"/>
        <v>2.3706896551725087E-3</v>
      </c>
    </row>
    <row r="209" spans="1:64" x14ac:dyDescent="0.2">
      <c r="A209" s="29" t="s">
        <v>472</v>
      </c>
      <c r="C209" s="82">
        <f>SUM(C$28:C$29)/SUM(B$28:B$29)-1</f>
        <v>2.3122362869198332E-2</v>
      </c>
      <c r="D209" s="82">
        <f t="shared" ref="D209:BL209" si="7">SUM(D$28:D$29)/SUM(C$28:C$29)-1</f>
        <v>2.5734081161332911E-2</v>
      </c>
      <c r="E209" s="82">
        <f t="shared" si="7"/>
        <v>2.8948214860083699E-2</v>
      </c>
      <c r="F209" s="82">
        <f t="shared" si="7"/>
        <v>-1.5629884338855815E-3</v>
      </c>
      <c r="G209" s="82">
        <f t="shared" si="7"/>
        <v>-1.8159048215403928E-2</v>
      </c>
      <c r="H209" s="82">
        <f t="shared" si="7"/>
        <v>-1.2595663265306145E-2</v>
      </c>
      <c r="I209" s="82">
        <f t="shared" si="7"/>
        <v>-5.1671241724527972E-3</v>
      </c>
      <c r="J209" s="82">
        <f t="shared" si="7"/>
        <v>5.5185846453498222E-3</v>
      </c>
      <c r="K209" s="82">
        <f t="shared" si="7"/>
        <v>1.178369652945932E-2</v>
      </c>
      <c r="L209" s="82">
        <f t="shared" si="7"/>
        <v>1.2922782386726173E-2</v>
      </c>
      <c r="M209" s="82">
        <f t="shared" si="7"/>
        <v>-1.228539927547645E-2</v>
      </c>
      <c r="N209" s="82">
        <f t="shared" si="7"/>
        <v>1.020570881837024E-2</v>
      </c>
      <c r="O209" s="82">
        <f t="shared" si="7"/>
        <v>9.944751381215422E-3</v>
      </c>
      <c r="P209" s="82">
        <f t="shared" si="7"/>
        <v>-2.6727102219443521E-2</v>
      </c>
      <c r="Q209" s="82">
        <f t="shared" si="7"/>
        <v>-2.4731010117231444E-2</v>
      </c>
      <c r="R209" s="82">
        <f t="shared" si="7"/>
        <v>1.9759591635106766E-3</v>
      </c>
      <c r="S209" s="82">
        <f t="shared" si="7"/>
        <v>5.9161873459325776E-3</v>
      </c>
      <c r="T209" s="82">
        <f t="shared" si="7"/>
        <v>8.9854598921745854E-3</v>
      </c>
      <c r="U209" s="82">
        <f t="shared" si="7"/>
        <v>3.1897668393782386E-2</v>
      </c>
      <c r="V209" s="82">
        <f t="shared" si="7"/>
        <v>3.9071081123489781E-2</v>
      </c>
      <c r="W209" s="82">
        <f t="shared" si="7"/>
        <v>1.2836001208094139E-2</v>
      </c>
      <c r="X209" s="82">
        <f t="shared" si="7"/>
        <v>7.6039958252571704E-3</v>
      </c>
      <c r="Y209" s="82">
        <f t="shared" si="7"/>
        <v>6.06688369340036E-3</v>
      </c>
      <c r="Z209" s="82">
        <f t="shared" si="7"/>
        <v>-1.4119723488748348E-2</v>
      </c>
      <c r="AA209" s="82">
        <f t="shared" si="7"/>
        <v>-1.3128449947784615E-2</v>
      </c>
      <c r="AB209" s="82">
        <f t="shared" si="7"/>
        <v>-2.0559334845049126E-2</v>
      </c>
      <c r="AC209" s="82">
        <f t="shared" si="7"/>
        <v>-1.5434480629726854E-2</v>
      </c>
      <c r="AD209" s="82">
        <f t="shared" si="7"/>
        <v>-1.5676438313215746E-3</v>
      </c>
      <c r="AE209" s="82">
        <f t="shared" si="7"/>
        <v>7.2224839064216617E-3</v>
      </c>
      <c r="AF209" s="82">
        <f t="shared" si="7"/>
        <v>1.6056118472330461E-2</v>
      </c>
      <c r="AG209" s="82">
        <f t="shared" si="7"/>
        <v>1.6569499846578628E-2</v>
      </c>
      <c r="AH209" s="82">
        <f t="shared" si="7"/>
        <v>1.4186537881074601E-2</v>
      </c>
      <c r="AI209" s="82">
        <f t="shared" si="7"/>
        <v>1.1607142857142927E-2</v>
      </c>
      <c r="AJ209" s="82">
        <f t="shared" si="7"/>
        <v>8.5319211532803862E-3</v>
      </c>
      <c r="AK209" s="82">
        <f t="shared" si="7"/>
        <v>5.2508751458575365E-3</v>
      </c>
      <c r="AL209" s="82">
        <f t="shared" si="7"/>
        <v>3.0470110272780015E-3</v>
      </c>
      <c r="AM209" s="82">
        <f t="shared" si="7"/>
        <v>1.1572399826413893E-3</v>
      </c>
      <c r="AN209" s="82">
        <f t="shared" si="7"/>
        <v>-8.6692674469002196E-4</v>
      </c>
      <c r="AO209" s="82">
        <f t="shared" si="7"/>
        <v>-2.4584237165582445E-3</v>
      </c>
      <c r="AP209" s="82">
        <f t="shared" si="7"/>
        <v>-3.9141780226152889E-3</v>
      </c>
      <c r="AQ209" s="82">
        <f t="shared" si="7"/>
        <v>-5.2394120215397688E-3</v>
      </c>
      <c r="AR209" s="82">
        <f t="shared" si="7"/>
        <v>-5.8522311631309387E-3</v>
      </c>
      <c r="AS209" s="82">
        <f t="shared" si="7"/>
        <v>-6.769683590875597E-3</v>
      </c>
      <c r="AT209" s="82">
        <f t="shared" si="7"/>
        <v>-6.8158245666024575E-3</v>
      </c>
      <c r="AU209" s="82">
        <f t="shared" si="7"/>
        <v>-6.5642249738923075E-3</v>
      </c>
      <c r="AV209" s="82">
        <f t="shared" si="7"/>
        <v>-5.8567352455323185E-3</v>
      </c>
      <c r="AW209" s="82">
        <f t="shared" si="7"/>
        <v>-4.8338368580060909E-3</v>
      </c>
      <c r="AX209" s="82">
        <f t="shared" si="7"/>
        <v>-3.4911961141469439E-3</v>
      </c>
      <c r="AY209" s="82">
        <f t="shared" si="7"/>
        <v>-1.980198019801982E-3</v>
      </c>
      <c r="AZ209" s="82">
        <f t="shared" si="7"/>
        <v>-4.5787545787545625E-4</v>
      </c>
      <c r="BA209" s="82">
        <f t="shared" si="7"/>
        <v>7.6347533974652215E-4</v>
      </c>
      <c r="BB209" s="82">
        <f t="shared" si="7"/>
        <v>1.8309429356118123E-3</v>
      </c>
      <c r="BC209" s="82">
        <f t="shared" si="7"/>
        <v>2.2844958879073562E-3</v>
      </c>
      <c r="BD209" s="82">
        <f t="shared" si="7"/>
        <v>2.8870992250418226E-3</v>
      </c>
      <c r="BE209" s="82">
        <f t="shared" si="7"/>
        <v>3.0303030303029388E-3</v>
      </c>
      <c r="BF209" s="82">
        <f t="shared" si="7"/>
        <v>3.0211480362538623E-3</v>
      </c>
      <c r="BG209" s="82">
        <f t="shared" si="7"/>
        <v>2.7108433734939208E-3</v>
      </c>
      <c r="BH209" s="82">
        <f t="shared" si="7"/>
        <v>2.7035145689395801E-3</v>
      </c>
      <c r="BI209" s="82">
        <f t="shared" si="7"/>
        <v>2.5464349910124806E-3</v>
      </c>
      <c r="BJ209" s="82">
        <f t="shared" si="7"/>
        <v>2.2411474675032572E-3</v>
      </c>
      <c r="BK209" s="82">
        <f t="shared" si="7"/>
        <v>2.3852116875373586E-3</v>
      </c>
      <c r="BL209" s="82">
        <f t="shared" si="7"/>
        <v>2.3795359904819069E-3</v>
      </c>
    </row>
    <row r="210" spans="1:64" x14ac:dyDescent="0.2">
      <c r="A210" s="29" t="s">
        <v>473</v>
      </c>
      <c r="C210" s="82">
        <f>SUM(C$30:C$39,C$130:C$139)/SUM(B$30:B$39,B$130:B$139)-1</f>
        <v>3.7528554334820274E-3</v>
      </c>
      <c r="D210" s="82">
        <f t="shared" ref="D210:BL210" si="8">SUM(D$30:D$39,D$130:D$139)/SUM(C$30:C$39,C$130:C$139)-1</f>
        <v>6.6287365664228215E-3</v>
      </c>
      <c r="E210" s="82">
        <f t="shared" si="8"/>
        <v>1.2990741405296768E-2</v>
      </c>
      <c r="F210" s="82">
        <f t="shared" si="8"/>
        <v>1.8155731897406824E-2</v>
      </c>
      <c r="G210" s="82">
        <f t="shared" si="8"/>
        <v>1.2665054539760856E-2</v>
      </c>
      <c r="H210" s="82">
        <f t="shared" si="8"/>
        <v>5.2740985071038082E-3</v>
      </c>
      <c r="I210" s="82">
        <f t="shared" si="8"/>
        <v>1.2389773737097487E-2</v>
      </c>
      <c r="J210" s="82">
        <f t="shared" si="8"/>
        <v>4.1339612768184208E-2</v>
      </c>
      <c r="K210" s="82">
        <f t="shared" si="8"/>
        <v>5.5243961744204872E-2</v>
      </c>
      <c r="L210" s="82">
        <f t="shared" si="8"/>
        <v>5.540876831853514E-2</v>
      </c>
      <c r="M210" s="82">
        <f t="shared" si="8"/>
        <v>4.0753948038716237E-2</v>
      </c>
      <c r="N210" s="82">
        <f t="shared" si="8"/>
        <v>2.6124047269421746E-2</v>
      </c>
      <c r="O210" s="82">
        <f t="shared" si="8"/>
        <v>1.324737982636659E-2</v>
      </c>
      <c r="P210" s="82">
        <f t="shared" si="8"/>
        <v>2.8784719887013921E-3</v>
      </c>
      <c r="Q210" s="82">
        <f t="shared" si="8"/>
        <v>-1.0381040518247286E-2</v>
      </c>
      <c r="R210" s="82">
        <f t="shared" si="8"/>
        <v>-2.0112488988276778E-2</v>
      </c>
      <c r="S210" s="82">
        <f t="shared" si="8"/>
        <v>-2.1203026237534783E-2</v>
      </c>
      <c r="T210" s="82">
        <f t="shared" si="8"/>
        <v>-1.7762265430703139E-2</v>
      </c>
      <c r="U210" s="82">
        <f t="shared" si="8"/>
        <v>-1.8184172289277933E-2</v>
      </c>
      <c r="V210" s="82">
        <f t="shared" si="8"/>
        <v>-1.4931059240699263E-2</v>
      </c>
      <c r="W210" s="82">
        <f t="shared" si="8"/>
        <v>-7.511751056107574E-3</v>
      </c>
      <c r="X210" s="82">
        <f t="shared" si="8"/>
        <v>-8.9924014208042635E-5</v>
      </c>
      <c r="Y210" s="82">
        <f t="shared" si="8"/>
        <v>3.5523179999099597E-3</v>
      </c>
      <c r="Z210" s="82">
        <f t="shared" si="8"/>
        <v>4.0624906652328985E-3</v>
      </c>
      <c r="AA210" s="82">
        <f t="shared" si="8"/>
        <v>5.5781989111356456E-3</v>
      </c>
      <c r="AB210" s="82">
        <f t="shared" si="8"/>
        <v>8.9051937101523038E-3</v>
      </c>
      <c r="AC210" s="82">
        <f t="shared" si="8"/>
        <v>8.2254446285354721E-3</v>
      </c>
      <c r="AD210" s="82">
        <f t="shared" si="8"/>
        <v>4.3627479495085275E-3</v>
      </c>
      <c r="AE210" s="82">
        <f t="shared" si="8"/>
        <v>4.6333835283216551E-3</v>
      </c>
      <c r="AF210" s="82">
        <f t="shared" si="8"/>
        <v>2.5942580422000372E-3</v>
      </c>
      <c r="AG210" s="82">
        <f t="shared" si="8"/>
        <v>-4.3125754700712449E-4</v>
      </c>
      <c r="AH210" s="82">
        <f t="shared" si="8"/>
        <v>-2.3441769494060294E-3</v>
      </c>
      <c r="AI210" s="82">
        <f t="shared" si="8"/>
        <v>-8.0725375156764922E-4</v>
      </c>
      <c r="AJ210" s="82">
        <f t="shared" si="8"/>
        <v>-1.0531630960110006E-3</v>
      </c>
      <c r="AK210" s="82">
        <f t="shared" si="8"/>
        <v>1.6608416856820352E-3</v>
      </c>
      <c r="AL210" s="82">
        <f t="shared" si="8"/>
        <v>3.6333751459838304E-3</v>
      </c>
      <c r="AM210" s="82">
        <f t="shared" si="8"/>
        <v>5.1430131161200876E-3</v>
      </c>
      <c r="AN210" s="82">
        <f t="shared" si="8"/>
        <v>7.6464619034688486E-3</v>
      </c>
      <c r="AO210" s="82">
        <f t="shared" si="8"/>
        <v>7.7870131343791282E-3</v>
      </c>
      <c r="AP210" s="82">
        <f t="shared" si="8"/>
        <v>7.8394392760130494E-3</v>
      </c>
      <c r="AQ210" s="82">
        <f t="shared" si="8"/>
        <v>6.2283543738130831E-3</v>
      </c>
      <c r="AR210" s="82">
        <f t="shared" si="8"/>
        <v>4.0941516085157836E-3</v>
      </c>
      <c r="AS210" s="82">
        <f t="shared" si="8"/>
        <v>2.0594617755600453E-3</v>
      </c>
      <c r="AT210" s="82">
        <f t="shared" si="8"/>
        <v>1.9310877541456328E-4</v>
      </c>
      <c r="AU210" s="82">
        <f t="shared" si="8"/>
        <v>-1.4618270079435058E-3</v>
      </c>
      <c r="AV210" s="82">
        <f t="shared" si="8"/>
        <v>-2.7345800071817417E-3</v>
      </c>
      <c r="AW210" s="82">
        <f t="shared" si="8"/>
        <v>-3.7668956348326788E-3</v>
      </c>
      <c r="AX210" s="82">
        <f t="shared" si="8"/>
        <v>-4.4762010676157038E-3</v>
      </c>
      <c r="AY210" s="82">
        <f t="shared" si="8"/>
        <v>-4.8873125366548642E-3</v>
      </c>
      <c r="AZ210" s="82">
        <f t="shared" si="8"/>
        <v>-5.0656713066906667E-3</v>
      </c>
      <c r="BA210" s="82">
        <f t="shared" si="8"/>
        <v>-4.823491248607259E-3</v>
      </c>
      <c r="BB210" s="82">
        <f t="shared" si="8"/>
        <v>-4.4075339068323505E-3</v>
      </c>
      <c r="BC210" s="82">
        <f t="shared" si="8"/>
        <v>-3.7295373665480192E-3</v>
      </c>
      <c r="BD210" s="82">
        <f t="shared" si="8"/>
        <v>-2.8576327370406496E-3</v>
      </c>
      <c r="BE210" s="82">
        <f t="shared" si="8"/>
        <v>-1.9487590989855086E-3</v>
      </c>
      <c r="BF210" s="82">
        <f t="shared" si="8"/>
        <v>-1.019353356687569E-3</v>
      </c>
      <c r="BG210" s="82">
        <f t="shared" si="8"/>
        <v>-8.6230436469714178E-5</v>
      </c>
      <c r="BH210" s="82">
        <f t="shared" si="8"/>
        <v>7.4739489759245714E-4</v>
      </c>
      <c r="BI210" s="82">
        <f t="shared" si="8"/>
        <v>1.4074999640942831E-3</v>
      </c>
      <c r="BJ210" s="82">
        <f t="shared" si="8"/>
        <v>1.9361778415203368E-3</v>
      </c>
      <c r="BK210" s="82">
        <f t="shared" si="8"/>
        <v>2.3046092184368927E-3</v>
      </c>
      <c r="BL210" s="82">
        <f t="shared" si="8"/>
        <v>2.456405935362227E-3</v>
      </c>
    </row>
    <row r="211" spans="1:64" x14ac:dyDescent="0.2">
      <c r="A211" s="29" t="s">
        <v>474</v>
      </c>
      <c r="C211" s="82">
        <f>SUM(C$30:C$39)/SUM(B$30:B$39)-1</f>
        <v>3.8358128696898142E-3</v>
      </c>
      <c r="D211" s="82">
        <f t="shared" ref="D211:BL211" si="9">SUM(D$30:D$39)/SUM(C$30:C$39)-1</f>
        <v>6.3209770730661141E-3</v>
      </c>
      <c r="E211" s="82">
        <f t="shared" si="9"/>
        <v>1.0433301394655592E-2</v>
      </c>
      <c r="F211" s="82">
        <f t="shared" si="9"/>
        <v>1.8052189793839712E-2</v>
      </c>
      <c r="G211" s="82">
        <f t="shared" si="9"/>
        <v>1.2626349742988152E-2</v>
      </c>
      <c r="H211" s="82">
        <f t="shared" si="9"/>
        <v>4.5310530439819363E-3</v>
      </c>
      <c r="I211" s="82">
        <f t="shared" si="9"/>
        <v>1.0276063216441811E-2</v>
      </c>
      <c r="J211" s="82">
        <f t="shared" si="9"/>
        <v>3.1219577696465217E-2</v>
      </c>
      <c r="K211" s="82">
        <f t="shared" si="9"/>
        <v>4.1570363618607331E-2</v>
      </c>
      <c r="L211" s="82">
        <f t="shared" si="9"/>
        <v>4.716214526815854E-2</v>
      </c>
      <c r="M211" s="82">
        <f t="shared" si="9"/>
        <v>3.2860767049694095E-2</v>
      </c>
      <c r="N211" s="82">
        <f t="shared" si="9"/>
        <v>1.8089348667861049E-2</v>
      </c>
      <c r="O211" s="82">
        <f t="shared" si="9"/>
        <v>7.4931880108992654E-3</v>
      </c>
      <c r="P211" s="82">
        <f t="shared" si="9"/>
        <v>-1.4931259860265778E-3</v>
      </c>
      <c r="Q211" s="82">
        <f t="shared" si="9"/>
        <v>-1.29785853341986E-2</v>
      </c>
      <c r="R211" s="82">
        <f t="shared" si="9"/>
        <v>-2.0752937140896988E-2</v>
      </c>
      <c r="S211" s="82">
        <f t="shared" si="9"/>
        <v>-2.1630615640598982E-2</v>
      </c>
      <c r="T211" s="82">
        <f t="shared" si="9"/>
        <v>-1.7215658193101779E-2</v>
      </c>
      <c r="U211" s="82">
        <f t="shared" si="9"/>
        <v>-1.6697531801208254E-2</v>
      </c>
      <c r="V211" s="82">
        <f t="shared" si="9"/>
        <v>-1.1763252956250581E-2</v>
      </c>
      <c r="W211" s="82">
        <f t="shared" si="9"/>
        <v>-6.4671332166957862E-3</v>
      </c>
      <c r="X211" s="82">
        <f t="shared" si="9"/>
        <v>1.3836042891732792E-3</v>
      </c>
      <c r="Y211" s="82">
        <f t="shared" si="9"/>
        <v>3.9252629926205262E-3</v>
      </c>
      <c r="Z211" s="82">
        <f t="shared" si="9"/>
        <v>4.7544573037221483E-3</v>
      </c>
      <c r="AA211" s="82">
        <f t="shared" si="9"/>
        <v>5.6036361372269194E-3</v>
      </c>
      <c r="AB211" s="82">
        <f t="shared" si="9"/>
        <v>8.5134047427404269E-3</v>
      </c>
      <c r="AC211" s="82">
        <f t="shared" si="9"/>
        <v>8.2266629830862747E-3</v>
      </c>
      <c r="AD211" s="82">
        <f t="shared" si="9"/>
        <v>3.7753082660982873E-3</v>
      </c>
      <c r="AE211" s="82">
        <f t="shared" si="9"/>
        <v>4.0340926324728965E-3</v>
      </c>
      <c r="AF211" s="82">
        <f t="shared" si="9"/>
        <v>1.9636275753731613E-3</v>
      </c>
      <c r="AG211" s="82">
        <f t="shared" si="9"/>
        <v>-6.3315946573405668E-4</v>
      </c>
      <c r="AH211" s="82">
        <f t="shared" si="9"/>
        <v>-2.4739033367525698E-3</v>
      </c>
      <c r="AI211" s="82">
        <f t="shared" si="9"/>
        <v>1.2097749818540393E-4</v>
      </c>
      <c r="AJ211" s="82">
        <f t="shared" si="9"/>
        <v>-1.1491472118059232E-3</v>
      </c>
      <c r="AK211" s="82">
        <f t="shared" si="9"/>
        <v>1.271571298819163E-3</v>
      </c>
      <c r="AL211" s="82">
        <f t="shared" si="9"/>
        <v>3.3260764392839537E-3</v>
      </c>
      <c r="AM211" s="82">
        <f t="shared" si="9"/>
        <v>5.0629859562414392E-3</v>
      </c>
      <c r="AN211" s="82">
        <f t="shared" si="9"/>
        <v>8.0959520239880511E-3</v>
      </c>
      <c r="AO211" s="82">
        <f t="shared" si="9"/>
        <v>8.1796549672814578E-3</v>
      </c>
      <c r="AP211" s="82">
        <f t="shared" si="9"/>
        <v>7.9067709101636741E-3</v>
      </c>
      <c r="AQ211" s="82">
        <f t="shared" si="9"/>
        <v>6.2933583116235869E-3</v>
      </c>
      <c r="AR211" s="82">
        <f t="shared" si="9"/>
        <v>4.1014602361975072E-3</v>
      </c>
      <c r="AS211" s="82">
        <f t="shared" si="9"/>
        <v>2.0278687099857251E-3</v>
      </c>
      <c r="AT211" s="82">
        <f t="shared" si="9"/>
        <v>1.4455462719364931E-4</v>
      </c>
      <c r="AU211" s="82">
        <f t="shared" si="9"/>
        <v>-1.5609643290743769E-3</v>
      </c>
      <c r="AV211" s="82">
        <f t="shared" si="9"/>
        <v>-2.8083381586566647E-3</v>
      </c>
      <c r="AW211" s="82">
        <f t="shared" si="9"/>
        <v>-3.8904857300466889E-3</v>
      </c>
      <c r="AX211" s="82">
        <f t="shared" si="9"/>
        <v>-4.5760587600921498E-3</v>
      </c>
      <c r="AY211" s="82">
        <f t="shared" si="9"/>
        <v>-5.0070274068868548E-3</v>
      </c>
      <c r="AZ211" s="82">
        <f t="shared" si="9"/>
        <v>-5.2087931491127115E-3</v>
      </c>
      <c r="BA211" s="82">
        <f t="shared" si="9"/>
        <v>-4.9698260560880891E-3</v>
      </c>
      <c r="BB211" s="82">
        <f t="shared" si="9"/>
        <v>-4.4892377214889034E-3</v>
      </c>
      <c r="BC211" s="82">
        <f t="shared" si="9"/>
        <v>-3.8823353740480293E-3</v>
      </c>
      <c r="BD211" s="82">
        <f t="shared" si="9"/>
        <v>-2.938090241343172E-3</v>
      </c>
      <c r="BE211" s="82">
        <f t="shared" si="9"/>
        <v>-2.0446823225185318E-3</v>
      </c>
      <c r="BF211" s="82">
        <f t="shared" si="9"/>
        <v>-1.0846967368706162E-3</v>
      </c>
      <c r="BG211" s="82">
        <f t="shared" si="9"/>
        <v>-9.0489548457139968E-5</v>
      </c>
      <c r="BH211" s="82">
        <f t="shared" si="9"/>
        <v>7.2398190045253052E-4</v>
      </c>
      <c r="BI211" s="82">
        <f t="shared" si="9"/>
        <v>1.416772170977243E-3</v>
      </c>
      <c r="BJ211" s="82">
        <f t="shared" si="9"/>
        <v>1.9565937208392281E-3</v>
      </c>
      <c r="BK211" s="82">
        <f t="shared" si="9"/>
        <v>2.3132848645075477E-3</v>
      </c>
      <c r="BL211" s="82">
        <f t="shared" si="9"/>
        <v>2.5177591943170707E-3</v>
      </c>
    </row>
    <row r="212" spans="1:64" x14ac:dyDescent="0.2">
      <c r="A212" s="29" t="s">
        <v>475</v>
      </c>
      <c r="C212" s="82">
        <f>SUM(C$30:C$49,C$130:C$149)/SUM(B$30:B$49,B$130:B$149)-1</f>
        <v>-2.3214363343911915E-3</v>
      </c>
      <c r="D212" s="82">
        <f t="shared" ref="D212:BL212" si="10">SUM(D$30:D$49,D$130:D$149)/SUM(C$30:C$49,C$130:C$149)-1</f>
        <v>-3.5556175271028723E-3</v>
      </c>
      <c r="E212" s="82">
        <f t="shared" si="10"/>
        <v>5.0725905195037058E-4</v>
      </c>
      <c r="F212" s="82">
        <f t="shared" si="10"/>
        <v>3.1032011049143549E-3</v>
      </c>
      <c r="G212" s="82">
        <f t="shared" si="10"/>
        <v>-2.579453260481257E-3</v>
      </c>
      <c r="H212" s="82">
        <f t="shared" si="10"/>
        <v>-6.0634124605747353E-3</v>
      </c>
      <c r="I212" s="82">
        <f t="shared" si="10"/>
        <v>1.9514253316104124E-3</v>
      </c>
      <c r="J212" s="82">
        <f t="shared" si="10"/>
        <v>2.4283897003991806E-2</v>
      </c>
      <c r="K212" s="82">
        <f t="shared" si="10"/>
        <v>3.7883394859232755E-2</v>
      </c>
      <c r="L212" s="82">
        <f t="shared" si="10"/>
        <v>4.3969102792632109E-2</v>
      </c>
      <c r="M212" s="82">
        <f t="shared" si="10"/>
        <v>3.710554606968941E-2</v>
      </c>
      <c r="N212" s="82">
        <f t="shared" si="10"/>
        <v>3.1502004603728651E-2</v>
      </c>
      <c r="O212" s="82">
        <f t="shared" si="10"/>
        <v>2.4000413800237874E-2</v>
      </c>
      <c r="P212" s="82">
        <f t="shared" si="10"/>
        <v>1.9800979946456465E-2</v>
      </c>
      <c r="Q212" s="82">
        <f t="shared" si="10"/>
        <v>1.3232099516709894E-2</v>
      </c>
      <c r="R212" s="82">
        <f t="shared" si="10"/>
        <v>5.9220771965109442E-3</v>
      </c>
      <c r="S212" s="82">
        <f t="shared" si="10"/>
        <v>4.3945820981525774E-3</v>
      </c>
      <c r="T212" s="82">
        <f t="shared" si="10"/>
        <v>4.2302003124266019E-3</v>
      </c>
      <c r="U212" s="82">
        <f t="shared" si="10"/>
        <v>2.911498699117665E-3</v>
      </c>
      <c r="V212" s="82">
        <f t="shared" si="10"/>
        <v>2.47067785792221E-3</v>
      </c>
      <c r="W212" s="82">
        <f t="shared" si="10"/>
        <v>2.6973553594533684E-3</v>
      </c>
      <c r="X212" s="82">
        <f t="shared" si="10"/>
        <v>1.9322286174665582E-3</v>
      </c>
      <c r="Y212" s="82">
        <f t="shared" si="10"/>
        <v>-1.1584642852280336E-4</v>
      </c>
      <c r="Z212" s="82">
        <f t="shared" si="10"/>
        <v>-2.3376428654185988E-3</v>
      </c>
      <c r="AA212" s="82">
        <f t="shared" si="10"/>
        <v>-5.5469785361987878E-3</v>
      </c>
      <c r="AB212" s="82">
        <f t="shared" si="10"/>
        <v>-5.9626032121120609E-3</v>
      </c>
      <c r="AC212" s="82">
        <f t="shared" si="10"/>
        <v>-6.6203198208781844E-3</v>
      </c>
      <c r="AD212" s="82">
        <f t="shared" si="10"/>
        <v>-6.594874363469394E-3</v>
      </c>
      <c r="AE212" s="82">
        <f t="shared" si="10"/>
        <v>-6.5056022408963576E-3</v>
      </c>
      <c r="AF212" s="82">
        <f t="shared" si="10"/>
        <v>-5.8362878953415187E-3</v>
      </c>
      <c r="AG212" s="82">
        <f t="shared" si="10"/>
        <v>-3.7364491679842127E-3</v>
      </c>
      <c r="AH212" s="82">
        <f t="shared" si="10"/>
        <v>-1.1671268752312391E-3</v>
      </c>
      <c r="AI212" s="82">
        <f t="shared" si="10"/>
        <v>1.310989512083971E-3</v>
      </c>
      <c r="AJ212" s="82">
        <f t="shared" si="10"/>
        <v>1.4587009734161605E-3</v>
      </c>
      <c r="AK212" s="82">
        <f t="shared" si="10"/>
        <v>3.5242040343610448E-3</v>
      </c>
      <c r="AL212" s="82">
        <f t="shared" si="10"/>
        <v>6.074895388602064E-3</v>
      </c>
      <c r="AM212" s="82">
        <f t="shared" si="10"/>
        <v>6.4604665892535884E-3</v>
      </c>
      <c r="AN212" s="82">
        <f t="shared" si="10"/>
        <v>5.9015613965163194E-3</v>
      </c>
      <c r="AO212" s="82">
        <f t="shared" si="10"/>
        <v>6.0615750363208765E-3</v>
      </c>
      <c r="AP212" s="82">
        <f t="shared" si="10"/>
        <v>5.0784569782145184E-3</v>
      </c>
      <c r="AQ212" s="82">
        <f t="shared" si="10"/>
        <v>2.8941868778529223E-3</v>
      </c>
      <c r="AR212" s="82">
        <f t="shared" si="10"/>
        <v>9.5280529183949803E-4</v>
      </c>
      <c r="AS212" s="82">
        <f t="shared" si="10"/>
        <v>6.7112255519630182E-4</v>
      </c>
      <c r="AT212" s="82">
        <f t="shared" si="10"/>
        <v>-3.6955420812745388E-4</v>
      </c>
      <c r="AU212" s="82">
        <f t="shared" si="10"/>
        <v>8.2153517539707011E-5</v>
      </c>
      <c r="AV212" s="82">
        <f t="shared" si="10"/>
        <v>4.2442497261774292E-4</v>
      </c>
      <c r="AW212" s="82">
        <f t="shared" si="10"/>
        <v>5.7478342981487351E-4</v>
      </c>
      <c r="AX212" s="82">
        <f t="shared" si="10"/>
        <v>1.4840042126571529E-3</v>
      </c>
      <c r="AY212" s="82">
        <f t="shared" si="10"/>
        <v>1.3930334669460809E-3</v>
      </c>
      <c r="AZ212" s="82">
        <f t="shared" si="10"/>
        <v>1.3774574317919619E-3</v>
      </c>
      <c r="BA212" s="82">
        <f t="shared" si="10"/>
        <v>7.2182990691116444E-4</v>
      </c>
      <c r="BB212" s="82">
        <f t="shared" si="10"/>
        <v>-1.1568167125985962E-4</v>
      </c>
      <c r="BC212" s="82">
        <f t="shared" si="10"/>
        <v>-7.4861506213508289E-4</v>
      </c>
      <c r="BD212" s="82">
        <f t="shared" si="10"/>
        <v>-1.2259242106410495E-3</v>
      </c>
      <c r="BE212" s="82">
        <f t="shared" si="10"/>
        <v>-1.6229338279417638E-3</v>
      </c>
      <c r="BF212" s="82">
        <f t="shared" si="10"/>
        <v>-1.8168157912711314E-3</v>
      </c>
      <c r="BG212" s="82">
        <f t="shared" si="10"/>
        <v>-1.8748631486752432E-3</v>
      </c>
      <c r="BH212" s="82">
        <f t="shared" si="10"/>
        <v>-1.8372523479810443E-3</v>
      </c>
      <c r="BI212" s="82">
        <f t="shared" si="10"/>
        <v>-1.689537231631455E-3</v>
      </c>
      <c r="BJ212" s="82">
        <f t="shared" si="10"/>
        <v>-1.513525413467609E-3</v>
      </c>
      <c r="BK212" s="82">
        <f t="shared" si="10"/>
        <v>-1.2333259839047983E-3</v>
      </c>
      <c r="BL212" s="82">
        <f t="shared" si="10"/>
        <v>-9.244120670267586E-4</v>
      </c>
    </row>
    <row r="213" spans="1:64" x14ac:dyDescent="0.2">
      <c r="A213" s="29" t="s">
        <v>476</v>
      </c>
      <c r="C213" s="82">
        <f>SUM(C$40:C$54,C$140:C$154)/SUM(B$40:B$54,B$140:B$154)-1</f>
        <v>-8.9679282565739982E-3</v>
      </c>
      <c r="D213" s="82">
        <f t="shared" ref="D213:BL213" si="11">SUM(D$40:D$54,D$140:D$154)/SUM(C$40:C$54,C$140:C$154)-1</f>
        <v>-1.2762927256792289E-2</v>
      </c>
      <c r="E213" s="82">
        <f t="shared" si="11"/>
        <v>-8.8886422904067564E-3</v>
      </c>
      <c r="F213" s="82">
        <f t="shared" si="11"/>
        <v>-6.8298363078577173E-3</v>
      </c>
      <c r="G213" s="82">
        <f t="shared" si="11"/>
        <v>-8.9398448773448935E-3</v>
      </c>
      <c r="H213" s="82">
        <f t="shared" si="11"/>
        <v>-1.0180750986793496E-2</v>
      </c>
      <c r="I213" s="82">
        <f t="shared" si="11"/>
        <v>-7.0676657166498513E-3</v>
      </c>
      <c r="J213" s="82">
        <f t="shared" si="11"/>
        <v>3.0092244302726279E-4</v>
      </c>
      <c r="K213" s="82">
        <f t="shared" si="11"/>
        <v>6.6645839841716903E-3</v>
      </c>
      <c r="L213" s="82">
        <f t="shared" si="11"/>
        <v>1.0884682137397572E-2</v>
      </c>
      <c r="M213" s="82">
        <f t="shared" si="11"/>
        <v>1.3723706651506573E-2</v>
      </c>
      <c r="N213" s="82">
        <f t="shared" si="11"/>
        <v>1.8697354105678743E-2</v>
      </c>
      <c r="O213" s="82">
        <f t="shared" si="11"/>
        <v>2.2317889544613667E-2</v>
      </c>
      <c r="P213" s="82">
        <f t="shared" si="11"/>
        <v>2.738796566542101E-2</v>
      </c>
      <c r="Q213" s="82">
        <f t="shared" si="11"/>
        <v>3.0913893955594629E-2</v>
      </c>
      <c r="R213" s="82">
        <f t="shared" si="11"/>
        <v>2.7587118554447176E-2</v>
      </c>
      <c r="S213" s="82">
        <f t="shared" si="11"/>
        <v>2.8024065864471259E-2</v>
      </c>
      <c r="T213" s="82">
        <f t="shared" si="11"/>
        <v>2.3756352995533581E-2</v>
      </c>
      <c r="U213" s="82">
        <f t="shared" si="11"/>
        <v>2.2405882131708577E-2</v>
      </c>
      <c r="V213" s="82">
        <f t="shared" si="11"/>
        <v>1.9744525883077735E-2</v>
      </c>
      <c r="W213" s="82">
        <f t="shared" si="11"/>
        <v>1.6259942643796377E-2</v>
      </c>
      <c r="X213" s="82">
        <f t="shared" si="11"/>
        <v>1.2263841191243241E-2</v>
      </c>
      <c r="Y213" s="82">
        <f t="shared" si="11"/>
        <v>8.924266465622388E-3</v>
      </c>
      <c r="Z213" s="82">
        <f t="shared" si="11"/>
        <v>8.1241473989694946E-3</v>
      </c>
      <c r="AA213" s="82">
        <f t="shared" si="11"/>
        <v>4.5938771288698277E-3</v>
      </c>
      <c r="AB213" s="82">
        <f t="shared" si="11"/>
        <v>-4.5471314464162749E-4</v>
      </c>
      <c r="AC213" s="82">
        <f t="shared" si="11"/>
        <v>-3.845361532651248E-3</v>
      </c>
      <c r="AD213" s="82">
        <f t="shared" si="11"/>
        <v>-5.6265940580410012E-3</v>
      </c>
      <c r="AE213" s="82">
        <f t="shared" si="11"/>
        <v>-9.6704591735050638E-3</v>
      </c>
      <c r="AF213" s="82">
        <f t="shared" si="11"/>
        <v>-1.1759867701488402E-2</v>
      </c>
      <c r="AG213" s="82">
        <f t="shared" si="11"/>
        <v>-8.9602719956084487E-3</v>
      </c>
      <c r="AH213" s="82">
        <f t="shared" si="11"/>
        <v>-6.923908479330998E-3</v>
      </c>
      <c r="AI213" s="82">
        <f t="shared" si="11"/>
        <v>-5.3888229155421019E-3</v>
      </c>
      <c r="AJ213" s="82">
        <f t="shared" si="11"/>
        <v>-4.1607496585471804E-3</v>
      </c>
      <c r="AK213" s="82">
        <f t="shared" si="11"/>
        <v>-4.1418022289435585E-3</v>
      </c>
      <c r="AL213" s="82">
        <f t="shared" si="11"/>
        <v>-3.0554263459836584E-3</v>
      </c>
      <c r="AM213" s="82">
        <f t="shared" si="11"/>
        <v>-1.5827127513585726E-3</v>
      </c>
      <c r="AN213" s="82">
        <f t="shared" si="11"/>
        <v>-7.7886615414224369E-4</v>
      </c>
      <c r="AO213" s="82">
        <f t="shared" si="11"/>
        <v>-1.6506492553737262E-3</v>
      </c>
      <c r="AP213" s="82">
        <f t="shared" si="11"/>
        <v>1.6533784032035648E-4</v>
      </c>
      <c r="AQ213" s="82">
        <f t="shared" si="11"/>
        <v>3.9031647778411394E-3</v>
      </c>
      <c r="AR213" s="82">
        <f t="shared" si="11"/>
        <v>5.3059618885564763E-3</v>
      </c>
      <c r="AS213" s="82">
        <f t="shared" si="11"/>
        <v>5.3962562903240308E-3</v>
      </c>
      <c r="AT213" s="82">
        <f t="shared" si="11"/>
        <v>6.4262698671300189E-3</v>
      </c>
      <c r="AU213" s="82">
        <f t="shared" si="11"/>
        <v>5.9445653542458121E-3</v>
      </c>
      <c r="AV213" s="82">
        <f t="shared" si="11"/>
        <v>3.7369809127889564E-3</v>
      </c>
      <c r="AW213" s="82">
        <f t="shared" si="11"/>
        <v>1.6833967204938904E-3</v>
      </c>
      <c r="AX213" s="82">
        <f t="shared" si="11"/>
        <v>1.8406217211146547E-3</v>
      </c>
      <c r="AY213" s="82">
        <f t="shared" si="11"/>
        <v>9.053066948316868E-4</v>
      </c>
      <c r="AZ213" s="82">
        <f t="shared" si="11"/>
        <v>1.8001081838416866E-3</v>
      </c>
      <c r="BA213" s="82">
        <f t="shared" si="11"/>
        <v>2.4164852089860744E-3</v>
      </c>
      <c r="BB213" s="82">
        <f t="shared" si="11"/>
        <v>2.7373793566276561E-3</v>
      </c>
      <c r="BC213" s="82">
        <f t="shared" si="11"/>
        <v>3.839481493875363E-3</v>
      </c>
      <c r="BD213" s="82">
        <f t="shared" si="11"/>
        <v>3.5879396103268846E-3</v>
      </c>
      <c r="BE213" s="82">
        <f t="shared" si="11"/>
        <v>3.2953969336200206E-3</v>
      </c>
      <c r="BF213" s="82">
        <f t="shared" si="11"/>
        <v>2.1083996201396449E-3</v>
      </c>
      <c r="BG213" s="82">
        <f t="shared" si="11"/>
        <v>6.9552516496984573E-4</v>
      </c>
      <c r="BH213" s="82">
        <f t="shared" si="11"/>
        <v>-5.5603339675591723E-4</v>
      </c>
      <c r="BI213" s="82">
        <f t="shared" si="11"/>
        <v>-1.5299425402262035E-3</v>
      </c>
      <c r="BJ213" s="82">
        <f t="shared" si="11"/>
        <v>-2.3593735036261387E-3</v>
      </c>
      <c r="BK213" s="82">
        <f t="shared" si="11"/>
        <v>-2.8449253861593249E-3</v>
      </c>
      <c r="BL213" s="82">
        <f t="shared" si="11"/>
        <v>-3.0805853112091386E-3</v>
      </c>
    </row>
    <row r="214" spans="1:64" x14ac:dyDescent="0.2">
      <c r="A214" s="29" t="s">
        <v>477</v>
      </c>
      <c r="C214" s="82">
        <f>SUM(C$40:C$54)/SUM(B$40:B$54)-1</f>
        <v>-7.8807463775669717E-3</v>
      </c>
      <c r="D214" s="82">
        <f t="shared" ref="D214:BL214" si="12">SUM(D$40:D$54)/SUM(C$40:C$54)-1</f>
        <v>-1.1999075377729262E-2</v>
      </c>
      <c r="E214" s="82">
        <f t="shared" si="12"/>
        <v>-7.4655436447167434E-3</v>
      </c>
      <c r="F214" s="82">
        <f t="shared" si="12"/>
        <v>-5.0573234758384267E-3</v>
      </c>
      <c r="G214" s="82">
        <f t="shared" si="12"/>
        <v>-7.8614658941609239E-3</v>
      </c>
      <c r="H214" s="82">
        <f t="shared" si="12"/>
        <v>-9.7038902396665572E-3</v>
      </c>
      <c r="I214" s="82">
        <f t="shared" si="12"/>
        <v>-7.3218317732424154E-3</v>
      </c>
      <c r="J214" s="82">
        <f t="shared" si="12"/>
        <v>-1.8329174303822748E-3</v>
      </c>
      <c r="K214" s="82">
        <f t="shared" si="12"/>
        <v>3.9823008849557695E-3</v>
      </c>
      <c r="L214" s="82">
        <f t="shared" si="12"/>
        <v>6.8973115910091476E-3</v>
      </c>
      <c r="M214" s="82">
        <f t="shared" si="12"/>
        <v>1.0220383866237803E-2</v>
      </c>
      <c r="N214" s="82">
        <f t="shared" si="12"/>
        <v>1.5641247833622085E-2</v>
      </c>
      <c r="O214" s="82">
        <f t="shared" si="12"/>
        <v>1.819461627063701E-2</v>
      </c>
      <c r="P214" s="82">
        <f t="shared" si="12"/>
        <v>2.3190531056876518E-2</v>
      </c>
      <c r="Q214" s="82">
        <f t="shared" si="12"/>
        <v>2.7107817042709037E-2</v>
      </c>
      <c r="R214" s="82">
        <f t="shared" si="12"/>
        <v>2.3242833791811135E-2</v>
      </c>
      <c r="S214" s="82">
        <f t="shared" si="12"/>
        <v>2.3046053144237577E-2</v>
      </c>
      <c r="T214" s="82">
        <f t="shared" si="12"/>
        <v>1.8318575645053903E-2</v>
      </c>
      <c r="U214" s="82">
        <f t="shared" si="12"/>
        <v>1.7072760252071051E-2</v>
      </c>
      <c r="V214" s="82">
        <f t="shared" si="12"/>
        <v>1.4340871483728534E-2</v>
      </c>
      <c r="W214" s="82">
        <f t="shared" si="12"/>
        <v>1.1528004350190413E-2</v>
      </c>
      <c r="X214" s="82">
        <f t="shared" si="12"/>
        <v>7.9202953087482708E-3</v>
      </c>
      <c r="Y214" s="82">
        <f t="shared" si="12"/>
        <v>4.6757218034418901E-3</v>
      </c>
      <c r="Z214" s="82">
        <f t="shared" si="12"/>
        <v>3.8399603616994238E-3</v>
      </c>
      <c r="AA214" s="82">
        <f t="shared" si="12"/>
        <v>1.6570300380764902E-3</v>
      </c>
      <c r="AB214" s="82">
        <f t="shared" si="12"/>
        <v>-2.7102178733589E-3</v>
      </c>
      <c r="AC214" s="82">
        <f t="shared" si="12"/>
        <v>-6.8292510764452752E-3</v>
      </c>
      <c r="AD214" s="82">
        <f t="shared" si="12"/>
        <v>-7.5513938984737017E-3</v>
      </c>
      <c r="AE214" s="82">
        <f t="shared" si="12"/>
        <v>-1.1386422228587767E-2</v>
      </c>
      <c r="AF214" s="82">
        <f t="shared" si="12"/>
        <v>-1.2893879029337252E-2</v>
      </c>
      <c r="AG214" s="82">
        <f t="shared" si="12"/>
        <v>-9.594921846334481E-3</v>
      </c>
      <c r="AH214" s="82">
        <f t="shared" si="12"/>
        <v>-7.0204686486987633E-3</v>
      </c>
      <c r="AI214" s="82">
        <f t="shared" si="12"/>
        <v>-5.6896616050442494E-3</v>
      </c>
      <c r="AJ214" s="82">
        <f t="shared" si="12"/>
        <v>-3.2081949681994626E-3</v>
      </c>
      <c r="AK214" s="82">
        <f t="shared" si="12"/>
        <v>-2.2774327122153659E-3</v>
      </c>
      <c r="AL214" s="82">
        <f t="shared" si="12"/>
        <v>-2.3203606934671939E-3</v>
      </c>
      <c r="AM214" s="82">
        <f t="shared" si="12"/>
        <v>-7.5634383390688065E-4</v>
      </c>
      <c r="AN214" s="82">
        <f t="shared" si="12"/>
        <v>-1.8922908072516176E-4</v>
      </c>
      <c r="AO214" s="82">
        <f t="shared" si="12"/>
        <v>-1.608751608751624E-3</v>
      </c>
      <c r="AP214" s="82">
        <f t="shared" si="12"/>
        <v>-7.5827946389606105E-5</v>
      </c>
      <c r="AQ214" s="82">
        <f t="shared" si="12"/>
        <v>3.3177242307620425E-3</v>
      </c>
      <c r="AR214" s="82">
        <f t="shared" si="12"/>
        <v>5.1774309360945736E-3</v>
      </c>
      <c r="AS214" s="82">
        <f t="shared" si="12"/>
        <v>5.1883600270696828E-3</v>
      </c>
      <c r="AT214" s="82">
        <f t="shared" si="12"/>
        <v>6.2088569718732334E-3</v>
      </c>
      <c r="AU214" s="82">
        <f t="shared" si="12"/>
        <v>5.5014497063414769E-3</v>
      </c>
      <c r="AV214" s="82">
        <f t="shared" si="12"/>
        <v>3.5674676524952709E-3</v>
      </c>
      <c r="AW214" s="82">
        <f t="shared" si="12"/>
        <v>1.5655793564548492E-3</v>
      </c>
      <c r="AX214" s="82">
        <f t="shared" si="12"/>
        <v>2.4090624885064749E-3</v>
      </c>
      <c r="AY214" s="82">
        <f t="shared" si="12"/>
        <v>7.70514960832136E-4</v>
      </c>
      <c r="AZ214" s="82">
        <f t="shared" si="12"/>
        <v>1.558174918883326E-3</v>
      </c>
      <c r="BA214" s="82">
        <f t="shared" si="12"/>
        <v>2.1597481514019634E-3</v>
      </c>
      <c r="BB214" s="82">
        <f t="shared" si="12"/>
        <v>2.6299448442121953E-3</v>
      </c>
      <c r="BC214" s="82">
        <f t="shared" si="12"/>
        <v>3.9527851652154666E-3</v>
      </c>
      <c r="BD214" s="82">
        <f t="shared" si="12"/>
        <v>3.7557833620611714E-3</v>
      </c>
      <c r="BE214" s="82">
        <f t="shared" si="12"/>
        <v>3.235602472795529E-3</v>
      </c>
      <c r="BF214" s="82">
        <f t="shared" si="12"/>
        <v>2.0720347381129045E-3</v>
      </c>
      <c r="BG214" s="82">
        <f t="shared" si="12"/>
        <v>5.9335443037977775E-4</v>
      </c>
      <c r="BH214" s="82">
        <f t="shared" si="12"/>
        <v>-6.2894211935526911E-4</v>
      </c>
      <c r="BI214" s="82">
        <f t="shared" si="12"/>
        <v>-1.5823353831768694E-3</v>
      </c>
      <c r="BJ214" s="82">
        <f t="shared" si="12"/>
        <v>-2.4312934481144355E-3</v>
      </c>
      <c r="BK214" s="82">
        <f t="shared" si="12"/>
        <v>-2.9246628513657225E-3</v>
      </c>
      <c r="BL214" s="82">
        <f t="shared" si="12"/>
        <v>-3.150518749207798E-3</v>
      </c>
    </row>
    <row r="215" spans="1:64" x14ac:dyDescent="0.2">
      <c r="A215" s="29" t="s">
        <v>478</v>
      </c>
      <c r="C215" s="82">
        <f>SUM(C$50:C$59,C$150:C$159)/SUM(B$50:B$59,B$150:B$159)-1</f>
        <v>7.2491476276965727E-3</v>
      </c>
      <c r="D215" s="82">
        <f t="shared" ref="D215:BL215" si="13">SUM(D$50:D$59,D$150:D$159)/SUM(C$50:C$59,C$150:C$159)-1</f>
        <v>5.0932443333702171E-3</v>
      </c>
      <c r="E215" s="82">
        <f t="shared" si="13"/>
        <v>3.0687880647750632E-3</v>
      </c>
      <c r="F215" s="82">
        <f t="shared" si="13"/>
        <v>1.3649628165302019E-3</v>
      </c>
      <c r="G215" s="82">
        <f t="shared" si="13"/>
        <v>-1.6294555424990476E-3</v>
      </c>
      <c r="H215" s="82">
        <f t="shared" si="13"/>
        <v>-6.2616719762715878E-3</v>
      </c>
      <c r="I215" s="82">
        <f t="shared" si="13"/>
        <v>-7.3592116484002545E-3</v>
      </c>
      <c r="J215" s="82">
        <f t="shared" si="13"/>
        <v>-5.7591956217385443E-3</v>
      </c>
      <c r="K215" s="82">
        <f t="shared" si="13"/>
        <v>-3.9043748199827366E-3</v>
      </c>
      <c r="L215" s="82">
        <f t="shared" si="13"/>
        <v>-4.2409638554217199E-3</v>
      </c>
      <c r="M215" s="82">
        <f t="shared" si="13"/>
        <v>-5.3560481399025361E-3</v>
      </c>
      <c r="N215" s="82">
        <f t="shared" si="13"/>
        <v>-8.790994907062033E-3</v>
      </c>
      <c r="O215" s="82">
        <f t="shared" si="13"/>
        <v>-8.2471527686870383E-3</v>
      </c>
      <c r="P215" s="82">
        <f t="shared" si="13"/>
        <v>-7.771251319957706E-3</v>
      </c>
      <c r="Q215" s="82">
        <f t="shared" si="13"/>
        <v>-1.0176763057685001E-2</v>
      </c>
      <c r="R215" s="82">
        <f t="shared" si="13"/>
        <v>-7.543049139017266E-3</v>
      </c>
      <c r="S215" s="82">
        <f t="shared" si="13"/>
        <v>-8.2944004333396215E-4</v>
      </c>
      <c r="T215" s="82">
        <f t="shared" si="13"/>
        <v>4.3200569231029995E-3</v>
      </c>
      <c r="U215" s="82">
        <f t="shared" si="13"/>
        <v>1.091393677676189E-2</v>
      </c>
      <c r="V215" s="82">
        <f t="shared" si="13"/>
        <v>1.7320495920172263E-2</v>
      </c>
      <c r="W215" s="82">
        <f t="shared" si="13"/>
        <v>2.1158987649056105E-2</v>
      </c>
      <c r="X215" s="82">
        <f t="shared" si="13"/>
        <v>2.8205663620155086E-2</v>
      </c>
      <c r="Y215" s="82">
        <f t="shared" si="13"/>
        <v>2.9244059800353162E-2</v>
      </c>
      <c r="Z215" s="82">
        <f t="shared" si="13"/>
        <v>3.4074523791454814E-2</v>
      </c>
      <c r="AA215" s="82">
        <f t="shared" si="13"/>
        <v>3.6503742844561815E-2</v>
      </c>
      <c r="AB215" s="82">
        <f t="shared" si="13"/>
        <v>3.2895761643796817E-2</v>
      </c>
      <c r="AC215" s="82">
        <f t="shared" si="13"/>
        <v>2.9613380860981531E-2</v>
      </c>
      <c r="AD215" s="82">
        <f t="shared" si="13"/>
        <v>2.4806924101198335E-2</v>
      </c>
      <c r="AE215" s="82">
        <f t="shared" si="13"/>
        <v>2.1841664176292408E-2</v>
      </c>
      <c r="AF215" s="82">
        <f t="shared" si="13"/>
        <v>1.7509282335588239E-2</v>
      </c>
      <c r="AG215" s="82">
        <f t="shared" si="13"/>
        <v>1.1247047649991959E-2</v>
      </c>
      <c r="AH215" s="82">
        <f t="shared" si="13"/>
        <v>3.6331730947467555E-3</v>
      </c>
      <c r="AI215" s="82">
        <f t="shared" si="13"/>
        <v>-3.0043711137105467E-3</v>
      </c>
      <c r="AJ215" s="82">
        <f t="shared" si="13"/>
        <v>-7.3977102913388437E-3</v>
      </c>
      <c r="AK215" s="82">
        <f t="shared" si="13"/>
        <v>-1.4544866371373089E-2</v>
      </c>
      <c r="AL215" s="82">
        <f t="shared" si="13"/>
        <v>-1.8269509993308342E-2</v>
      </c>
      <c r="AM215" s="82">
        <f t="shared" si="13"/>
        <v>-1.9316837285868638E-2</v>
      </c>
      <c r="AN215" s="82">
        <f t="shared" si="13"/>
        <v>-1.6064731030503321E-2</v>
      </c>
      <c r="AO215" s="82">
        <f t="shared" si="13"/>
        <v>-1.6473630196324085E-2</v>
      </c>
      <c r="AP215" s="82">
        <f t="shared" si="13"/>
        <v>-1.3375252395213644E-2</v>
      </c>
      <c r="AQ215" s="82">
        <f t="shared" si="13"/>
        <v>-6.6615388841578804E-3</v>
      </c>
      <c r="AR215" s="82">
        <f t="shared" si="13"/>
        <v>1.2444518189735909E-4</v>
      </c>
      <c r="AS215" s="82">
        <f t="shared" si="13"/>
        <v>3.5393336098437089E-3</v>
      </c>
      <c r="AT215" s="82">
        <f t="shared" si="13"/>
        <v>3.8574931805031021E-3</v>
      </c>
      <c r="AU215" s="82">
        <f t="shared" si="13"/>
        <v>5.3111190404304676E-3</v>
      </c>
      <c r="AV215" s="82">
        <f t="shared" si="13"/>
        <v>8.3273040012012967E-3</v>
      </c>
      <c r="AW215" s="82">
        <f t="shared" si="13"/>
        <v>7.7034509835776088E-3</v>
      </c>
      <c r="AX215" s="82">
        <f t="shared" si="13"/>
        <v>4.1648753224419188E-3</v>
      </c>
      <c r="AY215" s="82">
        <f t="shared" si="13"/>
        <v>4.3616708142677485E-3</v>
      </c>
      <c r="AZ215" s="82">
        <f t="shared" si="13"/>
        <v>2.4777535034901099E-3</v>
      </c>
      <c r="BA215" s="82">
        <f t="shared" si="13"/>
        <v>-2.2590161320323876E-4</v>
      </c>
      <c r="BB215" s="82">
        <f t="shared" si="13"/>
        <v>-1.9538259101240518E-3</v>
      </c>
      <c r="BC215" s="82">
        <f t="shared" si="13"/>
        <v>-5.8596351045414607E-4</v>
      </c>
      <c r="BD215" s="82">
        <f t="shared" si="13"/>
        <v>-7.9950963409114451E-4</v>
      </c>
      <c r="BE215" s="82">
        <f t="shared" si="13"/>
        <v>1.6803136585497036E-3</v>
      </c>
      <c r="BF215" s="82">
        <f t="shared" si="13"/>
        <v>3.5413782085418344E-3</v>
      </c>
      <c r="BG215" s="82">
        <f t="shared" si="13"/>
        <v>4.8422616678607255E-3</v>
      </c>
      <c r="BH215" s="82">
        <f t="shared" si="13"/>
        <v>7.1293716911133842E-3</v>
      </c>
      <c r="BI215" s="82">
        <f t="shared" si="13"/>
        <v>7.3279760890367918E-3</v>
      </c>
      <c r="BJ215" s="82">
        <f t="shared" si="13"/>
        <v>7.3527497982874834E-3</v>
      </c>
      <c r="BK215" s="82">
        <f t="shared" si="13"/>
        <v>5.8263464544550114E-3</v>
      </c>
      <c r="BL215" s="82">
        <f t="shared" si="13"/>
        <v>3.8788563795628672E-3</v>
      </c>
    </row>
    <row r="216" spans="1:64" x14ac:dyDescent="0.2">
      <c r="A216" s="29" t="s">
        <v>479</v>
      </c>
      <c r="C216" s="82">
        <f>SUM(C$55:C$64,C$155:C$164)/SUM(B$55:B$64,B$155:B$164)-1</f>
        <v>2.5930418578485659E-2</v>
      </c>
      <c r="D216" s="82">
        <f t="shared" ref="D216:BL216" si="14">SUM(D$55:D$64,D$155:D$164)/SUM(C$55:C$64,C$155:C$164)-1</f>
        <v>2.3492922992563114E-2</v>
      </c>
      <c r="E216" s="82">
        <f t="shared" si="14"/>
        <v>1.8349545446935345E-2</v>
      </c>
      <c r="F216" s="82">
        <f t="shared" si="14"/>
        <v>1.3119605425400804E-2</v>
      </c>
      <c r="G216" s="82">
        <f t="shared" si="14"/>
        <v>6.5397659964623323E-3</v>
      </c>
      <c r="H216" s="82">
        <f t="shared" si="14"/>
        <v>3.385676974172025E-3</v>
      </c>
      <c r="I216" s="82">
        <f t="shared" si="14"/>
        <v>5.3023973263062185E-3</v>
      </c>
      <c r="J216" s="82">
        <f t="shared" si="14"/>
        <v>4.8908352779464259E-3</v>
      </c>
      <c r="K216" s="82">
        <f t="shared" si="14"/>
        <v>4.8670314289349648E-3</v>
      </c>
      <c r="L216" s="82">
        <f t="shared" si="14"/>
        <v>5.5240748361771175E-3</v>
      </c>
      <c r="M216" s="82">
        <f t="shared" si="14"/>
        <v>1.5583924945299366E-3</v>
      </c>
      <c r="N216" s="82">
        <f t="shared" si="14"/>
        <v>-2.247508880017568E-3</v>
      </c>
      <c r="O216" s="82">
        <f t="shared" si="14"/>
        <v>-4.2216026337760226E-3</v>
      </c>
      <c r="P216" s="82">
        <f t="shared" si="14"/>
        <v>-4.9355374515541728E-3</v>
      </c>
      <c r="Q216" s="82">
        <f t="shared" si="14"/>
        <v>-7.9805414686103804E-3</v>
      </c>
      <c r="R216" s="82">
        <f t="shared" si="14"/>
        <v>-9.1344689988942518E-3</v>
      </c>
      <c r="S216" s="82">
        <f t="shared" si="14"/>
        <v>-1.187106791091852E-2</v>
      </c>
      <c r="T216" s="82">
        <f t="shared" si="14"/>
        <v>-1.0704289899667763E-2</v>
      </c>
      <c r="U216" s="82">
        <f t="shared" si="14"/>
        <v>-9.3476498519265983E-3</v>
      </c>
      <c r="V216" s="82">
        <f t="shared" si="14"/>
        <v>-1.0955609739804251E-2</v>
      </c>
      <c r="W216" s="82">
        <f t="shared" si="14"/>
        <v>-7.2439296207490456E-3</v>
      </c>
      <c r="X216" s="82">
        <f t="shared" si="14"/>
        <v>-6.633442756790453E-4</v>
      </c>
      <c r="Y216" s="82">
        <f t="shared" si="14"/>
        <v>4.5613915648297088E-3</v>
      </c>
      <c r="Z216" s="82">
        <f t="shared" si="14"/>
        <v>1.1046728338585554E-2</v>
      </c>
      <c r="AA216" s="82">
        <f t="shared" si="14"/>
        <v>1.7444783322720037E-2</v>
      </c>
      <c r="AB216" s="82">
        <f t="shared" si="14"/>
        <v>2.129622004446996E-2</v>
      </c>
      <c r="AC216" s="82">
        <f t="shared" si="14"/>
        <v>2.8302799638756371E-2</v>
      </c>
      <c r="AD216" s="82">
        <f t="shared" si="14"/>
        <v>2.9295986700751175E-2</v>
      </c>
      <c r="AE216" s="82">
        <f t="shared" si="14"/>
        <v>3.4175922963233907E-2</v>
      </c>
      <c r="AF216" s="82">
        <f t="shared" si="14"/>
        <v>3.6553024722279615E-2</v>
      </c>
      <c r="AG216" s="82">
        <f t="shared" si="14"/>
        <v>3.2975623623054506E-2</v>
      </c>
      <c r="AH216" s="82">
        <f t="shared" si="14"/>
        <v>2.9638802889576876E-2</v>
      </c>
      <c r="AI216" s="82">
        <f t="shared" si="14"/>
        <v>2.4883400820537416E-2</v>
      </c>
      <c r="AJ216" s="82">
        <f t="shared" si="14"/>
        <v>2.1919130015255917E-2</v>
      </c>
      <c r="AK216" s="82">
        <f t="shared" si="14"/>
        <v>1.7570050528249892E-2</v>
      </c>
      <c r="AL216" s="82">
        <f t="shared" si="14"/>
        <v>1.1348104678428506E-2</v>
      </c>
      <c r="AM216" s="82">
        <f t="shared" si="14"/>
        <v>3.6947950504624405E-3</v>
      </c>
      <c r="AN216" s="82">
        <f t="shared" si="14"/>
        <v>-2.8535428402015617E-3</v>
      </c>
      <c r="AO216" s="82">
        <f t="shared" si="14"/>
        <v>-7.3462915474288293E-3</v>
      </c>
      <c r="AP216" s="82">
        <f t="shared" si="14"/>
        <v>-1.4376996805111841E-2</v>
      </c>
      <c r="AQ216" s="82">
        <f t="shared" si="14"/>
        <v>-1.8144752836304678E-2</v>
      </c>
      <c r="AR216" s="82">
        <f t="shared" si="14"/>
        <v>-1.9137768721870452E-2</v>
      </c>
      <c r="AS216" s="82">
        <f t="shared" si="14"/>
        <v>-1.5908702454673351E-2</v>
      </c>
      <c r="AT216" s="82">
        <f t="shared" si="14"/>
        <v>-1.629948295902417E-2</v>
      </c>
      <c r="AU216" s="82">
        <f t="shared" si="14"/>
        <v>-1.3242064947235455E-2</v>
      </c>
      <c r="AV216" s="82">
        <f t="shared" si="14"/>
        <v>-6.5240730035510675E-3</v>
      </c>
      <c r="AW216" s="82">
        <f t="shared" si="14"/>
        <v>2.4937655860357566E-4</v>
      </c>
      <c r="AX216" s="82">
        <f t="shared" si="14"/>
        <v>3.5596553921162233E-3</v>
      </c>
      <c r="AY216" s="82">
        <f t="shared" si="14"/>
        <v>4.0024843006003508E-3</v>
      </c>
      <c r="AZ216" s="82">
        <f t="shared" si="14"/>
        <v>5.416179806172261E-3</v>
      </c>
      <c r="BA216" s="82">
        <f t="shared" si="14"/>
        <v>8.3676287616729628E-3</v>
      </c>
      <c r="BB216" s="82">
        <f t="shared" si="14"/>
        <v>7.7693861778145301E-3</v>
      </c>
      <c r="BC216" s="82">
        <f t="shared" si="14"/>
        <v>4.2382003121468337E-3</v>
      </c>
      <c r="BD216" s="82">
        <f t="shared" si="14"/>
        <v>4.4212810996930862E-3</v>
      </c>
      <c r="BE216" s="82">
        <f t="shared" si="14"/>
        <v>2.6144139577692904E-3</v>
      </c>
      <c r="BF216" s="82">
        <f t="shared" si="14"/>
        <v>-1.4634470830843238E-4</v>
      </c>
      <c r="BG216" s="82">
        <f t="shared" si="14"/>
        <v>-1.9027596668175217E-3</v>
      </c>
      <c r="BH216" s="82">
        <f t="shared" si="14"/>
        <v>-5.0659236645289596E-4</v>
      </c>
      <c r="BI216" s="82">
        <f t="shared" si="14"/>
        <v>-7.0692115828363544E-4</v>
      </c>
      <c r="BJ216" s="82">
        <f t="shared" si="14"/>
        <v>1.7351841964763359E-3</v>
      </c>
      <c r="BK216" s="82">
        <f t="shared" si="14"/>
        <v>3.5842771485676828E-3</v>
      </c>
      <c r="BL216" s="82">
        <f t="shared" si="14"/>
        <v>4.9124390923935835E-3</v>
      </c>
    </row>
    <row r="217" spans="1:64" x14ac:dyDescent="0.2">
      <c r="A217" s="29" t="s">
        <v>480</v>
      </c>
      <c r="C217" s="82">
        <f>SUM(C$55:C$69)/SUM(B$55:B$69)-1</f>
        <v>2.074095611930904E-2</v>
      </c>
      <c r="D217" s="82">
        <f t="shared" ref="D217:BL217" si="15">SUM(D$55:D$69)/SUM(C$55:C$69)-1</f>
        <v>2.0580625252213602E-2</v>
      </c>
      <c r="E217" s="82">
        <f t="shared" si="15"/>
        <v>1.956086895845921E-2</v>
      </c>
      <c r="F217" s="82">
        <f t="shared" si="15"/>
        <v>1.6584920725447594E-2</v>
      </c>
      <c r="G217" s="82">
        <f t="shared" si="15"/>
        <v>1.4047843454064068E-2</v>
      </c>
      <c r="H217" s="82">
        <f t="shared" si="15"/>
        <v>1.28795255377534E-2</v>
      </c>
      <c r="I217" s="82">
        <f t="shared" si="15"/>
        <v>1.2628359187240479E-2</v>
      </c>
      <c r="J217" s="82">
        <f t="shared" si="15"/>
        <v>1.3031846034348815E-2</v>
      </c>
      <c r="K217" s="82">
        <f t="shared" si="15"/>
        <v>1.3119781904924244E-2</v>
      </c>
      <c r="L217" s="82">
        <f t="shared" si="15"/>
        <v>1.4947023208879973E-2</v>
      </c>
      <c r="M217" s="82">
        <f t="shared" si="15"/>
        <v>1.1164274322169154E-2</v>
      </c>
      <c r="N217" s="82">
        <f t="shared" si="15"/>
        <v>7.8044983407759005E-3</v>
      </c>
      <c r="O217" s="82">
        <f t="shared" si="15"/>
        <v>2.3984227321693918E-3</v>
      </c>
      <c r="P217" s="82">
        <f t="shared" si="15"/>
        <v>-1.4193888517144426E-3</v>
      </c>
      <c r="Q217" s="82">
        <f t="shared" si="15"/>
        <v>-7.5334538144455898E-3</v>
      </c>
      <c r="R217" s="82">
        <f t="shared" si="15"/>
        <v>-9.0228332924134902E-3</v>
      </c>
      <c r="S217" s="82">
        <f t="shared" si="15"/>
        <v>-1.0302467224114764E-2</v>
      </c>
      <c r="T217" s="82">
        <f t="shared" si="15"/>
        <v>-6.7590120160213596E-3</v>
      </c>
      <c r="U217" s="82">
        <f t="shared" si="15"/>
        <v>-4.1166092581702562E-3</v>
      </c>
      <c r="V217" s="82">
        <f t="shared" si="15"/>
        <v>-2.9736797705416373E-3</v>
      </c>
      <c r="W217" s="82">
        <f t="shared" si="15"/>
        <v>-2.1787414066631872E-3</v>
      </c>
      <c r="X217" s="82">
        <f t="shared" si="15"/>
        <v>-1.1659459001102102E-3</v>
      </c>
      <c r="Y217" s="82">
        <f t="shared" si="15"/>
        <v>-1.1036356304519046E-3</v>
      </c>
      <c r="Z217" s="82">
        <f t="shared" si="15"/>
        <v>1.2535854669075697E-3</v>
      </c>
      <c r="AA217" s="82">
        <f t="shared" si="15"/>
        <v>-5.3051523639757736E-4</v>
      </c>
      <c r="AB217" s="82">
        <f t="shared" si="15"/>
        <v>3.3970997261087987E-3</v>
      </c>
      <c r="AC217" s="82">
        <f t="shared" si="15"/>
        <v>9.6912757358387225E-3</v>
      </c>
      <c r="AD217" s="82">
        <f t="shared" si="15"/>
        <v>1.3580065804639885E-2</v>
      </c>
      <c r="AE217" s="82">
        <f t="shared" si="15"/>
        <v>1.9911092732347813E-2</v>
      </c>
      <c r="AF217" s="82">
        <f t="shared" si="15"/>
        <v>2.5178397664612495E-2</v>
      </c>
      <c r="AG217" s="82">
        <f t="shared" si="15"/>
        <v>2.3076923076922995E-2</v>
      </c>
      <c r="AH217" s="82">
        <f t="shared" si="15"/>
        <v>2.284631888203803E-2</v>
      </c>
      <c r="AI217" s="82">
        <f t="shared" si="15"/>
        <v>1.8254313195638527E-2</v>
      </c>
      <c r="AJ217" s="82">
        <f t="shared" si="15"/>
        <v>1.6943490767374891E-2</v>
      </c>
      <c r="AK217" s="82">
        <f t="shared" si="15"/>
        <v>1.4234096134895458E-2</v>
      </c>
      <c r="AL217" s="82">
        <f t="shared" si="15"/>
        <v>1.1623304185109262E-2</v>
      </c>
      <c r="AM217" s="82">
        <f t="shared" si="15"/>
        <v>7.9859134889015415E-3</v>
      </c>
      <c r="AN217" s="82">
        <f t="shared" si="15"/>
        <v>4.7641734159122873E-3</v>
      </c>
      <c r="AO217" s="82">
        <f t="shared" si="15"/>
        <v>3.9513197407934353E-3</v>
      </c>
      <c r="AP217" s="82">
        <f t="shared" si="15"/>
        <v>1.8366918555834388E-3</v>
      </c>
      <c r="AQ217" s="82">
        <f t="shared" si="15"/>
        <v>-2.444432804288188E-3</v>
      </c>
      <c r="AR217" s="82">
        <f t="shared" si="15"/>
        <v>-6.4761171302049059E-3</v>
      </c>
      <c r="AS217" s="82">
        <f t="shared" si="15"/>
        <v>-7.1349294434754906E-3</v>
      </c>
      <c r="AT217" s="82">
        <f t="shared" si="15"/>
        <v>-1.0947868980446418E-2</v>
      </c>
      <c r="AU217" s="82">
        <f t="shared" si="15"/>
        <v>-1.2324859618593087E-2</v>
      </c>
      <c r="AV217" s="82">
        <f t="shared" si="15"/>
        <v>-9.1001562102662747E-3</v>
      </c>
      <c r="AW217" s="82">
        <f t="shared" si="15"/>
        <v>-6.5990871262808781E-3</v>
      </c>
      <c r="AX217" s="82">
        <f t="shared" si="15"/>
        <v>-5.2774343549905067E-3</v>
      </c>
      <c r="AY217" s="82">
        <f t="shared" si="15"/>
        <v>-2.9309737139888714E-3</v>
      </c>
      <c r="AZ217" s="82">
        <f t="shared" si="15"/>
        <v>-1.9535247167389302E-3</v>
      </c>
      <c r="BA217" s="82">
        <f t="shared" si="15"/>
        <v>-2.0319141003654062E-3</v>
      </c>
      <c r="BB217" s="82">
        <f t="shared" si="15"/>
        <v>-4.4830484729618814E-4</v>
      </c>
      <c r="BC217" s="82">
        <f t="shared" si="15"/>
        <v>-5.6063239333936643E-5</v>
      </c>
      <c r="BD217" s="82">
        <f t="shared" si="15"/>
        <v>-1.3455931823278533E-3</v>
      </c>
      <c r="BE217" s="82">
        <f t="shared" si="15"/>
        <v>1.3099782917880276E-4</v>
      </c>
      <c r="BF217" s="82">
        <f t="shared" si="15"/>
        <v>3.499055068016288E-3</v>
      </c>
      <c r="BG217" s="82">
        <f t="shared" si="15"/>
        <v>5.2023121387283489E-3</v>
      </c>
      <c r="BH217" s="82">
        <f t="shared" si="15"/>
        <v>5.2495872674320765E-3</v>
      </c>
      <c r="BI217" s="82">
        <f t="shared" si="15"/>
        <v>6.1632713315618037E-3</v>
      </c>
      <c r="BJ217" s="82">
        <f t="shared" si="15"/>
        <v>5.6303414884641967E-3</v>
      </c>
      <c r="BK217" s="82">
        <f t="shared" si="15"/>
        <v>3.6474385862528269E-3</v>
      </c>
      <c r="BL217" s="82">
        <f t="shared" si="15"/>
        <v>1.7444079007140623E-3</v>
      </c>
    </row>
    <row r="218" spans="1:64" x14ac:dyDescent="0.2">
      <c r="A218" s="29" t="s">
        <v>481</v>
      </c>
      <c r="C218" s="82">
        <f>SUM(C$130:C$169)/SUM(B$130:B$169)-1</f>
        <v>2.8117897535866465E-3</v>
      </c>
      <c r="D218" s="82">
        <f t="shared" ref="D218:BL218" si="16">SUM(D$130:D$169)/SUM(C$130:C$169)-1</f>
        <v>1.890172892591524E-3</v>
      </c>
      <c r="E218" s="82">
        <f t="shared" si="16"/>
        <v>5.4631128119384531E-3</v>
      </c>
      <c r="F218" s="82">
        <f t="shared" si="16"/>
        <v>5.7891366983247039E-3</v>
      </c>
      <c r="G218" s="82">
        <f t="shared" si="16"/>
        <v>2.8027550109193111E-3</v>
      </c>
      <c r="H218" s="82">
        <f t="shared" si="16"/>
        <v>1.4106859460416565E-4</v>
      </c>
      <c r="I218" s="82">
        <f t="shared" si="16"/>
        <v>4.6457914595015026E-3</v>
      </c>
      <c r="J218" s="82">
        <f t="shared" si="16"/>
        <v>1.8497231557610849E-2</v>
      </c>
      <c r="K218" s="82">
        <f t="shared" si="16"/>
        <v>2.5777325947049734E-2</v>
      </c>
      <c r="L218" s="82">
        <f t="shared" si="16"/>
        <v>2.7212484147048244E-2</v>
      </c>
      <c r="M218" s="82">
        <f t="shared" si="16"/>
        <v>2.3261898726932184E-2</v>
      </c>
      <c r="N218" s="82">
        <f t="shared" si="16"/>
        <v>1.9728641288714099E-2</v>
      </c>
      <c r="O218" s="82">
        <f t="shared" si="16"/>
        <v>1.4982329940368411E-2</v>
      </c>
      <c r="P218" s="82">
        <f t="shared" si="16"/>
        <v>1.2005033621814487E-2</v>
      </c>
      <c r="Q218" s="82">
        <f t="shared" si="16"/>
        <v>7.4532360928869501E-3</v>
      </c>
      <c r="R218" s="82">
        <f t="shared" si="16"/>
        <v>2.6275736212810763E-3</v>
      </c>
      <c r="S218" s="82">
        <f t="shared" si="16"/>
        <v>2.8472599842910284E-3</v>
      </c>
      <c r="T218" s="82">
        <f t="shared" si="16"/>
        <v>3.3964679745452919E-3</v>
      </c>
      <c r="U218" s="82">
        <f t="shared" si="16"/>
        <v>4.0229367438229247E-3</v>
      </c>
      <c r="V218" s="82">
        <f t="shared" si="16"/>
        <v>4.5973746374428082E-3</v>
      </c>
      <c r="W218" s="82">
        <f t="shared" si="16"/>
        <v>6.0422511105984178E-3</v>
      </c>
      <c r="X218" s="82">
        <f t="shared" si="16"/>
        <v>6.6716469796375133E-3</v>
      </c>
      <c r="Y218" s="82">
        <f t="shared" si="16"/>
        <v>6.531913799310729E-3</v>
      </c>
      <c r="Z218" s="82">
        <f t="shared" si="16"/>
        <v>6.7888167019489742E-3</v>
      </c>
      <c r="AA218" s="82">
        <f t="shared" si="16"/>
        <v>5.7714617169373206E-3</v>
      </c>
      <c r="AB218" s="82">
        <f t="shared" si="16"/>
        <v>5.5220738775627609E-3</v>
      </c>
      <c r="AC218" s="82">
        <f t="shared" si="16"/>
        <v>6.0366212127729302E-3</v>
      </c>
      <c r="AD218" s="82">
        <f t="shared" si="16"/>
        <v>6.0645363587126244E-3</v>
      </c>
      <c r="AE218" s="82">
        <f t="shared" si="16"/>
        <v>6.7434035771205547E-3</v>
      </c>
      <c r="AF218" s="82">
        <f t="shared" si="16"/>
        <v>7.028924834830752E-3</v>
      </c>
      <c r="AG218" s="82">
        <f t="shared" si="16"/>
        <v>7.3292064334922191E-3</v>
      </c>
      <c r="AH218" s="82">
        <f t="shared" si="16"/>
        <v>8.0457777007110209E-3</v>
      </c>
      <c r="AI218" s="82">
        <f t="shared" si="16"/>
        <v>7.878350018921898E-3</v>
      </c>
      <c r="AJ218" s="82">
        <f t="shared" si="16"/>
        <v>7.8031130529765402E-3</v>
      </c>
      <c r="AK218" s="82">
        <f t="shared" si="16"/>
        <v>7.4514133976413266E-3</v>
      </c>
      <c r="AL218" s="82">
        <f t="shared" si="16"/>
        <v>7.3694048667656276E-3</v>
      </c>
      <c r="AM218" s="82">
        <f t="shared" si="16"/>
        <v>6.6146483423330515E-3</v>
      </c>
      <c r="AN218" s="82">
        <f t="shared" si="16"/>
        <v>6.3192096014852428E-3</v>
      </c>
      <c r="AO218" s="82">
        <f t="shared" si="16"/>
        <v>5.9171207738382137E-3</v>
      </c>
      <c r="AP218" s="82">
        <f t="shared" si="16"/>
        <v>4.9652498018486479E-3</v>
      </c>
      <c r="AQ218" s="82">
        <f t="shared" si="16"/>
        <v>3.8847861086306334E-3</v>
      </c>
      <c r="AR218" s="82">
        <f t="shared" si="16"/>
        <v>2.6750641171313649E-3</v>
      </c>
      <c r="AS218" s="82">
        <f t="shared" si="16"/>
        <v>1.2497814501351012E-3</v>
      </c>
      <c r="AT218" s="82">
        <f t="shared" si="16"/>
        <v>-4.397878670288069E-4</v>
      </c>
      <c r="AU218" s="82">
        <f t="shared" si="16"/>
        <v>-1.8828614317510928E-3</v>
      </c>
      <c r="AV218" s="82">
        <f t="shared" si="16"/>
        <v>-2.1781266814036027E-3</v>
      </c>
      <c r="AW218" s="82">
        <f t="shared" si="16"/>
        <v>-2.6181581939256349E-3</v>
      </c>
      <c r="AX218" s="82">
        <f t="shared" si="16"/>
        <v>-2.3188858925756728E-3</v>
      </c>
      <c r="AY218" s="82">
        <f t="shared" si="16"/>
        <v>-2.5005549534492522E-3</v>
      </c>
      <c r="AZ218" s="82">
        <f t="shared" si="16"/>
        <v>-2.4544615565867955E-3</v>
      </c>
      <c r="BA218" s="82">
        <f t="shared" si="16"/>
        <v>-1.3844417615873628E-3</v>
      </c>
      <c r="BB218" s="82">
        <f t="shared" si="16"/>
        <v>-6.9646576476545263E-4</v>
      </c>
      <c r="BC218" s="82">
        <f t="shared" si="16"/>
        <v>1.9067531938121718E-4</v>
      </c>
      <c r="BD218" s="82">
        <f t="shared" si="16"/>
        <v>1.3804890875634968E-4</v>
      </c>
      <c r="BE218" s="82">
        <f t="shared" si="16"/>
        <v>1.1305302318245225E-3</v>
      </c>
      <c r="BF218" s="82">
        <f t="shared" si="16"/>
        <v>2.3110305751972149E-3</v>
      </c>
      <c r="BG218" s="82">
        <f t="shared" si="16"/>
        <v>2.3581043461173845E-3</v>
      </c>
      <c r="BH218" s="82">
        <f t="shared" si="16"/>
        <v>2.0911615749059642E-3</v>
      </c>
      <c r="BI218" s="82">
        <f t="shared" si="16"/>
        <v>2.347647461606206E-3</v>
      </c>
      <c r="BJ218" s="82">
        <f t="shared" si="16"/>
        <v>1.9908265833903371E-3</v>
      </c>
      <c r="BK218" s="82">
        <f t="shared" si="16"/>
        <v>9.9343553382547078E-4</v>
      </c>
      <c r="BL218" s="82">
        <f t="shared" si="16"/>
        <v>1.9459796061327417E-4</v>
      </c>
    </row>
    <row r="219" spans="1:64" x14ac:dyDescent="0.2">
      <c r="A219" s="29" t="s">
        <v>482</v>
      </c>
      <c r="C219" s="82">
        <f>SUM(C$60:C$69,C$160:C$169)/SUM(B$60:B$69,B$160:B$169)-1</f>
        <v>1.4013065703515126E-2</v>
      </c>
      <c r="D219" s="82">
        <f t="shared" ref="D219:BL219" si="17">SUM(D$60:D$69,D$160:D$169)/SUM(C$60:C$69,C$160:C$169)-1</f>
        <v>1.498725110457988E-2</v>
      </c>
      <c r="E219" s="82">
        <f t="shared" si="17"/>
        <v>2.1899629892419448E-2</v>
      </c>
      <c r="F219" s="82">
        <f t="shared" si="17"/>
        <v>2.2781437069564037E-2</v>
      </c>
      <c r="G219" s="82">
        <f t="shared" si="17"/>
        <v>2.4659193071941088E-2</v>
      </c>
      <c r="H219" s="82">
        <f t="shared" si="17"/>
        <v>2.4656651207764169E-2</v>
      </c>
      <c r="I219" s="82">
        <f t="shared" si="17"/>
        <v>2.3032294142317999E-2</v>
      </c>
      <c r="J219" s="82">
        <f t="shared" si="17"/>
        <v>1.9695261521642582E-2</v>
      </c>
      <c r="K219" s="82">
        <f t="shared" si="17"/>
        <v>1.484211407990621E-2</v>
      </c>
      <c r="L219" s="82">
        <f t="shared" si="17"/>
        <v>1.1703339330813245E-2</v>
      </c>
      <c r="M219" s="82">
        <f t="shared" si="17"/>
        <v>9.6263664545603866E-3</v>
      </c>
      <c r="N219" s="82">
        <f t="shared" si="17"/>
        <v>9.8093083387200686E-3</v>
      </c>
      <c r="O219" s="82">
        <f t="shared" si="17"/>
        <v>6.4493414630242274E-3</v>
      </c>
      <c r="P219" s="82">
        <f t="shared" si="17"/>
        <v>4.229607250755274E-3</v>
      </c>
      <c r="Q219" s="82">
        <f t="shared" si="17"/>
        <v>3.3567673696877076E-3</v>
      </c>
      <c r="R219" s="82">
        <f t="shared" si="17"/>
        <v>-8.3638429491228461E-4</v>
      </c>
      <c r="S219" s="82">
        <f t="shared" si="17"/>
        <v>-4.1696280502250271E-3</v>
      </c>
      <c r="T219" s="82">
        <f t="shared" si="17"/>
        <v>-5.6303627222407115E-3</v>
      </c>
      <c r="U219" s="82">
        <f t="shared" si="17"/>
        <v>-5.8536429756284036E-3</v>
      </c>
      <c r="V219" s="82">
        <f t="shared" si="17"/>
        <v>-8.4230454523576137E-3</v>
      </c>
      <c r="W219" s="82">
        <f t="shared" si="17"/>
        <v>-8.8343796518024487E-3</v>
      </c>
      <c r="X219" s="82">
        <f t="shared" si="17"/>
        <v>-1.1525025302817626E-2</v>
      </c>
      <c r="Y219" s="82">
        <f t="shared" si="17"/>
        <v>-1.0404280618311557E-2</v>
      </c>
      <c r="Z219" s="82">
        <f t="shared" si="17"/>
        <v>-9.078468675945417E-3</v>
      </c>
      <c r="AA219" s="82">
        <f t="shared" si="17"/>
        <v>-1.060999023207243E-2</v>
      </c>
      <c r="AB219" s="82">
        <f t="shared" si="17"/>
        <v>-6.9449172737795495E-3</v>
      </c>
      <c r="AC219" s="82">
        <f t="shared" si="17"/>
        <v>-3.5995886184436721E-4</v>
      </c>
      <c r="AD219" s="82">
        <f t="shared" si="17"/>
        <v>4.8526209297141687E-3</v>
      </c>
      <c r="AE219" s="82">
        <f t="shared" si="17"/>
        <v>1.1262414252073416E-2</v>
      </c>
      <c r="AF219" s="82">
        <f t="shared" si="17"/>
        <v>1.7633559447875591E-2</v>
      </c>
      <c r="AG219" s="82">
        <f t="shared" si="17"/>
        <v>2.1539788084302014E-2</v>
      </c>
      <c r="AH219" s="82">
        <f t="shared" si="17"/>
        <v>2.8422556244521724E-2</v>
      </c>
      <c r="AI219" s="82">
        <f t="shared" si="17"/>
        <v>2.9515286392979512E-2</v>
      </c>
      <c r="AJ219" s="82">
        <f t="shared" si="17"/>
        <v>3.4356938077789945E-2</v>
      </c>
      <c r="AK219" s="82">
        <f t="shared" si="17"/>
        <v>3.6669235785854015E-2</v>
      </c>
      <c r="AL219" s="82">
        <f t="shared" si="17"/>
        <v>3.3141746018129359E-2</v>
      </c>
      <c r="AM219" s="82">
        <f t="shared" si="17"/>
        <v>2.9781345142540827E-2</v>
      </c>
      <c r="AN219" s="82">
        <f t="shared" si="17"/>
        <v>2.5049723162930748E-2</v>
      </c>
      <c r="AO219" s="82">
        <f t="shared" si="17"/>
        <v>2.1985945775866655E-2</v>
      </c>
      <c r="AP219" s="82">
        <f t="shared" si="17"/>
        <v>1.7690146626813563E-2</v>
      </c>
      <c r="AQ219" s="82">
        <f t="shared" si="17"/>
        <v>1.1470781021529763E-2</v>
      </c>
      <c r="AR219" s="82">
        <f t="shared" si="17"/>
        <v>3.8508511751951247E-3</v>
      </c>
      <c r="AS219" s="82">
        <f t="shared" si="17"/>
        <v>-2.7311889362019448E-3</v>
      </c>
      <c r="AT219" s="82">
        <f t="shared" si="17"/>
        <v>-7.1454357595448492E-3</v>
      </c>
      <c r="AU219" s="82">
        <f t="shared" si="17"/>
        <v>-1.4230725829707747E-2</v>
      </c>
      <c r="AV219" s="82">
        <f t="shared" si="17"/>
        <v>-1.7972068886571213E-2</v>
      </c>
      <c r="AW219" s="82">
        <f t="shared" si="17"/>
        <v>-1.8974471887992284E-2</v>
      </c>
      <c r="AX219" s="82">
        <f t="shared" si="17"/>
        <v>-1.5776827207435562E-2</v>
      </c>
      <c r="AY219" s="82">
        <f t="shared" si="17"/>
        <v>-1.6096795396316477E-2</v>
      </c>
      <c r="AZ219" s="82">
        <f t="shared" si="17"/>
        <v>-1.3088112994042223E-2</v>
      </c>
      <c r="BA219" s="82">
        <f t="shared" si="17"/>
        <v>-6.3407423779856531E-3</v>
      </c>
      <c r="BB219" s="82">
        <f t="shared" si="17"/>
        <v>3.7536493813439264E-4</v>
      </c>
      <c r="BC219" s="82">
        <f t="shared" si="17"/>
        <v>3.7105493558653446E-3</v>
      </c>
      <c r="BD219" s="82">
        <f t="shared" si="17"/>
        <v>4.1260522817900824E-3</v>
      </c>
      <c r="BE219" s="82">
        <f t="shared" si="17"/>
        <v>5.5431455282535236E-3</v>
      </c>
      <c r="BF219" s="82">
        <f t="shared" si="17"/>
        <v>8.4745762711864181E-3</v>
      </c>
      <c r="BG219" s="82">
        <f t="shared" si="17"/>
        <v>7.8594544613961315E-3</v>
      </c>
      <c r="BH219" s="82">
        <f t="shared" si="17"/>
        <v>4.317323259579009E-3</v>
      </c>
      <c r="BI219" s="82">
        <f t="shared" si="17"/>
        <v>4.5674368619021966E-3</v>
      </c>
      <c r="BJ219" s="82">
        <f t="shared" si="17"/>
        <v>2.6477667825621776E-3</v>
      </c>
      <c r="BK219" s="82">
        <f t="shared" si="17"/>
        <v>-5.3348982368195408E-5</v>
      </c>
      <c r="BL219" s="82">
        <f t="shared" si="17"/>
        <v>-1.7606103449195887E-3</v>
      </c>
    </row>
    <row r="220" spans="1:64" x14ac:dyDescent="0.2">
      <c r="A220" s="29" t="s">
        <v>483</v>
      </c>
      <c r="C220" s="82">
        <f>SUM(C$65:C$74,C$165:C$174)/SUM(B$65:B$74,B$165:B$174)-1</f>
        <v>2.6299865009542511E-2</v>
      </c>
      <c r="D220" s="82">
        <f t="shared" ref="D220:BL220" si="18">SUM(D$65:D$74,D$165:D$174)/SUM(C$65:C$74,C$165:C$174)-1</f>
        <v>3.5059869375907216E-2</v>
      </c>
      <c r="E220" s="82">
        <f t="shared" si="18"/>
        <v>3.0038122781648413E-2</v>
      </c>
      <c r="F220" s="82">
        <f t="shared" si="18"/>
        <v>2.9247229489715698E-2</v>
      </c>
      <c r="G220" s="82">
        <f t="shared" si="18"/>
        <v>2.7527486153591907E-2</v>
      </c>
      <c r="H220" s="82">
        <f t="shared" si="18"/>
        <v>1.5044247787610709E-2</v>
      </c>
      <c r="I220" s="82">
        <f t="shared" si="18"/>
        <v>1.6010145042403057E-2</v>
      </c>
      <c r="J220" s="82">
        <f t="shared" si="18"/>
        <v>2.3402761525860072E-2</v>
      </c>
      <c r="K220" s="82">
        <f t="shared" si="18"/>
        <v>2.4144370759966449E-2</v>
      </c>
      <c r="L220" s="82">
        <f t="shared" si="18"/>
        <v>2.9008429004707681E-2</v>
      </c>
      <c r="M220" s="82">
        <f t="shared" si="18"/>
        <v>2.9004375971935836E-2</v>
      </c>
      <c r="N220" s="82">
        <f t="shared" si="18"/>
        <v>2.6886444311671864E-2</v>
      </c>
      <c r="O220" s="82">
        <f t="shared" si="18"/>
        <v>2.0603737422137058E-2</v>
      </c>
      <c r="P220" s="82">
        <f t="shared" si="18"/>
        <v>1.405097250167664E-2</v>
      </c>
      <c r="Q220" s="82">
        <f t="shared" si="18"/>
        <v>9.8217533648599087E-3</v>
      </c>
      <c r="R220" s="82">
        <f t="shared" si="18"/>
        <v>7.4338485721769931E-3</v>
      </c>
      <c r="S220" s="82">
        <f t="shared" si="18"/>
        <v>8.094139063160366E-3</v>
      </c>
      <c r="T220" s="82">
        <f t="shared" si="18"/>
        <v>5.3366438797883831E-3</v>
      </c>
      <c r="U220" s="82">
        <f t="shared" si="18"/>
        <v>3.608371421698342E-3</v>
      </c>
      <c r="V220" s="82">
        <f t="shared" si="18"/>
        <v>3.227868328539385E-3</v>
      </c>
      <c r="W220" s="82">
        <f t="shared" si="18"/>
        <v>-3.3449077761138479E-4</v>
      </c>
      <c r="X220" s="82">
        <f t="shared" si="18"/>
        <v>-3.6009623810965286E-3</v>
      </c>
      <c r="Y220" s="82">
        <f t="shared" si="18"/>
        <v>-5.1651075397777246E-3</v>
      </c>
      <c r="Z220" s="82">
        <f t="shared" si="18"/>
        <v>-5.4330354272487114E-3</v>
      </c>
      <c r="AA220" s="82">
        <f t="shared" si="18"/>
        <v>-7.919319908200495E-3</v>
      </c>
      <c r="AB220" s="82">
        <f t="shared" si="18"/>
        <v>-8.4223901994004979E-3</v>
      </c>
      <c r="AC220" s="82">
        <f t="shared" si="18"/>
        <v>-1.1171899387188433E-2</v>
      </c>
      <c r="AD220" s="82">
        <f t="shared" si="18"/>
        <v>-9.8692408659677433E-3</v>
      </c>
      <c r="AE220" s="82">
        <f t="shared" si="18"/>
        <v>-8.6587350863356338E-3</v>
      </c>
      <c r="AF220" s="82">
        <f t="shared" si="18"/>
        <v>-1.0207017959611986E-2</v>
      </c>
      <c r="AG220" s="82">
        <f t="shared" si="18"/>
        <v>-6.4473099155180069E-3</v>
      </c>
      <c r="AH220" s="82">
        <f t="shared" si="18"/>
        <v>3.4425185465591923E-5</v>
      </c>
      <c r="AI220" s="82">
        <f t="shared" si="18"/>
        <v>5.1636000619632583E-3</v>
      </c>
      <c r="AJ220" s="82">
        <f t="shared" si="18"/>
        <v>1.1575540677066343E-2</v>
      </c>
      <c r="AK220" s="82">
        <f t="shared" si="18"/>
        <v>1.7807871349978743E-2</v>
      </c>
      <c r="AL220" s="82">
        <f t="shared" si="18"/>
        <v>2.1720691203618969E-2</v>
      </c>
      <c r="AM220" s="82">
        <f t="shared" si="18"/>
        <v>2.8518874220695656E-2</v>
      </c>
      <c r="AN220" s="82">
        <f t="shared" si="18"/>
        <v>2.9579805333544318E-2</v>
      </c>
      <c r="AO220" s="82">
        <f t="shared" si="18"/>
        <v>3.4417560795646729E-2</v>
      </c>
      <c r="AP220" s="82">
        <f t="shared" si="18"/>
        <v>3.6749736228136598E-2</v>
      </c>
      <c r="AQ220" s="82">
        <f t="shared" si="18"/>
        <v>3.3125017917037036E-2</v>
      </c>
      <c r="AR220" s="82">
        <f t="shared" si="18"/>
        <v>2.9856958530460442E-2</v>
      </c>
      <c r="AS220" s="82">
        <f t="shared" si="18"/>
        <v>2.5111479340958365E-2</v>
      </c>
      <c r="AT220" s="82">
        <f t="shared" si="18"/>
        <v>2.2091388169739767E-2</v>
      </c>
      <c r="AU220" s="82">
        <f t="shared" si="18"/>
        <v>1.7769434515390703E-2</v>
      </c>
      <c r="AV220" s="82">
        <f t="shared" si="18"/>
        <v>1.1609985345393925E-2</v>
      </c>
      <c r="AW220" s="82">
        <f t="shared" si="18"/>
        <v>3.983765220106239E-3</v>
      </c>
      <c r="AX220" s="82">
        <f t="shared" si="18"/>
        <v>-2.5623802771350679E-3</v>
      </c>
      <c r="AY220" s="82">
        <f t="shared" si="18"/>
        <v>-6.9586471791290849E-3</v>
      </c>
      <c r="AZ220" s="82">
        <f t="shared" si="18"/>
        <v>-1.3939470048976554E-2</v>
      </c>
      <c r="BA220" s="82">
        <f t="shared" si="18"/>
        <v>-1.7638818135506829E-2</v>
      </c>
      <c r="BB220" s="82">
        <f t="shared" si="18"/>
        <v>-1.8707460945096233E-2</v>
      </c>
      <c r="BC220" s="82">
        <f t="shared" si="18"/>
        <v>-1.5497014215504978E-2</v>
      </c>
      <c r="BD220" s="82">
        <f t="shared" si="18"/>
        <v>-1.5794629557562501E-2</v>
      </c>
      <c r="BE220" s="82">
        <f t="shared" si="18"/>
        <v>-1.2843936625671515E-2</v>
      </c>
      <c r="BF220" s="82">
        <f t="shared" si="18"/>
        <v>-6.1049723756906316E-3</v>
      </c>
      <c r="BG220" s="82">
        <f t="shared" si="18"/>
        <v>5.6977681425274262E-4</v>
      </c>
      <c r="BH220" s="82">
        <f t="shared" si="18"/>
        <v>3.8194974930207959E-3</v>
      </c>
      <c r="BI220" s="82">
        <f t="shared" si="18"/>
        <v>4.3445775797659181E-3</v>
      </c>
      <c r="BJ220" s="82">
        <f t="shared" si="18"/>
        <v>5.648316526147612E-3</v>
      </c>
      <c r="BK220" s="82">
        <f t="shared" si="18"/>
        <v>8.5481794021753377E-3</v>
      </c>
      <c r="BL220" s="82">
        <f t="shared" si="18"/>
        <v>7.9595773002634207E-3</v>
      </c>
    </row>
    <row r="221" spans="1:64" x14ac:dyDescent="0.2">
      <c r="A221" s="29" t="s">
        <v>484</v>
      </c>
      <c r="C221" s="82">
        <f>SUM(C$70:C$74,C$170:C$174)/SUM(B$70:B$74,B$170:B$174)-1</f>
        <v>5.829091883203863E-2</v>
      </c>
      <c r="D221" s="82">
        <f t="shared" ref="D221:BL221" si="19">SUM(D$70:D$74,D$170:D$174)/SUM(C$70:C$74,C$170:C$174)-1</f>
        <v>7.2647192831468699E-2</v>
      </c>
      <c r="E221" s="82">
        <f t="shared" si="19"/>
        <v>4.6960543703983282E-2</v>
      </c>
      <c r="F221" s="82">
        <f t="shared" si="19"/>
        <v>4.2014154983545993E-2</v>
      </c>
      <c r="G221" s="82">
        <f t="shared" si="19"/>
        <v>3.1408176508760599E-2</v>
      </c>
      <c r="H221" s="82">
        <f t="shared" si="19"/>
        <v>3.6072312403003792E-3</v>
      </c>
      <c r="I221" s="82">
        <f t="shared" si="19"/>
        <v>7.2721193630627123E-3</v>
      </c>
      <c r="J221" s="82">
        <f t="shared" si="19"/>
        <v>1.7509646902618137E-2</v>
      </c>
      <c r="K221" s="82">
        <f t="shared" si="19"/>
        <v>2.0062798189454778E-2</v>
      </c>
      <c r="L221" s="82">
        <f t="shared" si="19"/>
        <v>2.7543473915650596E-2</v>
      </c>
      <c r="M221" s="82">
        <f t="shared" si="19"/>
        <v>2.9489573607220709E-2</v>
      </c>
      <c r="N221" s="82">
        <f t="shared" si="19"/>
        <v>2.7359987907187744E-2</v>
      </c>
      <c r="O221" s="82">
        <f t="shared" si="19"/>
        <v>2.8985507246376718E-2</v>
      </c>
      <c r="P221" s="82">
        <f t="shared" si="19"/>
        <v>2.6596124973189417E-2</v>
      </c>
      <c r="Q221" s="82">
        <f t="shared" si="19"/>
        <v>2.7752629013162444E-2</v>
      </c>
      <c r="R221" s="82">
        <f t="shared" si="19"/>
        <v>2.5986786379806892E-2</v>
      </c>
      <c r="S221" s="82">
        <f t="shared" si="19"/>
        <v>2.4536028003434351E-2</v>
      </c>
      <c r="T221" s="82">
        <f t="shared" si="19"/>
        <v>1.211925866236907E-2</v>
      </c>
      <c r="U221" s="82">
        <f t="shared" si="19"/>
        <v>2.4203050858253583E-3</v>
      </c>
      <c r="V221" s="82">
        <f t="shared" si="19"/>
        <v>-6.322076436763302E-3</v>
      </c>
      <c r="W221" s="82">
        <f t="shared" si="19"/>
        <v>-9.2716925634631631E-3</v>
      </c>
      <c r="X221" s="82">
        <f t="shared" si="19"/>
        <v>-7.1640635084548876E-3</v>
      </c>
      <c r="Y221" s="82">
        <f t="shared" si="19"/>
        <v>-8.1258532145878082E-4</v>
      </c>
      <c r="Z221" s="82">
        <f t="shared" si="19"/>
        <v>5.3023649198138401E-3</v>
      </c>
      <c r="AA221" s="82">
        <f t="shared" si="19"/>
        <v>1.3396324100440005E-2</v>
      </c>
      <c r="AB221" s="82">
        <f t="shared" si="19"/>
        <v>8.8766843348873081E-3</v>
      </c>
      <c r="AC221" s="82">
        <f t="shared" si="19"/>
        <v>2.2154703126986419E-4</v>
      </c>
      <c r="AD221" s="82">
        <f t="shared" si="19"/>
        <v>-8.7649906654431176E-3</v>
      </c>
      <c r="AE221" s="82">
        <f t="shared" si="19"/>
        <v>-1.5354657473025557E-2</v>
      </c>
      <c r="AF221" s="82">
        <f t="shared" si="19"/>
        <v>-2.8529745501702064E-2</v>
      </c>
      <c r="AG221" s="82">
        <f t="shared" si="19"/>
        <v>-2.5730018354747197E-2</v>
      </c>
      <c r="AH221" s="82">
        <f t="shared" si="19"/>
        <v>-2.2710145920394553E-2</v>
      </c>
      <c r="AI221" s="82">
        <f t="shared" si="19"/>
        <v>-1.0620027338684279E-2</v>
      </c>
      <c r="AJ221" s="82">
        <f t="shared" si="19"/>
        <v>-8.1479382173732517E-4</v>
      </c>
      <c r="AK221" s="82">
        <f t="shared" si="19"/>
        <v>1.0175500797730885E-2</v>
      </c>
      <c r="AL221" s="82">
        <f t="shared" si="19"/>
        <v>1.4003930927979802E-2</v>
      </c>
      <c r="AM221" s="82">
        <f t="shared" si="19"/>
        <v>2.3086774428022538E-2</v>
      </c>
      <c r="AN221" s="82">
        <f t="shared" si="19"/>
        <v>2.0468231950740989E-2</v>
      </c>
      <c r="AO221" s="82">
        <f t="shared" si="19"/>
        <v>2.3273547060968847E-2</v>
      </c>
      <c r="AP221" s="82">
        <f t="shared" si="19"/>
        <v>2.4914952211242403E-2</v>
      </c>
      <c r="AQ221" s="82">
        <f t="shared" si="19"/>
        <v>2.8545236138332264E-2</v>
      </c>
      <c r="AR221" s="82">
        <f t="shared" si="19"/>
        <v>3.3377385745459121E-2</v>
      </c>
      <c r="AS221" s="82">
        <f t="shared" si="19"/>
        <v>3.7533831008535801E-2</v>
      </c>
      <c r="AT221" s="82">
        <f t="shared" si="19"/>
        <v>4.394438870574735E-2</v>
      </c>
      <c r="AU221" s="82">
        <f t="shared" si="19"/>
        <v>4.6625295183700288E-2</v>
      </c>
      <c r="AV221" s="82">
        <f t="shared" si="19"/>
        <v>3.6887396368978864E-2</v>
      </c>
      <c r="AW221" s="82">
        <f t="shared" si="19"/>
        <v>2.6972319214614737E-2</v>
      </c>
      <c r="AX221" s="82">
        <f t="shared" si="19"/>
        <v>1.4881245688380895E-2</v>
      </c>
      <c r="AY221" s="82">
        <f t="shared" si="19"/>
        <v>3.7385900174791153E-3</v>
      </c>
      <c r="AZ221" s="82">
        <f t="shared" si="19"/>
        <v>-7.3042132249794278E-3</v>
      </c>
      <c r="BA221" s="82">
        <f t="shared" si="19"/>
        <v>-1.1499853815417627E-2</v>
      </c>
      <c r="BB221" s="82">
        <f t="shared" si="19"/>
        <v>-1.8091294488809972E-2</v>
      </c>
      <c r="BC221" s="82">
        <f t="shared" si="19"/>
        <v>-2.0006024398815159E-2</v>
      </c>
      <c r="BD221" s="82">
        <f t="shared" si="19"/>
        <v>-1.7827412207679139E-2</v>
      </c>
      <c r="BE221" s="82">
        <f t="shared" si="19"/>
        <v>-2.0732820445951261E-2</v>
      </c>
      <c r="BF221" s="82">
        <f t="shared" si="19"/>
        <v>-2.3968042609853524E-2</v>
      </c>
      <c r="BG221" s="82">
        <f t="shared" si="19"/>
        <v>-1.9017735334242891E-2</v>
      </c>
      <c r="BH221" s="82">
        <f t="shared" si="19"/>
        <v>-1.0207771256918741E-2</v>
      </c>
      <c r="BI221" s="82">
        <f t="shared" si="19"/>
        <v>-1.320744112853367E-2</v>
      </c>
      <c r="BJ221" s="82">
        <f t="shared" si="19"/>
        <v>-3.9583096024604636E-3</v>
      </c>
      <c r="BK221" s="82">
        <f t="shared" si="19"/>
        <v>1.3151499556851576E-2</v>
      </c>
      <c r="BL221" s="82">
        <f t="shared" si="19"/>
        <v>2.0882128848378922E-2</v>
      </c>
    </row>
    <row r="222" spans="1:64" x14ac:dyDescent="0.2">
      <c r="A222" s="29" t="s">
        <v>458</v>
      </c>
      <c r="C222" s="82">
        <f>SUM(C$75:C$100,C$175:C$200)/SUM(B$75:B$100,B$175:B$200)-1</f>
        <v>2.6718527060571207E-2</v>
      </c>
      <c r="D222" s="82">
        <f t="shared" ref="D222:BL222" si="20">SUM(D$75:D$100,D$175:D$200)/SUM(C$75:C$100,C$175:C$200)-1</f>
        <v>1.8522748905387409E-2</v>
      </c>
      <c r="E222" s="82">
        <f t="shared" si="20"/>
        <v>2.4877109694783517E-2</v>
      </c>
      <c r="F222" s="82">
        <f t="shared" si="20"/>
        <v>2.755589597694863E-2</v>
      </c>
      <c r="G222" s="82">
        <f t="shared" si="20"/>
        <v>2.9461354157423125E-2</v>
      </c>
      <c r="H222" s="82">
        <f t="shared" si="20"/>
        <v>3.9513835014223009E-2</v>
      </c>
      <c r="I222" s="82">
        <f t="shared" si="20"/>
        <v>3.8177687115445114E-2</v>
      </c>
      <c r="J222" s="82">
        <f t="shared" si="20"/>
        <v>3.8978258438633118E-2</v>
      </c>
      <c r="K222" s="82">
        <f t="shared" si="20"/>
        <v>3.6854810190808607E-2</v>
      </c>
      <c r="L222" s="82">
        <f t="shared" si="20"/>
        <v>3.5559641734385306E-2</v>
      </c>
      <c r="M222" s="82">
        <f t="shared" si="20"/>
        <v>3.5340951399031928E-2</v>
      </c>
      <c r="N222" s="82">
        <f t="shared" si="20"/>
        <v>3.4425050482697506E-2</v>
      </c>
      <c r="O222" s="82">
        <f t="shared" si="20"/>
        <v>3.5071064700298082E-2</v>
      </c>
      <c r="P222" s="82">
        <f t="shared" si="20"/>
        <v>3.448988555041721E-2</v>
      </c>
      <c r="Q222" s="82">
        <f t="shared" si="20"/>
        <v>3.4738524549223326E-2</v>
      </c>
      <c r="R222" s="82">
        <f t="shared" si="20"/>
        <v>3.4549755026186846E-2</v>
      </c>
      <c r="S222" s="82">
        <f t="shared" si="20"/>
        <v>3.3092652427999969E-2</v>
      </c>
      <c r="T222" s="82">
        <f t="shared" si="20"/>
        <v>3.4426303547636872E-2</v>
      </c>
      <c r="U222" s="82">
        <f t="shared" si="20"/>
        <v>3.362986410522284E-2</v>
      </c>
      <c r="V222" s="82">
        <f t="shared" si="20"/>
        <v>3.4383712089211871E-2</v>
      </c>
      <c r="W222" s="82">
        <f t="shared" si="20"/>
        <v>3.3751225089839965E-2</v>
      </c>
      <c r="X222" s="82">
        <f t="shared" si="20"/>
        <v>3.2027099093405065E-2</v>
      </c>
      <c r="Y222" s="82">
        <f t="shared" si="20"/>
        <v>2.947340216840022E-2</v>
      </c>
      <c r="Z222" s="82">
        <f t="shared" si="20"/>
        <v>2.582240358427601E-2</v>
      </c>
      <c r="AA222" s="82">
        <f t="shared" si="20"/>
        <v>2.404878623401796E-2</v>
      </c>
      <c r="AB222" s="82">
        <f t="shared" si="20"/>
        <v>2.3006202826223454E-2</v>
      </c>
      <c r="AC222" s="82">
        <f t="shared" si="20"/>
        <v>2.2333128627403553E-2</v>
      </c>
      <c r="AD222" s="82">
        <f t="shared" si="20"/>
        <v>2.2022928211853365E-2</v>
      </c>
      <c r="AE222" s="82">
        <f t="shared" si="20"/>
        <v>2.0439080117220509E-2</v>
      </c>
      <c r="AF222" s="82">
        <f t="shared" si="20"/>
        <v>2.092206348820036E-2</v>
      </c>
      <c r="AG222" s="82">
        <f t="shared" si="20"/>
        <v>1.9055035519603303E-2</v>
      </c>
      <c r="AH222" s="82">
        <f t="shared" si="20"/>
        <v>1.634384454633353E-2</v>
      </c>
      <c r="AI222" s="82">
        <f t="shared" si="20"/>
        <v>1.3978824612551843E-2</v>
      </c>
      <c r="AJ222" s="82">
        <f t="shared" si="20"/>
        <v>1.1432938363523659E-2</v>
      </c>
      <c r="AK222" s="82">
        <f t="shared" si="20"/>
        <v>9.0893448938829113E-3</v>
      </c>
      <c r="AL222" s="82">
        <f t="shared" si="20"/>
        <v>8.5404187177511304E-3</v>
      </c>
      <c r="AM222" s="82">
        <f t="shared" si="20"/>
        <v>7.2111143781241616E-3</v>
      </c>
      <c r="AN222" s="82">
        <f t="shared" si="20"/>
        <v>7.7725312178424932E-3</v>
      </c>
      <c r="AO222" s="82">
        <f t="shared" si="20"/>
        <v>7.5749894992975797E-3</v>
      </c>
      <c r="AP222" s="82">
        <f t="shared" si="20"/>
        <v>7.8342868642726771E-3</v>
      </c>
      <c r="AQ222" s="82">
        <f t="shared" si="20"/>
        <v>7.9588081756072349E-3</v>
      </c>
      <c r="AR222" s="82">
        <f t="shared" si="20"/>
        <v>8.6954676024848521E-3</v>
      </c>
      <c r="AS222" s="82">
        <f t="shared" si="20"/>
        <v>9.0062917786022378E-3</v>
      </c>
      <c r="AT222" s="82">
        <f t="shared" si="20"/>
        <v>9.5306949551967612E-3</v>
      </c>
      <c r="AU222" s="82">
        <f t="shared" si="20"/>
        <v>1.0088003195108275E-2</v>
      </c>
      <c r="AV222" s="82">
        <f t="shared" si="20"/>
        <v>1.143932318474028E-2</v>
      </c>
      <c r="AW222" s="82">
        <f t="shared" si="20"/>
        <v>1.3291544501735642E-2</v>
      </c>
      <c r="AX222" s="82">
        <f t="shared" si="20"/>
        <v>1.4746868701650317E-2</v>
      </c>
      <c r="AY222" s="82">
        <f t="shared" si="20"/>
        <v>1.6990704930712974E-2</v>
      </c>
      <c r="AZ222" s="82">
        <f t="shared" si="20"/>
        <v>1.8717852861175999E-2</v>
      </c>
      <c r="BA222" s="82">
        <f t="shared" si="20"/>
        <v>1.7950015817779219E-2</v>
      </c>
      <c r="BB222" s="82">
        <f t="shared" si="20"/>
        <v>1.7589985517785678E-2</v>
      </c>
      <c r="BC222" s="82">
        <f t="shared" si="20"/>
        <v>1.6217008618530704E-2</v>
      </c>
      <c r="BD222" s="82">
        <f t="shared" si="20"/>
        <v>1.5633640276007998E-2</v>
      </c>
      <c r="BE222" s="82">
        <f t="shared" si="20"/>
        <v>1.4736082095956116E-2</v>
      </c>
      <c r="BF222" s="82">
        <f t="shared" si="20"/>
        <v>1.3244839994634328E-2</v>
      </c>
      <c r="BG222" s="82">
        <f t="shared" si="20"/>
        <v>1.1776624034443461E-2</v>
      </c>
      <c r="BH222" s="82">
        <f t="shared" si="20"/>
        <v>1.0177494595517089E-2</v>
      </c>
      <c r="BI222" s="82">
        <f t="shared" si="20"/>
        <v>1.0604328458233114E-2</v>
      </c>
      <c r="BJ222" s="82">
        <f t="shared" si="20"/>
        <v>9.2782471078616258E-3</v>
      </c>
      <c r="BK222" s="82">
        <f t="shared" si="20"/>
        <v>7.5420860548705004E-3</v>
      </c>
      <c r="BL222" s="82">
        <f t="shared" si="20"/>
        <v>7.2938301102021263E-3</v>
      </c>
    </row>
    <row r="223" spans="1:64" x14ac:dyDescent="0.2">
      <c r="A223" s="29" t="s">
        <v>1320</v>
      </c>
      <c r="C223" s="82">
        <f>SUM(C$70:C$100,C$170:C$200)/SUM(B$70:B$100,B$170:B$200)-1</f>
        <v>3.515781634874271E-2</v>
      </c>
      <c r="D223" s="82">
        <f t="shared" ref="D223:BL223" si="21">SUM(D$70:D$100,D$170:D$200)/SUM(C$70:C$100,C$170:C$200)-1</f>
        <v>3.331350386674603E-2</v>
      </c>
      <c r="E223" s="82">
        <f t="shared" si="21"/>
        <v>3.1141636877267675E-2</v>
      </c>
      <c r="F223" s="82">
        <f t="shared" si="21"/>
        <v>3.1720269550878477E-2</v>
      </c>
      <c r="G223" s="82">
        <f t="shared" si="21"/>
        <v>3.0027686886483718E-2</v>
      </c>
      <c r="H223" s="82">
        <f t="shared" si="21"/>
        <v>2.905456589204114E-2</v>
      </c>
      <c r="I223" s="82">
        <f t="shared" si="21"/>
        <v>2.939779635258355E-2</v>
      </c>
      <c r="J223" s="82">
        <f t="shared" si="21"/>
        <v>3.3010380622837454E-2</v>
      </c>
      <c r="K223" s="82">
        <f t="shared" si="21"/>
        <v>3.2256983988745214E-2</v>
      </c>
      <c r="L223" s="82">
        <f t="shared" si="21"/>
        <v>3.3390660998799282E-2</v>
      </c>
      <c r="M223" s="82">
        <f t="shared" si="21"/>
        <v>3.3766668760074614E-2</v>
      </c>
      <c r="N223" s="82">
        <f t="shared" si="21"/>
        <v>3.2532096715402359E-2</v>
      </c>
      <c r="O223" s="82">
        <f t="shared" si="21"/>
        <v>3.3448718828755553E-2</v>
      </c>
      <c r="P223" s="82">
        <f t="shared" si="21"/>
        <v>3.2394580028086706E-2</v>
      </c>
      <c r="Q223" s="82">
        <f t="shared" si="21"/>
        <v>3.2894615907795854E-2</v>
      </c>
      <c r="R223" s="82">
        <f t="shared" si="21"/>
        <v>3.2300833770833037E-2</v>
      </c>
      <c r="S223" s="82">
        <f t="shared" si="21"/>
        <v>3.0859142667505557E-2</v>
      </c>
      <c r="T223" s="82">
        <f t="shared" si="21"/>
        <v>2.8639278875500773E-2</v>
      </c>
      <c r="U223" s="82">
        <f t="shared" si="21"/>
        <v>2.5663328347532044E-2</v>
      </c>
      <c r="V223" s="82">
        <f t="shared" si="21"/>
        <v>2.4228638456722074E-2</v>
      </c>
      <c r="W223" s="82">
        <f t="shared" si="21"/>
        <v>2.3338234156155657E-2</v>
      </c>
      <c r="X223" s="82">
        <f t="shared" si="21"/>
        <v>2.2843791116555545E-2</v>
      </c>
      <c r="Y223" s="82">
        <f t="shared" si="21"/>
        <v>2.2584961594476205E-2</v>
      </c>
      <c r="Z223" s="82">
        <f t="shared" si="21"/>
        <v>2.1261982909443145E-2</v>
      </c>
      <c r="AA223" s="82">
        <f t="shared" si="21"/>
        <v>2.1718355124838107E-2</v>
      </c>
      <c r="AB223" s="82">
        <f t="shared" si="21"/>
        <v>1.9940276170746341E-2</v>
      </c>
      <c r="AC223" s="82">
        <f t="shared" si="21"/>
        <v>1.7587239910603403E-2</v>
      </c>
      <c r="AD223" s="82">
        <f t="shared" si="21"/>
        <v>1.5527577137211424E-2</v>
      </c>
      <c r="AE223" s="82">
        <f t="shared" si="21"/>
        <v>1.3068286397938556E-2</v>
      </c>
      <c r="AF223" s="82">
        <f t="shared" si="21"/>
        <v>1.1024449750830501E-2</v>
      </c>
      <c r="AG223" s="82">
        <f t="shared" si="21"/>
        <v>1.044213823157536E-2</v>
      </c>
      <c r="AH223" s="82">
        <f t="shared" si="21"/>
        <v>9.1019957062463686E-3</v>
      </c>
      <c r="AI223" s="82">
        <f t="shared" si="21"/>
        <v>9.5612163327478683E-3</v>
      </c>
      <c r="AJ223" s="82">
        <f t="shared" si="21"/>
        <v>9.2773863707213966E-3</v>
      </c>
      <c r="AK223" s="82">
        <f t="shared" si="21"/>
        <v>9.2785925202929498E-3</v>
      </c>
      <c r="AL223" s="82">
        <f t="shared" si="21"/>
        <v>9.4932060227690407E-3</v>
      </c>
      <c r="AM223" s="82">
        <f t="shared" si="21"/>
        <v>9.9920572845613176E-3</v>
      </c>
      <c r="AN223" s="82">
        <f t="shared" si="21"/>
        <v>1.0025273293752468E-2</v>
      </c>
      <c r="AO223" s="82">
        <f t="shared" si="21"/>
        <v>1.0389363384031958E-2</v>
      </c>
      <c r="AP223" s="82">
        <f t="shared" si="21"/>
        <v>1.0935487096831231E-2</v>
      </c>
      <c r="AQ223" s="82">
        <f t="shared" si="21"/>
        <v>1.1748207801880683E-2</v>
      </c>
      <c r="AR223" s="82">
        <f t="shared" si="21"/>
        <v>1.3314162473041069E-2</v>
      </c>
      <c r="AS223" s="82">
        <f t="shared" si="21"/>
        <v>1.4450309325160449E-2</v>
      </c>
      <c r="AT223" s="82">
        <f t="shared" si="21"/>
        <v>1.6247426371855722E-2</v>
      </c>
      <c r="AU223" s="82">
        <f t="shared" si="21"/>
        <v>1.7413565293988187E-2</v>
      </c>
      <c r="AV223" s="82">
        <f t="shared" si="21"/>
        <v>1.6688040778558788E-2</v>
      </c>
      <c r="AW223" s="82">
        <f t="shared" si="21"/>
        <v>1.6169293245408056E-2</v>
      </c>
      <c r="AX223" s="82">
        <f t="shared" si="21"/>
        <v>1.477543538038506E-2</v>
      </c>
      <c r="AY223" s="82">
        <f t="shared" si="21"/>
        <v>1.4173195833720342E-2</v>
      </c>
      <c r="AZ223" s="82">
        <f t="shared" si="21"/>
        <v>1.3242269405370211E-2</v>
      </c>
      <c r="BA223" s="82">
        <f t="shared" si="21"/>
        <v>1.1878811013892987E-2</v>
      </c>
      <c r="BB223" s="82">
        <f t="shared" si="21"/>
        <v>1.0404102075360244E-2</v>
      </c>
      <c r="BC223" s="82">
        <f t="shared" si="21"/>
        <v>9.1277541696348496E-3</v>
      </c>
      <c r="BD223" s="82">
        <f t="shared" si="21"/>
        <v>9.2739992113448633E-3</v>
      </c>
      <c r="BE223" s="82">
        <f t="shared" si="21"/>
        <v>8.1758458021010672E-3</v>
      </c>
      <c r="BF223" s="82">
        <f t="shared" si="21"/>
        <v>6.5594006114453318E-3</v>
      </c>
      <c r="BG223" s="82">
        <f t="shared" si="21"/>
        <v>6.4120845691688633E-3</v>
      </c>
      <c r="BH223" s="82">
        <f t="shared" si="21"/>
        <v>6.716005535273295E-3</v>
      </c>
      <c r="BI223" s="82">
        <f t="shared" si="21"/>
        <v>6.628978912059269E-3</v>
      </c>
      <c r="BJ223" s="82">
        <f t="shared" si="21"/>
        <v>7.1119645054249503E-3</v>
      </c>
      <c r="BK223" s="82">
        <f t="shared" si="21"/>
        <v>8.4500263774098805E-3</v>
      </c>
      <c r="BL223" s="82">
        <f t="shared" si="21"/>
        <v>9.5034875183552803E-3</v>
      </c>
    </row>
  </sheetData>
  <hyperlinks>
    <hyperlink ref="E3" r:id="rId1"/>
    <hyperlink ref="E2"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6"/>
  <sheetViews>
    <sheetView zoomScale="90" zoomScaleNormal="90" workbookViewId="0">
      <selection activeCell="A5" sqref="A5"/>
    </sheetView>
  </sheetViews>
  <sheetFormatPr defaultColWidth="8.7109375" defaultRowHeight="12.75" x14ac:dyDescent="0.2"/>
  <cols>
    <col min="1" max="2" width="10.7109375" style="29" customWidth="1"/>
    <col min="3" max="10" width="8.7109375" style="29"/>
    <col min="11" max="11" width="8.7109375" style="29" customWidth="1"/>
    <col min="12" max="16384" width="8.7109375" style="29"/>
  </cols>
  <sheetData>
    <row r="1" spans="1:59" ht="15.75" x14ac:dyDescent="0.25">
      <c r="A1" s="60" t="s">
        <v>1203</v>
      </c>
    </row>
    <row r="2" spans="1:59" ht="15" x14ac:dyDescent="0.25">
      <c r="A2" s="72" t="s">
        <v>1204</v>
      </c>
      <c r="G2"/>
      <c r="H2" s="75" t="s">
        <v>1205</v>
      </c>
      <c r="J2"/>
      <c r="L2" s="75"/>
      <c r="M2" s="72"/>
      <c r="N2"/>
      <c r="O2"/>
      <c r="P2"/>
      <c r="Q2" s="72" t="s">
        <v>1206</v>
      </c>
      <c r="S2"/>
      <c r="T2"/>
      <c r="U2"/>
    </row>
    <row r="3" spans="1:59" ht="15" x14ac:dyDescent="0.25">
      <c r="A3" s="72" t="s">
        <v>1207</v>
      </c>
      <c r="J3" s="75"/>
      <c r="S3" s="72"/>
    </row>
    <row r="4" spans="1:59" x14ac:dyDescent="0.2">
      <c r="A4" s="76" t="s">
        <v>1208</v>
      </c>
      <c r="F4" s="78" t="s">
        <v>1209</v>
      </c>
      <c r="G4" s="78" t="s">
        <v>1210</v>
      </c>
      <c r="H4" s="78" t="s">
        <v>1211</v>
      </c>
      <c r="I4" s="78" t="s">
        <v>1212</v>
      </c>
      <c r="J4" s="78" t="s">
        <v>1213</v>
      </c>
      <c r="K4" s="78" t="s">
        <v>1214</v>
      </c>
      <c r="L4" s="78" t="s">
        <v>1215</v>
      </c>
      <c r="M4" s="78" t="s">
        <v>1216</v>
      </c>
      <c r="N4" s="78" t="s">
        <v>1217</v>
      </c>
      <c r="O4" s="78" t="s">
        <v>1218</v>
      </c>
      <c r="P4" s="78" t="s">
        <v>1219</v>
      </c>
      <c r="Q4" s="78" t="s">
        <v>1220</v>
      </c>
      <c r="R4" s="78" t="s">
        <v>1221</v>
      </c>
      <c r="S4" s="78" t="s">
        <v>1222</v>
      </c>
      <c r="T4" s="78" t="s">
        <v>1223</v>
      </c>
      <c r="U4" s="78" t="s">
        <v>1224</v>
      </c>
      <c r="V4" s="78" t="s">
        <v>1225</v>
      </c>
      <c r="W4" s="78" t="s">
        <v>1226</v>
      </c>
      <c r="X4" s="78" t="s">
        <v>1227</v>
      </c>
      <c r="Y4" s="78" t="s">
        <v>1228</v>
      </c>
      <c r="Z4" s="78" t="s">
        <v>1229</v>
      </c>
      <c r="AA4" s="78" t="s">
        <v>1230</v>
      </c>
      <c r="AB4" s="78" t="s">
        <v>1231</v>
      </c>
      <c r="AC4" s="78" t="s">
        <v>1232</v>
      </c>
      <c r="AD4" s="78" t="s">
        <v>1233</v>
      </c>
      <c r="AE4" s="78" t="s">
        <v>1234</v>
      </c>
      <c r="AF4" s="78" t="s">
        <v>1235</v>
      </c>
      <c r="AG4" s="78" t="s">
        <v>1236</v>
      </c>
      <c r="AH4" s="78" t="s">
        <v>1237</v>
      </c>
      <c r="AI4" s="78" t="s">
        <v>1238</v>
      </c>
      <c r="AJ4" s="78" t="s">
        <v>1239</v>
      </c>
      <c r="AK4" s="78" t="s">
        <v>1240</v>
      </c>
      <c r="AL4" s="78" t="s">
        <v>1241</v>
      </c>
      <c r="AM4" s="78" t="s">
        <v>1242</v>
      </c>
      <c r="AN4" s="78" t="s">
        <v>1243</v>
      </c>
      <c r="AO4" s="78" t="s">
        <v>1244</v>
      </c>
      <c r="AP4" s="78" t="s">
        <v>1245</v>
      </c>
      <c r="AQ4" s="78" t="s">
        <v>1246</v>
      </c>
      <c r="AR4" s="78" t="s">
        <v>1247</v>
      </c>
      <c r="AS4" s="78" t="s">
        <v>1248</v>
      </c>
      <c r="AT4" s="78" t="s">
        <v>1249</v>
      </c>
      <c r="AU4" s="78" t="s">
        <v>1250</v>
      </c>
      <c r="AV4" s="78" t="s">
        <v>1251</v>
      </c>
      <c r="AW4" s="78" t="s">
        <v>1252</v>
      </c>
      <c r="AX4" s="78" t="s">
        <v>1253</v>
      </c>
      <c r="AY4" s="78" t="s">
        <v>1254</v>
      </c>
      <c r="AZ4" s="78" t="s">
        <v>1255</v>
      </c>
      <c r="BA4" s="78" t="s">
        <v>1256</v>
      </c>
      <c r="BB4" s="78" t="s">
        <v>1257</v>
      </c>
      <c r="BC4" s="78" t="s">
        <v>1258</v>
      </c>
      <c r="BD4" s="78" t="s">
        <v>1259</v>
      </c>
      <c r="BE4" s="78" t="s">
        <v>1260</v>
      </c>
      <c r="BF4" s="78" t="s">
        <v>1261</v>
      </c>
      <c r="BG4" s="78" t="s">
        <v>1262</v>
      </c>
    </row>
    <row r="5" spans="1:59" x14ac:dyDescent="0.2">
      <c r="F5" s="79">
        <v>2015</v>
      </c>
      <c r="G5" s="79">
        <v>2016</v>
      </c>
      <c r="H5" s="79">
        <v>2017</v>
      </c>
      <c r="I5" s="79">
        <v>2018</v>
      </c>
      <c r="J5" s="79">
        <v>2019</v>
      </c>
      <c r="K5" s="79">
        <v>2020</v>
      </c>
      <c r="L5" s="79">
        <v>2021</v>
      </c>
      <c r="M5" s="79">
        <v>2022</v>
      </c>
      <c r="N5" s="79">
        <v>2023</v>
      </c>
      <c r="O5" s="79">
        <v>2024</v>
      </c>
      <c r="P5" s="79">
        <v>2025</v>
      </c>
      <c r="Q5" s="79">
        <v>2026</v>
      </c>
      <c r="R5" s="79">
        <v>2027</v>
      </c>
      <c r="S5" s="79">
        <v>2028</v>
      </c>
      <c r="T5" s="79">
        <v>2029</v>
      </c>
      <c r="U5" s="79">
        <v>2030</v>
      </c>
      <c r="V5" s="79">
        <v>2031</v>
      </c>
      <c r="W5" s="79">
        <v>2032</v>
      </c>
      <c r="X5" s="79">
        <v>2033</v>
      </c>
      <c r="Y5" s="79">
        <v>2034</v>
      </c>
      <c r="Z5" s="79">
        <v>2035</v>
      </c>
      <c r="AA5" s="79">
        <v>2036</v>
      </c>
      <c r="AB5" s="79">
        <v>2037</v>
      </c>
      <c r="AC5" s="79">
        <v>2038</v>
      </c>
      <c r="AD5" s="79">
        <v>2039</v>
      </c>
      <c r="AE5" s="79">
        <v>2040</v>
      </c>
      <c r="AF5" s="79">
        <v>2041</v>
      </c>
      <c r="AG5" s="79">
        <v>2042</v>
      </c>
      <c r="AH5" s="79">
        <v>2043</v>
      </c>
      <c r="AI5" s="79">
        <v>2044</v>
      </c>
      <c r="AJ5" s="79">
        <v>2045</v>
      </c>
      <c r="AK5" s="79">
        <v>2046</v>
      </c>
      <c r="AL5" s="79">
        <v>2047</v>
      </c>
      <c r="AM5" s="79">
        <v>2048</v>
      </c>
      <c r="AN5" s="79">
        <v>2049</v>
      </c>
      <c r="AO5" s="79">
        <v>2050</v>
      </c>
      <c r="AP5" s="79">
        <v>2051</v>
      </c>
      <c r="AQ5" s="79">
        <v>2052</v>
      </c>
      <c r="AR5" s="79">
        <v>2053</v>
      </c>
      <c r="AS5" s="79">
        <v>2054</v>
      </c>
      <c r="AT5" s="79">
        <v>2055</v>
      </c>
      <c r="AU5" s="79">
        <v>2056</v>
      </c>
      <c r="AV5" s="79">
        <v>2057</v>
      </c>
      <c r="AW5" s="79">
        <v>2058</v>
      </c>
      <c r="AX5" s="79">
        <v>2059</v>
      </c>
      <c r="AY5" s="79">
        <v>2060</v>
      </c>
      <c r="AZ5" s="79">
        <v>2061</v>
      </c>
      <c r="BA5" s="79">
        <v>2062</v>
      </c>
      <c r="BB5" s="79">
        <v>2063</v>
      </c>
      <c r="BC5" s="79">
        <v>2064</v>
      </c>
      <c r="BD5" s="79">
        <v>2065</v>
      </c>
      <c r="BE5" s="79">
        <v>2066</v>
      </c>
      <c r="BF5" s="79">
        <v>2067</v>
      </c>
      <c r="BG5" s="79">
        <v>2068</v>
      </c>
    </row>
    <row r="6" spans="1:59" x14ac:dyDescent="0.2">
      <c r="A6" s="76" t="s">
        <v>80</v>
      </c>
      <c r="F6" s="80">
        <f>SUM(F$10:F$75,F$80:F$145)/1000000</f>
        <v>2.496078909963813</v>
      </c>
      <c r="G6" s="80">
        <f t="shared" ref="G6:BG6" si="0">SUM(G$10:G$75,G$80:G$145)/1000000</f>
        <v>2.5615863834733497</v>
      </c>
      <c r="H6" s="80">
        <f t="shared" si="0"/>
        <v>2.6203493838177665</v>
      </c>
      <c r="I6" s="80">
        <f t="shared" si="0"/>
        <v>2.6720120295577461</v>
      </c>
      <c r="J6" s="80">
        <f t="shared" si="0"/>
        <v>2.7165019439014677</v>
      </c>
      <c r="K6" s="80">
        <f t="shared" si="0"/>
        <v>2.7536932237734955</v>
      </c>
      <c r="L6" s="80">
        <f t="shared" si="0"/>
        <v>2.7839905683501698</v>
      </c>
      <c r="M6" s="80">
        <f t="shared" si="0"/>
        <v>2.8075647723571873</v>
      </c>
      <c r="N6" s="80">
        <f t="shared" si="0"/>
        <v>2.8308145178021773</v>
      </c>
      <c r="O6" s="80">
        <f t="shared" si="0"/>
        <v>2.8537820314441156</v>
      </c>
      <c r="P6" s="80">
        <f t="shared" si="0"/>
        <v>2.8768055685479275</v>
      </c>
      <c r="Q6" s="80">
        <f t="shared" si="0"/>
        <v>2.898806221868409</v>
      </c>
      <c r="R6" s="80">
        <f t="shared" si="0"/>
        <v>2.920153317876478</v>
      </c>
      <c r="S6" s="80">
        <f t="shared" si="0"/>
        <v>2.940543393222538</v>
      </c>
      <c r="T6" s="80">
        <f t="shared" si="0"/>
        <v>2.9597557807875789</v>
      </c>
      <c r="U6" s="80">
        <f t="shared" si="0"/>
        <v>2.9782479103099844</v>
      </c>
      <c r="V6" s="80">
        <f t="shared" si="0"/>
        <v>2.9957307725882552</v>
      </c>
      <c r="W6" s="80">
        <f t="shared" si="0"/>
        <v>3.0125213324070081</v>
      </c>
      <c r="X6" s="80">
        <f t="shared" si="0"/>
        <v>3.0289123803191473</v>
      </c>
      <c r="Y6" s="80">
        <f t="shared" si="0"/>
        <v>3.0450662125816734</v>
      </c>
      <c r="Z6" s="80">
        <f t="shared" si="0"/>
        <v>3.0612875673270437</v>
      </c>
      <c r="AA6" s="80">
        <f t="shared" si="0"/>
        <v>3.0774306141461989</v>
      </c>
      <c r="AB6" s="80">
        <f t="shared" si="0"/>
        <v>3.093845415109207</v>
      </c>
      <c r="AC6" s="80">
        <f t="shared" si="0"/>
        <v>3.1103763077427549</v>
      </c>
      <c r="AD6" s="80">
        <f t="shared" si="0"/>
        <v>3.127208983977023</v>
      </c>
      <c r="AE6" s="80">
        <f t="shared" si="0"/>
        <v>3.1445206590731378</v>
      </c>
      <c r="AF6" s="80">
        <f t="shared" si="0"/>
        <v>3.1620158107166958</v>
      </c>
      <c r="AG6" s="80">
        <f t="shared" si="0"/>
        <v>3.1794606584010352</v>
      </c>
      <c r="AH6" s="80">
        <f t="shared" si="0"/>
        <v>3.1968003782640495</v>
      </c>
      <c r="AI6" s="80">
        <f t="shared" si="0"/>
        <v>3.2139662469397807</v>
      </c>
      <c r="AJ6" s="80">
        <f t="shared" si="0"/>
        <v>3.2307444275825152</v>
      </c>
      <c r="AK6" s="80">
        <f t="shared" si="0"/>
        <v>3.2469322332011492</v>
      </c>
      <c r="AL6" s="80">
        <f t="shared" si="0"/>
        <v>3.2626532023976558</v>
      </c>
      <c r="AM6" s="80">
        <f t="shared" si="0"/>
        <v>3.2776328996956092</v>
      </c>
      <c r="AN6" s="80">
        <f t="shared" si="0"/>
        <v>3.2916633140010401</v>
      </c>
      <c r="AO6" s="80">
        <f t="shared" si="0"/>
        <v>3.3045926206387026</v>
      </c>
      <c r="AP6" s="80">
        <f t="shared" si="0"/>
        <v>3.3167033614200707</v>
      </c>
      <c r="AQ6" s="80">
        <f t="shared" si="0"/>
        <v>3.3273936373500104</v>
      </c>
      <c r="AR6" s="80">
        <f t="shared" si="0"/>
        <v>3.3369467809639448</v>
      </c>
      <c r="AS6" s="80">
        <f t="shared" si="0"/>
        <v>3.3451438096343087</v>
      </c>
      <c r="AT6" s="80">
        <f t="shared" si="0"/>
        <v>3.3520074381225635</v>
      </c>
      <c r="AU6" s="80">
        <f t="shared" si="0"/>
        <v>3.3578450364234778</v>
      </c>
      <c r="AV6" s="80">
        <f t="shared" si="0"/>
        <v>3.3626938771531978</v>
      </c>
      <c r="AW6" s="80">
        <f t="shared" si="0"/>
        <v>3.3665358620697816</v>
      </c>
      <c r="AX6" s="80">
        <f t="shared" si="0"/>
        <v>3.3701387009322041</v>
      </c>
      <c r="AY6" s="80">
        <f t="shared" si="0"/>
        <v>3.3732063587790355</v>
      </c>
      <c r="AZ6" s="80">
        <f t="shared" si="0"/>
        <v>3.3758496958820055</v>
      </c>
      <c r="BA6" s="80">
        <f t="shared" si="0"/>
        <v>3.3783374822126233</v>
      </c>
      <c r="BB6" s="80">
        <f t="shared" si="0"/>
        <v>3.3809467793666821</v>
      </c>
      <c r="BC6" s="80">
        <f t="shared" si="0"/>
        <v>3.3836477622930179</v>
      </c>
      <c r="BD6" s="80">
        <f t="shared" si="0"/>
        <v>3.3866370469584339</v>
      </c>
      <c r="BE6" s="80">
        <f t="shared" si="0"/>
        <v>3.3897435641188056</v>
      </c>
      <c r="BF6" s="80">
        <f t="shared" si="0"/>
        <v>3.3931496234725431</v>
      </c>
      <c r="BG6" s="80">
        <f t="shared" si="0"/>
        <v>3.3971040168359266</v>
      </c>
    </row>
    <row r="7" spans="1:59" x14ac:dyDescent="0.2">
      <c r="A7" s="72" t="s">
        <v>1263</v>
      </c>
      <c r="F7" s="81"/>
      <c r="G7" s="82">
        <f>G$6/F$6-1</f>
        <v>2.6244151676473315E-2</v>
      </c>
      <c r="H7" s="82">
        <f t="shared" ref="H7:BG7" si="1">H$6/G$6-1</f>
        <v>2.2940081475893104E-2</v>
      </c>
      <c r="I7" s="82">
        <f t="shared" si="1"/>
        <v>1.9715937904703607E-2</v>
      </c>
      <c r="J7" s="82">
        <f t="shared" si="1"/>
        <v>1.6650342083633918E-2</v>
      </c>
      <c r="K7" s="82">
        <f t="shared" si="1"/>
        <v>1.3690871805014604E-2</v>
      </c>
      <c r="L7" s="82">
        <f t="shared" si="1"/>
        <v>1.100244003765849E-2</v>
      </c>
      <c r="M7" s="82">
        <f t="shared" si="1"/>
        <v>8.4677743793464266E-3</v>
      </c>
      <c r="N7" s="82">
        <f t="shared" si="1"/>
        <v>8.281107411627131E-3</v>
      </c>
      <c r="O7" s="82">
        <f t="shared" si="1"/>
        <v>8.1133940417155159E-3</v>
      </c>
      <c r="P7" s="82">
        <f t="shared" si="1"/>
        <v>8.0677279659515655E-3</v>
      </c>
      <c r="Q7" s="82">
        <f t="shared" si="1"/>
        <v>7.6475982808899001E-3</v>
      </c>
      <c r="R7" s="82">
        <f t="shared" si="1"/>
        <v>7.3640990029026909E-3</v>
      </c>
      <c r="S7" s="82">
        <f t="shared" si="1"/>
        <v>6.9825358898920609E-3</v>
      </c>
      <c r="T7" s="82">
        <f t="shared" si="1"/>
        <v>6.5336181092658929E-3</v>
      </c>
      <c r="U7" s="82">
        <f t="shared" si="1"/>
        <v>6.2478565435843958E-3</v>
      </c>
      <c r="V7" s="82">
        <f t="shared" si="1"/>
        <v>5.8701836800587603E-3</v>
      </c>
      <c r="W7" s="82">
        <f t="shared" si="1"/>
        <v>5.6048293699790808E-3</v>
      </c>
      <c r="X7" s="82">
        <f t="shared" si="1"/>
        <v>5.440973225919965E-3</v>
      </c>
      <c r="Y7" s="82">
        <f t="shared" si="1"/>
        <v>5.3332121349856099E-3</v>
      </c>
      <c r="Z7" s="82">
        <f t="shared" si="1"/>
        <v>5.3270942609873195E-3</v>
      </c>
      <c r="AA7" s="82">
        <f t="shared" si="1"/>
        <v>5.2732866364626485E-3</v>
      </c>
      <c r="AB7" s="82">
        <f t="shared" si="1"/>
        <v>5.3339304832913381E-3</v>
      </c>
      <c r="AC7" s="82">
        <f t="shared" si="1"/>
        <v>5.3431540415100898E-3</v>
      </c>
      <c r="AD7" s="82">
        <f t="shared" si="1"/>
        <v>5.411781266583704E-3</v>
      </c>
      <c r="AE7" s="82">
        <f t="shared" si="1"/>
        <v>5.5358228966517764E-3</v>
      </c>
      <c r="AF7" s="82">
        <f t="shared" si="1"/>
        <v>5.5636942925076927E-3</v>
      </c>
      <c r="AG7" s="82">
        <f t="shared" si="1"/>
        <v>5.5170020419301746E-3</v>
      </c>
      <c r="AH7" s="82">
        <f t="shared" si="1"/>
        <v>5.453667060543177E-3</v>
      </c>
      <c r="AI7" s="82">
        <f t="shared" si="1"/>
        <v>5.3697030294561632E-3</v>
      </c>
      <c r="AJ7" s="82">
        <f t="shared" si="1"/>
        <v>5.2203972766391438E-3</v>
      </c>
      <c r="AK7" s="82">
        <f t="shared" si="1"/>
        <v>5.0105497297867618E-3</v>
      </c>
      <c r="AL7" s="82">
        <f t="shared" si="1"/>
        <v>4.8417915950795809E-3</v>
      </c>
      <c r="AM7" s="82">
        <f t="shared" si="1"/>
        <v>4.5912624997794804E-3</v>
      </c>
      <c r="AN7" s="82">
        <f t="shared" si="1"/>
        <v>4.2806545866480583E-3</v>
      </c>
      <c r="AO7" s="82">
        <f t="shared" si="1"/>
        <v>3.9278946247838231E-3</v>
      </c>
      <c r="AP7" s="82">
        <f t="shared" si="1"/>
        <v>3.6648211055518853E-3</v>
      </c>
      <c r="AQ7" s="82">
        <f t="shared" si="1"/>
        <v>3.2231631125920757E-3</v>
      </c>
      <c r="AR7" s="82">
        <f t="shared" si="1"/>
        <v>2.8710590495517607E-3</v>
      </c>
      <c r="AS7" s="82">
        <f t="shared" si="1"/>
        <v>2.4564457297087117E-3</v>
      </c>
      <c r="AT7" s="82">
        <f t="shared" si="1"/>
        <v>2.0518186597799914E-3</v>
      </c>
      <c r="AU7" s="82">
        <f t="shared" si="1"/>
        <v>1.7415230749557864E-3</v>
      </c>
      <c r="AV7" s="82">
        <f t="shared" si="1"/>
        <v>1.4440335027743334E-3</v>
      </c>
      <c r="AW7" s="82">
        <f t="shared" si="1"/>
        <v>1.1425318678832674E-3</v>
      </c>
      <c r="AX7" s="82">
        <f t="shared" si="1"/>
        <v>1.0701917371549463E-3</v>
      </c>
      <c r="AY7" s="82">
        <f t="shared" si="1"/>
        <v>9.1024676402273741E-4</v>
      </c>
      <c r="AZ7" s="82">
        <f t="shared" si="1"/>
        <v>7.8362745169457959E-4</v>
      </c>
      <c r="BA7" s="82">
        <f t="shared" si="1"/>
        <v>7.3693634336047253E-4</v>
      </c>
      <c r="BB7" s="82">
        <f t="shared" si="1"/>
        <v>7.7236130723967733E-4</v>
      </c>
      <c r="BC7" s="82">
        <f t="shared" si="1"/>
        <v>7.9888359758251148E-4</v>
      </c>
      <c r="BD7" s="82">
        <f t="shared" si="1"/>
        <v>8.8345031026237919E-4</v>
      </c>
      <c r="BE7" s="82">
        <f t="shared" si="1"/>
        <v>9.1728671165447473E-4</v>
      </c>
      <c r="BF7" s="82">
        <f t="shared" si="1"/>
        <v>1.004813281391348E-3</v>
      </c>
      <c r="BG7" s="82">
        <f t="shared" si="1"/>
        <v>1.1654049488500906E-3</v>
      </c>
    </row>
    <row r="8" spans="1:59" x14ac:dyDescent="0.2">
      <c r="A8" s="76" t="s">
        <v>1264</v>
      </c>
      <c r="F8" s="83">
        <f>100*(1000000*F$6/SUM(Population!K$25:K$100,Population!K$125:K$200))</f>
        <v>67.802436843695688</v>
      </c>
      <c r="G8" s="83">
        <f>100*(1000000*G$6/SUM(Population!L$25:L$100,Population!L$125:L$200))</f>
        <v>67.918664301768501</v>
      </c>
      <c r="H8" s="83">
        <f>100*(1000000*H$6/SUM(Population!M$25:M$100,Population!M$125:M$200))</f>
        <v>68.035575883767279</v>
      </c>
      <c r="I8" s="83">
        <f>100*(1000000*I$6/SUM(Population!N$25:N$100,Population!N$125:N$200))</f>
        <v>68.102592565273085</v>
      </c>
      <c r="J8" s="83">
        <f>100*(1000000*J$6/SUM(Population!O$25:O$100,Population!O$125:O$200))</f>
        <v>68.10614030134326</v>
      </c>
      <c r="K8" s="83">
        <f>100*(1000000*K$6/SUM(Population!P$25:P$100,Population!P$125:P$200))</f>
        <v>68.075460531450588</v>
      </c>
      <c r="L8" s="83">
        <f>100*(1000000*L$6/SUM(Population!Q$25:Q$100,Population!Q$125:Q$200))</f>
        <v>67.989600495030672</v>
      </c>
      <c r="M8" s="83">
        <f>100*(1000000*M$6/SUM(Population!R$25:R$100,Population!R$125:R$200))</f>
        <v>67.832450400877207</v>
      </c>
      <c r="N8" s="83">
        <f>100*(1000000*N$6/SUM(Population!S$25:S$100,Population!S$125:S$200))</f>
        <v>67.636429007014414</v>
      </c>
      <c r="O8" s="83">
        <f>100*(1000000*O$6/SUM(Population!T$25:T$100,Population!T$125:T$200))</f>
        <v>67.447597236756209</v>
      </c>
      <c r="P8" s="83">
        <f>100*(1000000*P$6/SUM(Population!U$25:U$100,Population!U$125:U$200))</f>
        <v>67.254053015483905</v>
      </c>
      <c r="Q8" s="83">
        <f>100*(1000000*Q$6/SUM(Population!V$25:V$100,Population!V$125:V$200))</f>
        <v>67.066909946842827</v>
      </c>
      <c r="R8" s="83">
        <f>100*(1000000*R$6/SUM(Population!W$25:W$100,Population!W$125:W$200))</f>
        <v>66.894676605879965</v>
      </c>
      <c r="S8" s="83">
        <f>100*(1000000*S$6/SUM(Population!X$25:X$100,Population!X$125:X$200))</f>
        <v>66.723016621456281</v>
      </c>
      <c r="T8" s="83">
        <f>100*(1000000*T$6/SUM(Population!Y$25:Y$100,Population!Y$125:Y$200))</f>
        <v>66.564168447950365</v>
      </c>
      <c r="U8" s="83">
        <f>100*(1000000*U$6/SUM(Population!Z$25:Z$100,Population!Z$125:Z$200))</f>
        <v>66.407448928939786</v>
      </c>
      <c r="V8" s="83">
        <f>100*(1000000*V$6/SUM(Population!AA$25:AA$100,Population!AA$125:AA$200))</f>
        <v>66.243814460587487</v>
      </c>
      <c r="W8" s="83">
        <f>100*(1000000*W$6/SUM(Population!AB$25:AB$100,Population!AB$125:AB$200))</f>
        <v>66.068700707220856</v>
      </c>
      <c r="X8" s="83">
        <f>100*(1000000*X$6/SUM(Population!AC$25:AC$100,Population!AC$125:AC$200))</f>
        <v>65.881869896816468</v>
      </c>
      <c r="Y8" s="83">
        <f>100*(1000000*Y$6/SUM(Population!AD$25:AD$100,Population!AD$125:AD$200))</f>
        <v>65.689851679675073</v>
      </c>
      <c r="Z8" s="83">
        <f>100*(1000000*Z$6/SUM(Population!AE$25:AE$100,Population!AE$125:AE$200))</f>
        <v>65.50506631903049</v>
      </c>
      <c r="AA8" s="83">
        <f>100*(1000000*AA$6/SUM(Population!AF$25:AF$100,Population!AF$125:AF$200))</f>
        <v>65.323389678909436</v>
      </c>
      <c r="AB8" s="83">
        <f>100*(1000000*AB$6/SUM(Population!AG$25:AG$100,Population!AG$125:AG$200))</f>
        <v>65.155260383647757</v>
      </c>
      <c r="AC8" s="83">
        <f>100*(1000000*AC$6/SUM(Population!AH$25:AH$100,Population!AH$125:AH$200))</f>
        <v>65.002639660245663</v>
      </c>
      <c r="AD8" s="83">
        <f>100*(1000000*AD$6/SUM(Population!AI$25:AI$100,Population!AI$125:AI$200))</f>
        <v>64.869222346897985</v>
      </c>
      <c r="AE8" s="83">
        <f>100*(1000000*AE$6/SUM(Population!AJ$25:AJ$100,Population!AJ$125:AJ$200))</f>
        <v>64.758168270727069</v>
      </c>
      <c r="AF8" s="83">
        <f>100*(1000000*AF$6/SUM(Population!AK$25:AK$100,Population!AK$125:AK$200))</f>
        <v>64.668057589801549</v>
      </c>
      <c r="AG8" s="83">
        <f>100*(1000000*AG$6/SUM(Population!AL$25:AL$100,Population!AL$125:AL$200))</f>
        <v>64.590495021849421</v>
      </c>
      <c r="AH8" s="83">
        <f>100*(1000000*AH$6/SUM(Population!AM$25:AM$100,Population!AM$125:AM$200))</f>
        <v>64.527857070330057</v>
      </c>
      <c r="AI8" s="83">
        <f>100*(1000000*AI$6/SUM(Population!AN$25:AN$100,Population!AN$125:AN$200))</f>
        <v>64.477916922918197</v>
      </c>
      <c r="AJ8" s="83">
        <f>100*(1000000*AJ$6/SUM(Population!AO$25:AO$100,Population!AO$125:AO$200))</f>
        <v>64.438199009964976</v>
      </c>
      <c r="AK8" s="83">
        <f>100*(1000000*AK$6/SUM(Population!AP$25:AP$100,Population!AP$125:AP$200))</f>
        <v>64.401791331483736</v>
      </c>
      <c r="AL8" s="83">
        <f>100*(1000000*AL$6/SUM(Population!AQ$25:AQ$100,Population!AQ$125:AQ$200))</f>
        <v>64.374862178119201</v>
      </c>
      <c r="AM8" s="83">
        <f>100*(1000000*AM$6/SUM(Population!AR$25:AR$100,Population!AR$125:AR$200))</f>
        <v>64.34654632951181</v>
      </c>
      <c r="AN8" s="83">
        <f>100*(1000000*AN$6/SUM(Population!AS$25:AS$100,Population!AS$125:AS$200))</f>
        <v>64.311401280127853</v>
      </c>
      <c r="AO8" s="83">
        <f>100*(1000000*AO$6/SUM(Population!AT$25:AT$100,Population!AT$125:AT$200))</f>
        <v>64.268678539952674</v>
      </c>
      <c r="AP8" s="83">
        <f>100*(1000000*AP$6/SUM(Population!AU$25:AU$100,Population!AU$125:AU$200))</f>
        <v>64.222806681552072</v>
      </c>
      <c r="AQ8" s="83">
        <f>100*(1000000*AQ$6/SUM(Population!AV$25:AV$100,Population!AV$125:AV$200))</f>
        <v>64.155513643243651</v>
      </c>
      <c r="AR8" s="83">
        <f>100*(1000000*AR$6/SUM(Population!AW$25:AW$100,Population!AW$125:AW$200))</f>
        <v>64.076062609359155</v>
      </c>
      <c r="AS8" s="83">
        <f>100*(1000000*AS$6/SUM(Population!AX$25:AX$100,Population!AX$125:AX$200))</f>
        <v>63.974262408165195</v>
      </c>
      <c r="AT8" s="83">
        <f>100*(1000000*AT$6/SUM(Population!AY$25:AY$100,Population!AY$125:AY$200))</f>
        <v>63.852382422395593</v>
      </c>
      <c r="AU8" s="83">
        <f>100*(1000000*AU$6/SUM(Population!AZ$25:AZ$100,Population!AZ$125:AZ$200))</f>
        <v>63.712718587088716</v>
      </c>
      <c r="AV8" s="83">
        <f>100*(1000000*AV$6/SUM(Population!BA$25:BA$100,Population!BA$125:BA$200))</f>
        <v>63.556539418908372</v>
      </c>
      <c r="AW8" s="83">
        <f>100*(1000000*AW$6/SUM(Population!BB$25:BB$100,Population!BB$125:BB$200))</f>
        <v>63.384523572800234</v>
      </c>
      <c r="AX8" s="83">
        <f>100*(1000000*AX$6/SUM(Population!BC$25:BC$100,Population!BC$125:BC$200))</f>
        <v>63.206969002331327</v>
      </c>
      <c r="AY8" s="83">
        <f>100*(1000000*AY$6/SUM(Population!BD$25:BD$100,Population!BD$125:BD$200))</f>
        <v>63.020666053481811</v>
      </c>
      <c r="AZ8" s="83">
        <f>100*(1000000*AZ$6/SUM(Population!BE$25:BE$100,Population!BE$125:BE$200))</f>
        <v>62.825675106116208</v>
      </c>
      <c r="BA8" s="83">
        <f>100*(1000000*BA$6/SUM(Population!BF$25:BF$100,Population!BF$125:BF$200))</f>
        <v>62.629305700080884</v>
      </c>
      <c r="BB8" s="83">
        <f>100*(1000000*BB$6/SUM(Population!BG$25:BG$100,Population!BG$125:BG$200))</f>
        <v>62.433692553389541</v>
      </c>
      <c r="BC8" s="83">
        <f>100*(1000000*BC$6/SUM(Population!BH$25:BH$100,Population!BH$125:BH$200))</f>
        <v>62.242313401573099</v>
      </c>
      <c r="BD8" s="83">
        <f>100*(1000000*BD$6/SUM(Population!BI$25:BI$100,Population!BI$125:BI$200))</f>
        <v>62.052004070520653</v>
      </c>
      <c r="BE8" s="83">
        <f>100*(1000000*BE$6/SUM(Population!BJ$25:BJ$100,Population!BJ$125:BJ$200))</f>
        <v>61.865440046554177</v>
      </c>
      <c r="BF8" s="83">
        <f>100*(1000000*BF$6/SUM(Population!BK$25:BK$100,Population!BK$125:BK$200))</f>
        <v>61.683087317304732</v>
      </c>
      <c r="BG8" s="83">
        <f>100*(1000000*BG$6/SUM(Population!BL$25:BL$100,Population!BL$125:BL$200))</f>
        <v>61.510538437675208</v>
      </c>
    </row>
    <row r="9" spans="1:59" x14ac:dyDescent="0.2">
      <c r="A9" s="76" t="s">
        <v>1265</v>
      </c>
      <c r="C9" s="76" t="s">
        <v>1266</v>
      </c>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row>
    <row r="10" spans="1:59" x14ac:dyDescent="0.2">
      <c r="C10" s="29">
        <v>15</v>
      </c>
      <c r="F10" s="85">
        <f>F$150*Population!K$25</f>
        <v>6615.6303630363036</v>
      </c>
      <c r="G10" s="85">
        <f>G$150*Population!L$25</f>
        <v>6423.49015682349</v>
      </c>
      <c r="H10" s="85">
        <f>H$150*Population!M$25</f>
        <v>6062.1882598124348</v>
      </c>
      <c r="I10" s="85">
        <f>I$150*Population!N$25</f>
        <v>5911.991570073762</v>
      </c>
      <c r="J10" s="85">
        <f>J$150*Population!O$25</f>
        <v>5908</v>
      </c>
      <c r="K10" s="85">
        <f>K$150*Population!P$25</f>
        <v>5779.1866527632956</v>
      </c>
      <c r="L10" s="85">
        <f>L$150*Population!Q$25</f>
        <v>5806.1637784573559</v>
      </c>
      <c r="M10" s="85">
        <f>M$150*Population!R$25</f>
        <v>5950.6758080313421</v>
      </c>
      <c r="N10" s="85">
        <f>N$150*Population!S$25</f>
        <v>6070.9068010075562</v>
      </c>
      <c r="O10" s="85">
        <f>O$150*Population!T$25</f>
        <v>5899.8465473145779</v>
      </c>
      <c r="P10" s="85">
        <f>P$150*Population!U$25</f>
        <v>5963.7613245860666</v>
      </c>
      <c r="Q10" s="85">
        <f>Q$150*Population!V$25</f>
        <v>5801.7087192590234</v>
      </c>
      <c r="R10" s="85">
        <f>R$150*Population!W$25</f>
        <v>5628.7854119179419</v>
      </c>
      <c r="S10" s="85">
        <f>S$150*Population!X$25</f>
        <v>5481.3630319148933</v>
      </c>
      <c r="T10" s="85">
        <f>T$150*Population!Y$25</f>
        <v>5258.0983493810181</v>
      </c>
      <c r="U10" s="85">
        <f>U$150*Population!Z$25</f>
        <v>5179.4722222222226</v>
      </c>
      <c r="V10" s="85">
        <f>V$150*Population!AA$25</f>
        <v>5120.9218642906098</v>
      </c>
      <c r="W10" s="85">
        <f>W$150*Population!AB$25</f>
        <v>5151.6000000000004</v>
      </c>
      <c r="X10" s="85">
        <f>X$150*Population!AC$25</f>
        <v>5187.2354719516288</v>
      </c>
      <c r="Y10" s="85">
        <f>Y$150*Population!AD$25</f>
        <v>5235.4645354645354</v>
      </c>
      <c r="Z10" s="85">
        <f>Z$150*Population!AE$25</f>
        <v>5259.5179927368772</v>
      </c>
      <c r="AA10" s="85">
        <f>AA$150*Population!AF$25</f>
        <v>5277.3451327433631</v>
      </c>
      <c r="AB10" s="85">
        <f>AB$150*Population!AG$25</f>
        <v>5268.5118853793547</v>
      </c>
      <c r="AC10" s="85">
        <f>AC$150*Population!AH$25</f>
        <v>5263.2005183025594</v>
      </c>
      <c r="AD10" s="85">
        <f>AD$150*Population!AI$25</f>
        <v>5238.0006449532411</v>
      </c>
      <c r="AE10" s="85">
        <f>AE$150*Population!AJ$25</f>
        <v>5211.9286403085816</v>
      </c>
      <c r="AF10" s="85">
        <f>AF$150*Population!AK$25</f>
        <v>5180.1860166773577</v>
      </c>
      <c r="AG10" s="85">
        <f>AG$150*Population!AL$25</f>
        <v>5145.9756488305029</v>
      </c>
      <c r="AH10" s="85">
        <f>AH$150*Population!AM$25</f>
        <v>5099.9231262011526</v>
      </c>
      <c r="AI10" s="85">
        <f>AI$150*Population!AN$25</f>
        <v>5052.9272202629045</v>
      </c>
      <c r="AJ10" s="85">
        <f>AJ$150*Population!AO$25</f>
        <v>5006.2620423892104</v>
      </c>
      <c r="AK10" s="85">
        <f>AK$150*Population!AP$25</f>
        <v>4950.9108464757001</v>
      </c>
      <c r="AL10" s="85">
        <f>AL$150*Population!AQ$25</f>
        <v>4909.3608779857977</v>
      </c>
      <c r="AM10" s="85">
        <f>AM$150*Population!AR$25</f>
        <v>4869.3203883495144</v>
      </c>
      <c r="AN10" s="85">
        <f>AN$150*Population!AS$25</f>
        <v>4832.3126824521569</v>
      </c>
      <c r="AO10" s="85">
        <f>AO$150*Population!AT$25</f>
        <v>4808.625730994152</v>
      </c>
      <c r="AP10" s="85">
        <f>AP$150*Population!AU$25</f>
        <v>4789.3853658536591</v>
      </c>
      <c r="AQ10" s="85">
        <f>AQ$150*Population!AV$25</f>
        <v>4773.040650406504</v>
      </c>
      <c r="AR10" s="85">
        <f>AR$150*Population!AW$25</f>
        <v>4771.488946684005</v>
      </c>
      <c r="AS10" s="85">
        <f>AS$150*Population!AX$25</f>
        <v>4772.8084415584417</v>
      </c>
      <c r="AT10" s="85">
        <f>AT$150*Population!AY$25</f>
        <v>4777.127107652399</v>
      </c>
      <c r="AU10" s="85">
        <f>AU$150*Population!AZ$25</f>
        <v>4794.7668393782387</v>
      </c>
      <c r="AV10" s="85">
        <f>AV$150*Population!BA$25</f>
        <v>4803.5705045278137</v>
      </c>
      <c r="AW10" s="85">
        <f>AW$150*Population!BB$25</f>
        <v>4821.2209302325582</v>
      </c>
      <c r="AX10" s="85">
        <f>AX$150*Population!BC$25</f>
        <v>4833.1181407359591</v>
      </c>
      <c r="AY10" s="85">
        <f>AY$150*Population!BD$25</f>
        <v>4841.9380844888747</v>
      </c>
      <c r="AZ10" s="85">
        <f>AZ$150*Population!BE$25</f>
        <v>4853.8684719535777</v>
      </c>
      <c r="BA10" s="85">
        <f>BA$150*Population!BF$25</f>
        <v>4874.7534643893005</v>
      </c>
      <c r="BB10" s="85">
        <f>BB$150*Population!BG$25</f>
        <v>4885.1932989690722</v>
      </c>
      <c r="BC10" s="85">
        <f>BC$150*Population!BH$25</f>
        <v>4892.5499034127488</v>
      </c>
      <c r="BD10" s="85">
        <f>BD$150*Population!BI$25</f>
        <v>4899.8198777742036</v>
      </c>
      <c r="BE10" s="85">
        <f>BE$150*Population!BJ$25</f>
        <v>4916.0263411500164</v>
      </c>
      <c r="BF10" s="85">
        <f>BF$150*Population!BK$25</f>
        <v>4929.1597177677995</v>
      </c>
      <c r="BG10" s="85">
        <f>BG$150*Population!BL$25</f>
        <v>4940.7138284250959</v>
      </c>
    </row>
    <row r="11" spans="1:59" x14ac:dyDescent="0.2">
      <c r="C11" s="29">
        <v>16</v>
      </c>
      <c r="F11" s="85">
        <f>F$151*Population!K$26</f>
        <v>9733.4300168634072</v>
      </c>
      <c r="G11" s="85">
        <f>G$151*Population!L$26</f>
        <v>10068.747962178024</v>
      </c>
      <c r="H11" s="85">
        <f>H$151*Population!M$26</f>
        <v>9904.0773809523816</v>
      </c>
      <c r="I11" s="85">
        <f>I$151*Population!N$26</f>
        <v>9505.8410732714128</v>
      </c>
      <c r="J11" s="85">
        <f>J$151*Population!O$26</f>
        <v>9402.8601252609606</v>
      </c>
      <c r="K11" s="85">
        <f>K$151*Population!P$26</f>
        <v>9541.0317731465657</v>
      </c>
      <c r="L11" s="85">
        <f>L$151*Population!Q$26</f>
        <v>9461.2947658402209</v>
      </c>
      <c r="M11" s="85">
        <f>M$151*Population!R$26</f>
        <v>9633.3625042073363</v>
      </c>
      <c r="N11" s="85">
        <f>N$151*Population!S$26</f>
        <v>10000.714978971206</v>
      </c>
      <c r="O11" s="85">
        <f>O$151*Population!T$26</f>
        <v>10334.648766781143</v>
      </c>
      <c r="P11" s="85">
        <f>P$151*Population!U$26</f>
        <v>10191.270998415213</v>
      </c>
      <c r="Q11" s="85">
        <f>Q$151*Population!V$26</f>
        <v>10426.719330855018</v>
      </c>
      <c r="R11" s="85">
        <f>R$151*Population!W$26</f>
        <v>10243.621399176955</v>
      </c>
      <c r="S11" s="85">
        <f>S$151*Population!X$26</f>
        <v>10062.401549386701</v>
      </c>
      <c r="T11" s="85">
        <f>T$151*Population!Y$26</f>
        <v>9902.608695652174</v>
      </c>
      <c r="U11" s="85">
        <f>U$151*Population!Z$26</f>
        <v>9596.1056218057929</v>
      </c>
      <c r="V11" s="85">
        <f>V$151*Population!AA$26</f>
        <v>9545.9649122807023</v>
      </c>
      <c r="W11" s="85">
        <f>W$151*Population!AB$26</f>
        <v>9514.8047538200335</v>
      </c>
      <c r="X11" s="85">
        <f>X$151*Population!AC$26</f>
        <v>9636.5602955995964</v>
      </c>
      <c r="Y11" s="85">
        <f>Y$151*Population!AD$26</f>
        <v>9797.2969374167769</v>
      </c>
      <c r="Z11" s="85">
        <f>Z$151*Population!AE$26</f>
        <v>9932.0396039603947</v>
      </c>
      <c r="AA11" s="85">
        <f>AA$151*Population!AF$26</f>
        <v>10045.235602094241</v>
      </c>
      <c r="AB11" s="85">
        <f>AB$151*Population!AG$26</f>
        <v>10137.797986359208</v>
      </c>
      <c r="AC11" s="85">
        <f>AC$151*Population!AH$26</f>
        <v>10199.273724983861</v>
      </c>
      <c r="AD11" s="85">
        <f>AD$151*Population!AI$26</f>
        <v>10218.356340288925</v>
      </c>
      <c r="AE11" s="85">
        <f>AE$151*Population!AJ$26</f>
        <v>10229.443734015345</v>
      </c>
      <c r="AF11" s="85">
        <f>AF$151*Population!AK$26</f>
        <v>10229.216061185467</v>
      </c>
      <c r="AG11" s="85">
        <f>AG$151*Population!AL$26</f>
        <v>10199.109697933227</v>
      </c>
      <c r="AH11" s="85">
        <f>AH$151*Population!AM$26</f>
        <v>10153.004128294695</v>
      </c>
      <c r="AI11" s="85">
        <f>AI$151*Population!AN$26</f>
        <v>10104.7856462369</v>
      </c>
      <c r="AJ11" s="85">
        <f>AJ$151*Population!AO$26</f>
        <v>10032.723228471559</v>
      </c>
      <c r="AK11" s="85">
        <f>AK$151*Population!AP$26</f>
        <v>9964.4699140401153</v>
      </c>
      <c r="AL11" s="85">
        <f>AL$151*Population!AQ$26</f>
        <v>9885.8902361199744</v>
      </c>
      <c r="AM11" s="85">
        <f>AM$151*Population!AR$26</f>
        <v>9820.9852847088932</v>
      </c>
      <c r="AN11" s="85">
        <f>AN$151*Population!AS$26</f>
        <v>9748.6465683130209</v>
      </c>
      <c r="AO11" s="85">
        <f>AO$151*Population!AT$26</f>
        <v>9685.2587592414002</v>
      </c>
      <c r="AP11" s="85">
        <f>AP$151*Population!AU$26</f>
        <v>9648.4095299420478</v>
      </c>
      <c r="AQ11" s="85">
        <f>AQ$151*Population!AV$26</f>
        <v>9620.3544956493715</v>
      </c>
      <c r="AR11" s="85">
        <f>AR$151*Population!AW$26</f>
        <v>9601.125080593165</v>
      </c>
      <c r="AS11" s="85">
        <f>AS$151*Population!AX$26</f>
        <v>9608.2474226804115</v>
      </c>
      <c r="AT11" s="85">
        <f>AT$151*Population!AY$26</f>
        <v>9610.9687801738019</v>
      </c>
      <c r="AU11" s="85">
        <f>AU$151*Population!AZ$26</f>
        <v>9643.2272581163616</v>
      </c>
      <c r="AV11" s="85">
        <f>AV$151*Population!BA$26</f>
        <v>9665.1685393258431</v>
      </c>
      <c r="AW11" s="85">
        <f>AW$151*Population!BB$26</f>
        <v>9690</v>
      </c>
      <c r="AX11" s="85">
        <f>AX$151*Population!BC$26</f>
        <v>9721.0374639769452</v>
      </c>
      <c r="AY11" s="85">
        <f>AY$151*Population!BD$26</f>
        <v>9752.079334612923</v>
      </c>
      <c r="AZ11" s="85">
        <f>AZ$151*Population!BE$26</f>
        <v>9772.8324808184152</v>
      </c>
      <c r="BA11" s="85">
        <f>BA$151*Population!BF$26</f>
        <v>9801</v>
      </c>
      <c r="BB11" s="85">
        <f>BB$151*Population!BG$26</f>
        <v>9821.8620249121686</v>
      </c>
      <c r="BC11" s="85">
        <f>BC$151*Population!BH$26</f>
        <v>9853.1928480204351</v>
      </c>
      <c r="BD11" s="85">
        <f>BD$151*Population!BI$26</f>
        <v>9870.8998085513722</v>
      </c>
      <c r="BE11" s="85">
        <f>BE$151*Population!BJ$26</f>
        <v>9895.9483583041128</v>
      </c>
      <c r="BF11" s="85">
        <f>BF$151*Population!BK$26</f>
        <v>9914.8424068767908</v>
      </c>
      <c r="BG11" s="85">
        <f>BG$151*Population!BL$26</f>
        <v>9944.1068022886193</v>
      </c>
    </row>
    <row r="12" spans="1:59" x14ac:dyDescent="0.2">
      <c r="C12" s="29">
        <v>17</v>
      </c>
      <c r="F12" s="85">
        <f>F$152*Population!K$27</f>
        <v>14814.453125</v>
      </c>
      <c r="G12" s="85">
        <f>G$152*Population!L$27</f>
        <v>14507.454120787455</v>
      </c>
      <c r="H12" s="85">
        <f>H$152*Population!M$27</f>
        <v>15096.397797214124</v>
      </c>
      <c r="I12" s="85">
        <f>I$152*Population!N$27</f>
        <v>14920.065703022339</v>
      </c>
      <c r="J12" s="85">
        <f>J$152*Population!O$27</f>
        <v>14378.828151691152</v>
      </c>
      <c r="K12" s="85">
        <f>K$152*Population!P$27</f>
        <v>14286.069084628671</v>
      </c>
      <c r="L12" s="85">
        <f>L$152*Population!Q$27</f>
        <v>14545.563093622794</v>
      </c>
      <c r="M12" s="85">
        <f>M$152*Population!R$27</f>
        <v>14488.635430916553</v>
      </c>
      <c r="N12" s="85">
        <f>N$152*Population!S$27</f>
        <v>14813.376797057839</v>
      </c>
      <c r="O12" s="85">
        <f>O$152*Population!T$27</f>
        <v>15426.448087431694</v>
      </c>
      <c r="P12" s="85">
        <f>P$152*Population!U$27</f>
        <v>16004.964318957494</v>
      </c>
      <c r="Q12" s="85">
        <f>Q$152*Population!V$27</f>
        <v>15822.337007874015</v>
      </c>
      <c r="R12" s="85">
        <f>R$152*Population!W$27</f>
        <v>16244.396551724138</v>
      </c>
      <c r="S12" s="85">
        <f>S$152*Population!X$27</f>
        <v>16020.207612456747</v>
      </c>
      <c r="T12" s="85">
        <f>T$152*Population!Y$27</f>
        <v>15787.800577108048</v>
      </c>
      <c r="U12" s="85">
        <f>U$152*Population!Z$27</f>
        <v>15578.285340314136</v>
      </c>
      <c r="V12" s="85">
        <f>V$152*Population!AA$27</f>
        <v>15131.935047361299</v>
      </c>
      <c r="W12" s="85">
        <f>W$152*Population!AB$27</f>
        <v>15087.609289617487</v>
      </c>
      <c r="X12" s="85">
        <f>X$152*Population!AC$27</f>
        <v>15090.77882670263</v>
      </c>
      <c r="Y12" s="85">
        <f>Y$152*Population!AD$27</f>
        <v>15317.717717717718</v>
      </c>
      <c r="Z12" s="85">
        <f>Z$152*Population!AE$27</f>
        <v>15587.076719576718</v>
      </c>
      <c r="AA12" s="85">
        <f>AA$152*Population!AF$27</f>
        <v>15821.615863651261</v>
      </c>
      <c r="AB12" s="85">
        <f>AB$152*Population!AG$27</f>
        <v>16032.844603381014</v>
      </c>
      <c r="AC12" s="85">
        <f>AC$152*Population!AH$27</f>
        <v>16195.624394966117</v>
      </c>
      <c r="AD12" s="85">
        <f>AD$152*Population!AI$27</f>
        <v>16299.49342738057</v>
      </c>
      <c r="AE12" s="85">
        <f>AE$152*Population!AJ$27</f>
        <v>16370.17543859649</v>
      </c>
      <c r="AF12" s="85">
        <f>AF$152*Population!AK$27</f>
        <v>16406.808510638297</v>
      </c>
      <c r="AG12" s="85">
        <f>AG$152*Population!AL$27</f>
        <v>16398.138651471985</v>
      </c>
      <c r="AH12" s="85">
        <f>AH$152*Population!AM$27</f>
        <v>16381.421800947868</v>
      </c>
      <c r="AI12" s="85">
        <f>AI$152*Population!AN$27</f>
        <v>16318.712527611233</v>
      </c>
      <c r="AJ12" s="85">
        <f>AJ$152*Population!AO$27</f>
        <v>16247.470031545741</v>
      </c>
      <c r="AK12" s="85">
        <f>AK$152*Population!AP$27</f>
        <v>16150.299968424377</v>
      </c>
      <c r="AL12" s="85">
        <f>AL$152*Population!AQ$27</f>
        <v>16048.937381404176</v>
      </c>
      <c r="AM12" s="85">
        <f>AM$152*Population!AR$27</f>
        <v>15931.790808240887</v>
      </c>
      <c r="AN12" s="85">
        <f>AN$152*Population!AS$27</f>
        <v>15819.733079122974</v>
      </c>
      <c r="AO12" s="85">
        <f>AO$152*Population!AT$27</f>
        <v>15722.294455066922</v>
      </c>
      <c r="AP12" s="85">
        <f>AP$152*Population!AU$27</f>
        <v>15639.648674544873</v>
      </c>
      <c r="AQ12" s="85">
        <f>AQ$152*Population!AV$27</f>
        <v>15576.596289187461</v>
      </c>
      <c r="AR12" s="85">
        <f>AR$152*Population!AW$27</f>
        <v>15527.585654819086</v>
      </c>
      <c r="AS12" s="85">
        <f>AS$152*Population!AX$27</f>
        <v>15508.386167146975</v>
      </c>
      <c r="AT12" s="85">
        <f>AT$152*Population!AY$27</f>
        <v>15508.8</v>
      </c>
      <c r="AU12" s="85">
        <f>AU$152*Population!AZ$27</f>
        <v>15528.248081841431</v>
      </c>
      <c r="AV12" s="85">
        <f>AV$152*Population!BA$27</f>
        <v>15562.672413793103</v>
      </c>
      <c r="AW12" s="85">
        <f>AW$152*Population!BB$27</f>
        <v>15606.696428571429</v>
      </c>
      <c r="AX12" s="85">
        <f>AX$152*Population!BC$27</f>
        <v>15650.722929936306</v>
      </c>
      <c r="AY12" s="85">
        <f>AY$152*Population!BD$27</f>
        <v>15699.551526717556</v>
      </c>
      <c r="AZ12" s="85">
        <f>AZ$152*Population!BE$27</f>
        <v>15742.961550683191</v>
      </c>
      <c r="BA12" s="85">
        <f>BA$152*Population!BF$27</f>
        <v>15786.567164179105</v>
      </c>
      <c r="BB12" s="85">
        <f>BB$152*Population!BG$27</f>
        <v>15835.199999999999</v>
      </c>
      <c r="BC12" s="85">
        <f>BC$152*Population!BH$27</f>
        <v>15879.057442081878</v>
      </c>
      <c r="BD12" s="85">
        <f>BD$152*Population!BI$27</f>
        <v>15907.373929590867</v>
      </c>
      <c r="BE12" s="85">
        <f>BE$152*Population!BJ$27</f>
        <v>15941.388272583201</v>
      </c>
      <c r="BF12" s="85">
        <f>BF$152*Population!BK$27</f>
        <v>15990.750712701933</v>
      </c>
      <c r="BG12" s="85">
        <f>BG$152*Population!BL$27</f>
        <v>16019.44321417273</v>
      </c>
    </row>
    <row r="13" spans="1:59" x14ac:dyDescent="0.2">
      <c r="C13" s="29">
        <v>18</v>
      </c>
      <c r="F13" s="85">
        <f>F$153*Population!K$28</f>
        <v>17831.387375841077</v>
      </c>
      <c r="G13" s="85">
        <f>G$153*Population!L$28</f>
        <v>17835.831721470018</v>
      </c>
      <c r="H13" s="85">
        <f>H$153*Population!M$28</f>
        <v>17604.908546724309</v>
      </c>
      <c r="I13" s="85">
        <f>I$153*Population!N$28</f>
        <v>18268.140135615111</v>
      </c>
      <c r="J13" s="85">
        <f>J$153*Population!O$28</f>
        <v>18023.745907007204</v>
      </c>
      <c r="K13" s="85">
        <f>K$153*Population!P$28</f>
        <v>17348.011576438545</v>
      </c>
      <c r="L13" s="85">
        <f>L$153*Population!Q$28</f>
        <v>17197.838209982787</v>
      </c>
      <c r="M13" s="85">
        <f>M$153*Population!R$28</f>
        <v>17479.452332657198</v>
      </c>
      <c r="N13" s="85">
        <f>N$153*Population!S$28</f>
        <v>17402.3142467621</v>
      </c>
      <c r="O13" s="85">
        <f>O$153*Population!T$28</f>
        <v>17798.273908697098</v>
      </c>
      <c r="P13" s="85">
        <f>P$153*Population!U$28</f>
        <v>18529.535405318809</v>
      </c>
      <c r="Q13" s="85">
        <f>Q$153*Population!V$28</f>
        <v>19221.002165171667</v>
      </c>
      <c r="R13" s="85">
        <f>R$153*Population!W$28</f>
        <v>19019.871271585558</v>
      </c>
      <c r="S13" s="85">
        <f>S$153*Population!X$28</f>
        <v>19514.114759128566</v>
      </c>
      <c r="T13" s="85">
        <f>T$153*Population!Y$28</f>
        <v>19245.766698024458</v>
      </c>
      <c r="U13" s="85">
        <f>U$153*Population!Z$28</f>
        <v>18974.640460210929</v>
      </c>
      <c r="V13" s="85">
        <f>V$153*Population!AA$28</f>
        <v>18740.606653620354</v>
      </c>
      <c r="W13" s="85">
        <f>W$153*Population!AB$28</f>
        <v>18194.403236682403</v>
      </c>
      <c r="X13" s="85">
        <f>X$153*Population!AC$28</f>
        <v>18154.571136827773</v>
      </c>
      <c r="Y13" s="85">
        <f>Y$153*Population!AD$28</f>
        <v>18145.877016129034</v>
      </c>
      <c r="Z13" s="85">
        <f>Z$153*Population!AE$28</f>
        <v>18411.496010638297</v>
      </c>
      <c r="AA13" s="85">
        <f>AA$153*Population!AF$28</f>
        <v>18743.574958813839</v>
      </c>
      <c r="AB13" s="85">
        <f>AB$153*Population!AG$28</f>
        <v>19036.759229010127</v>
      </c>
      <c r="AC13" s="85">
        <f>AC$153*Population!AH$28</f>
        <v>19284.169096209913</v>
      </c>
      <c r="AD13" s="85">
        <f>AD$153*Population!AI$28</f>
        <v>19472.296558378901</v>
      </c>
      <c r="AE13" s="85">
        <f>AE$153*Population!AJ$28</f>
        <v>19615.714285714286</v>
      </c>
      <c r="AF13" s="85">
        <f>AF$153*Population!AK$28</f>
        <v>19682.136045772411</v>
      </c>
      <c r="AG13" s="85">
        <f>AG$153*Population!AL$28</f>
        <v>19728.319088319087</v>
      </c>
      <c r="AH13" s="85">
        <f>AH$153*Population!AM$28</f>
        <v>19737.05269801199</v>
      </c>
      <c r="AI13" s="85">
        <f>AI$153*Population!AN$28</f>
        <v>19702.632241813601</v>
      </c>
      <c r="AJ13" s="85">
        <f>AJ$153*Population!AO$28</f>
        <v>19636.540880503144</v>
      </c>
      <c r="AK13" s="85">
        <f>AK$153*Population!AP$28</f>
        <v>19544.968553459119</v>
      </c>
      <c r="AL13" s="85">
        <f>AL$153*Population!AQ$28</f>
        <v>19432.04845814978</v>
      </c>
      <c r="AM13" s="85">
        <f>AM$153*Population!AR$28</f>
        <v>19316.469104665826</v>
      </c>
      <c r="AN13" s="85">
        <f>AN$153*Population!AS$28</f>
        <v>19168.562401263822</v>
      </c>
      <c r="AO13" s="85">
        <f>AO$153*Population!AT$28</f>
        <v>19043.044029141587</v>
      </c>
      <c r="AP13" s="85">
        <f>AP$153*Population!AU$28</f>
        <v>18918.424896792632</v>
      </c>
      <c r="AQ13" s="85">
        <f>AQ$153*Population!AV$28</f>
        <v>18815.480585614256</v>
      </c>
      <c r="AR13" s="85">
        <f>AR$153*Population!AW$28</f>
        <v>18733.91775581766</v>
      </c>
      <c r="AS13" s="85">
        <f>AS$153*Population!AX$28</f>
        <v>18689.88513082323</v>
      </c>
      <c r="AT13" s="85">
        <f>AT$153*Population!AY$28</f>
        <v>18656.582641991066</v>
      </c>
      <c r="AU13" s="85">
        <f>AU$153*Population!AZ$28</f>
        <v>18666.755980861246</v>
      </c>
      <c r="AV13" s="85">
        <f>AV$153*Population!BA$28</f>
        <v>18692.594008922882</v>
      </c>
      <c r="AW13" s="85">
        <f>AW$153*Population!BB$28</f>
        <v>18735.366008911518</v>
      </c>
      <c r="AX13" s="85">
        <f>AX$153*Population!BC$28</f>
        <v>18782.592945662538</v>
      </c>
      <c r="AY13" s="85">
        <f>AY$153*Population!BD$28</f>
        <v>18836.801015550616</v>
      </c>
      <c r="AZ13" s="85">
        <f>AZ$153*Population!BE$28</f>
        <v>18896.98795180723</v>
      </c>
      <c r="BA13" s="85">
        <f>BA$153*Population!BF$28</f>
        <v>18957.187203040859</v>
      </c>
      <c r="BB13" s="85">
        <f>BB$153*Population!BG$28</f>
        <v>19007.179487179485</v>
      </c>
      <c r="BC13" s="85">
        <f>BC$153*Population!BH$28</f>
        <v>19051.442581461564</v>
      </c>
      <c r="BD13" s="85">
        <f>BD$153*Population!BI$28</f>
        <v>19107.463630613536</v>
      </c>
      <c r="BE13" s="85">
        <f>BE$153*Population!BJ$28</f>
        <v>19141.479607967118</v>
      </c>
      <c r="BF13" s="85">
        <f>BF$153*Population!BK$28</f>
        <v>19185.728278041071</v>
      </c>
      <c r="BG13" s="85">
        <f>BG$153*Population!BL$28</f>
        <v>19234.51073232323</v>
      </c>
    </row>
    <row r="14" spans="1:59" x14ac:dyDescent="0.2">
      <c r="C14" s="29">
        <v>19</v>
      </c>
      <c r="F14" s="85">
        <f>F$154*Population!K$29</f>
        <v>19501.365666879388</v>
      </c>
      <c r="G14" s="85">
        <f>G$154*Population!L$29</f>
        <v>19989.649731776586</v>
      </c>
      <c r="H14" s="85">
        <f>H$154*Population!M$29</f>
        <v>19765.417867435161</v>
      </c>
      <c r="I14" s="85">
        <f>I$154*Population!N$29</f>
        <v>19447.529722589166</v>
      </c>
      <c r="J14" s="85">
        <f>J$154*Population!O$29</f>
        <v>20100.452212957025</v>
      </c>
      <c r="K14" s="85">
        <f>K$154*Population!P$29</f>
        <v>19768.429268292683</v>
      </c>
      <c r="L14" s="85">
        <f>L$154*Population!Q$29</f>
        <v>18974.340770791074</v>
      </c>
      <c r="M14" s="85">
        <f>M$154*Population!R$29</f>
        <v>18749.521531100476</v>
      </c>
      <c r="N14" s="85">
        <f>N$154*Population!S$29</f>
        <v>19054.850621013764</v>
      </c>
      <c r="O14" s="85">
        <f>O$154*Population!T$29</f>
        <v>18972.84602368866</v>
      </c>
      <c r="P14" s="85">
        <f>P$154*Population!U$29</f>
        <v>19388.864990072798</v>
      </c>
      <c r="Q14" s="85">
        <f>Q$154*Population!V$29</f>
        <v>20188.64417568428</v>
      </c>
      <c r="R14" s="85">
        <f>R$154*Population!W$29</f>
        <v>20934.210202827289</v>
      </c>
      <c r="S14" s="85">
        <f>S$154*Population!X$29</f>
        <v>20708.309419837802</v>
      </c>
      <c r="T14" s="85">
        <f>T$154*Population!Y$29</f>
        <v>21255.012195121952</v>
      </c>
      <c r="U14" s="85">
        <f>U$154*Population!Z$29</f>
        <v>20961.271028037383</v>
      </c>
      <c r="V14" s="85">
        <f>V$154*Population!AA$29</f>
        <v>20671.774603174603</v>
      </c>
      <c r="W14" s="85">
        <f>W$154*Population!AB$29</f>
        <v>20405.084196891192</v>
      </c>
      <c r="X14" s="85">
        <f>X$154*Population!AC$29</f>
        <v>19834.911282222965</v>
      </c>
      <c r="Y14" s="85">
        <f>Y$154*Population!AD$29</f>
        <v>19778.100709699222</v>
      </c>
      <c r="Z14" s="85">
        <f>Z$154*Population!AE$29</f>
        <v>19777.237237237237</v>
      </c>
      <c r="AA14" s="85">
        <f>AA$154*Population!AF$29</f>
        <v>20063.988114889402</v>
      </c>
      <c r="AB14" s="85">
        <f>AB$154*Population!AG$29</f>
        <v>20409.031413612567</v>
      </c>
      <c r="AC14" s="85">
        <f>AC$154*Population!AH$29</f>
        <v>20727.722997080764</v>
      </c>
      <c r="AD14" s="85">
        <f>AD$154*Population!AI$29</f>
        <v>20994.819819819819</v>
      </c>
      <c r="AE14" s="85">
        <f>AE$154*Population!AJ$29</f>
        <v>21202.631747045674</v>
      </c>
      <c r="AF14" s="85">
        <f>AF$154*Population!AK$29</f>
        <v>21358.565079365078</v>
      </c>
      <c r="AG14" s="85">
        <f>AG$154*Population!AL$29</f>
        <v>21439.513735396275</v>
      </c>
      <c r="AH14" s="85">
        <f>AH$154*Population!AM$29</f>
        <v>21482.361635220128</v>
      </c>
      <c r="AI14" s="85">
        <f>AI$154*Population!AN$29</f>
        <v>21480.341692789967</v>
      </c>
      <c r="AJ14" s="85">
        <f>AJ$154*Population!AO$29</f>
        <v>21450.503597122304</v>
      </c>
      <c r="AK14" s="85">
        <f>AK$154*Population!AP$29</f>
        <v>21377.319587628866</v>
      </c>
      <c r="AL14" s="85">
        <f>AL$154*Population!AQ$29</f>
        <v>21278.350515463917</v>
      </c>
      <c r="AM14" s="85">
        <f>AM$154*Population!AR$29</f>
        <v>21163.360425132854</v>
      </c>
      <c r="AN14" s="85">
        <f>AN$154*Population!AS$29</f>
        <v>21028.252974326864</v>
      </c>
      <c r="AO14" s="85">
        <f>AO$154*Population!AT$29</f>
        <v>20878.870411044871</v>
      </c>
      <c r="AP14" s="85">
        <f>AP$154*Population!AU$29</f>
        <v>20742.59911894273</v>
      </c>
      <c r="AQ14" s="85">
        <f>AQ$154*Population!AV$29</f>
        <v>20612.151419558359</v>
      </c>
      <c r="AR14" s="85">
        <f>AR$154*Population!AW$29</f>
        <v>20504.261776794185</v>
      </c>
      <c r="AS14" s="85">
        <f>AS$154*Population!AX$29</f>
        <v>20408.169727675744</v>
      </c>
      <c r="AT14" s="85">
        <f>AT$154*Population!AY$29</f>
        <v>20361.432646592712</v>
      </c>
      <c r="AU14" s="85">
        <f>AU$154*Population!AZ$29</f>
        <v>20336.68462757528</v>
      </c>
      <c r="AV14" s="85">
        <f>AV$154*Population!BA$29</f>
        <v>20340.39911308204</v>
      </c>
      <c r="AW14" s="85">
        <f>AW$154*Population!BB$29</f>
        <v>20366.645569620254</v>
      </c>
      <c r="AX14" s="85">
        <f>AX$154*Population!BC$29</f>
        <v>20405.003160556258</v>
      </c>
      <c r="AY14" s="85">
        <f>AY$154*Population!BD$29</f>
        <v>20466.161616161618</v>
      </c>
      <c r="AZ14" s="85">
        <f>AZ$154*Population!BE$29</f>
        <v>20523.064312736446</v>
      </c>
      <c r="BA14" s="85">
        <f>BA$154*Population!BF$29</f>
        <v>20579.949622166248</v>
      </c>
      <c r="BB14" s="85">
        <f>BB$154*Population!BG$29</f>
        <v>20637.124882038377</v>
      </c>
      <c r="BC14" s="85">
        <f>BC$154*Population!BH$29</f>
        <v>20706.997799434143</v>
      </c>
      <c r="BD14" s="85">
        <f>BD$154*Population!BI$29</f>
        <v>20760.512256442489</v>
      </c>
      <c r="BE14" s="85">
        <f>BE$154*Population!BJ$29</f>
        <v>20796.944095477385</v>
      </c>
      <c r="BF14" s="85">
        <f>BF$154*Population!BK$29</f>
        <v>20850.45525902669</v>
      </c>
      <c r="BG14" s="85">
        <f>BG$154*Population!BL$29</f>
        <v>20897.423909632886</v>
      </c>
    </row>
    <row r="15" spans="1:59" x14ac:dyDescent="0.2">
      <c r="C15" s="29">
        <v>20</v>
      </c>
      <c r="F15" s="85">
        <f>F$155*Population!K$30</f>
        <v>21666.500622665008</v>
      </c>
      <c r="G15" s="85">
        <f>G$155*Population!L$30</f>
        <v>21945.665829145728</v>
      </c>
      <c r="H15" s="85">
        <f>H$155*Population!M$30</f>
        <v>22333.145363408523</v>
      </c>
      <c r="I15" s="85">
        <f>I$155*Population!N$30</f>
        <v>22009.663064208518</v>
      </c>
      <c r="J15" s="85">
        <f>J$155*Population!O$30</f>
        <v>21571.952817824378</v>
      </c>
      <c r="K15" s="85">
        <f>K$155*Population!P$30</f>
        <v>22209.388729703915</v>
      </c>
      <c r="L15" s="85">
        <f>L$155*Population!Q$30</f>
        <v>21770.845706907679</v>
      </c>
      <c r="M15" s="85">
        <f>M$155*Population!R$30</f>
        <v>20825.535055350552</v>
      </c>
      <c r="N15" s="85">
        <f>N$155*Population!S$30</f>
        <v>20578.392675483214</v>
      </c>
      <c r="O15" s="85">
        <f>O$155*Population!T$30</f>
        <v>20904.70353097935</v>
      </c>
      <c r="P15" s="85">
        <f>P$155*Population!U$30</f>
        <v>20812.061094326953</v>
      </c>
      <c r="Q15" s="85">
        <f>Q$155*Population!V$30</f>
        <v>21268.732764281023</v>
      </c>
      <c r="R15" s="85">
        <f>R$155*Population!W$30</f>
        <v>22146.477093206951</v>
      </c>
      <c r="S15" s="85">
        <f>S$155*Population!X$30</f>
        <v>22960.381330079315</v>
      </c>
      <c r="T15" s="85">
        <f>T$155*Population!Y$30</f>
        <v>22721.563467492258</v>
      </c>
      <c r="U15" s="85">
        <f>U$155*Population!Z$30</f>
        <v>23305.964274901606</v>
      </c>
      <c r="V15" s="85">
        <f>V$155*Population!AA$30</f>
        <v>22984.276437847868</v>
      </c>
      <c r="W15" s="85">
        <f>W$155*Population!AB$30</f>
        <v>22665.567107750474</v>
      </c>
      <c r="X15" s="85">
        <f>X$155*Population!AC$30</f>
        <v>22383.799421407908</v>
      </c>
      <c r="Y15" s="85">
        <f>Y$155*Population!AD$30</f>
        <v>21754.652939222851</v>
      </c>
      <c r="Z15" s="85">
        <f>Z$155*Population!AE$30</f>
        <v>21706.369426751589</v>
      </c>
      <c r="AA15" s="85">
        <f>AA$155*Population!AF$30</f>
        <v>21692.638199271765</v>
      </c>
      <c r="AB15" s="85">
        <f>AB$155*Population!AG$30</f>
        <v>22007.402554864067</v>
      </c>
      <c r="AC15" s="85">
        <f>AC$155*Population!AH$30</f>
        <v>22389.75</v>
      </c>
      <c r="AD15" s="85">
        <f>AD$155*Population!AI$30</f>
        <v>22738.8795878944</v>
      </c>
      <c r="AE15" s="85">
        <f>AE$155*Population!AJ$30</f>
        <v>23029.910600255429</v>
      </c>
      <c r="AF15" s="85">
        <f>AF$155*Population!AK$30</f>
        <v>23271.972098922004</v>
      </c>
      <c r="AG15" s="85">
        <f>AG$155*Population!AL$30</f>
        <v>23421.76118462508</v>
      </c>
      <c r="AH15" s="85">
        <f>AH$155*Population!AM$30</f>
        <v>23511.068630523347</v>
      </c>
      <c r="AI15" s="85">
        <f>AI$155*Population!AN$30</f>
        <v>23560.767790262173</v>
      </c>
      <c r="AJ15" s="85">
        <f>AJ$155*Population!AO$30</f>
        <v>23563.47230864966</v>
      </c>
      <c r="AK15" s="85">
        <f>AK$155*Population!AP$30</f>
        <v>23525.923626203043</v>
      </c>
      <c r="AL15" s="85">
        <f>AL$155*Population!AQ$30</f>
        <v>23444.096124031006</v>
      </c>
      <c r="AM15" s="85">
        <f>AM$155*Population!AR$30</f>
        <v>23336.08992248062</v>
      </c>
      <c r="AN15" s="85">
        <f>AN$155*Population!AS$30</f>
        <v>23211.56686317096</v>
      </c>
      <c r="AO15" s="85">
        <f>AO$155*Population!AT$30</f>
        <v>23063.57475909232</v>
      </c>
      <c r="AP15" s="85">
        <f>AP$155*Population!AU$30</f>
        <v>22905.392523364484</v>
      </c>
      <c r="AQ15" s="85">
        <f>AQ$155*Population!AV$30</f>
        <v>22754.341036851965</v>
      </c>
      <c r="AR15" s="85">
        <f>AR$155*Population!AW$30</f>
        <v>22606.274264245458</v>
      </c>
      <c r="AS15" s="85">
        <f>AS$155*Population!AX$30</f>
        <v>22492.350172576091</v>
      </c>
      <c r="AT15" s="85">
        <f>AT$155*Population!AY$30</f>
        <v>22391.313639220618</v>
      </c>
      <c r="AU15" s="85">
        <f>AU$155*Population!AZ$30</f>
        <v>22330.821012897137</v>
      </c>
      <c r="AV15" s="85">
        <f>AV$155*Population!BA$30</f>
        <v>22303.818810946839</v>
      </c>
      <c r="AW15" s="85">
        <f>AW$155*Population!BB$30</f>
        <v>22313.946540880504</v>
      </c>
      <c r="AX15" s="85">
        <f>AX$155*Population!BC$30</f>
        <v>22333.671482412061</v>
      </c>
      <c r="AY15" s="85">
        <f>AY$155*Population!BD$30</f>
        <v>22390.790464240905</v>
      </c>
      <c r="AZ15" s="85">
        <f>AZ$155*Population!BE$30</f>
        <v>22447.916666666668</v>
      </c>
      <c r="BA15" s="85">
        <f>BA$155*Population!BF$30</f>
        <v>22518.554443053818</v>
      </c>
      <c r="BB15" s="85">
        <f>BB$155*Population!BG$30</f>
        <v>22578.75</v>
      </c>
      <c r="BC15" s="85">
        <f>BC$155*Population!BH$30</f>
        <v>22645.988136122385</v>
      </c>
      <c r="BD15" s="85">
        <f>BD$155*Population!BI$30</f>
        <v>22713.560062402499</v>
      </c>
      <c r="BE15" s="85">
        <f>BE$155*Population!BJ$30</f>
        <v>22770.991890205863</v>
      </c>
      <c r="BF15" s="85">
        <f>BF$155*Population!BK$30</f>
        <v>22828.073566084789</v>
      </c>
      <c r="BG15" s="85">
        <f>BG$155*Population!BL$30</f>
        <v>22868.208164537242</v>
      </c>
    </row>
    <row r="16" spans="1:59" x14ac:dyDescent="0.2">
      <c r="C16" s="29">
        <v>21</v>
      </c>
      <c r="F16" s="85">
        <f>F$156*Population!K$31</f>
        <v>22223.063962558503</v>
      </c>
      <c r="G16" s="85">
        <f>G$156*Population!L$31</f>
        <v>22861.36952498458</v>
      </c>
      <c r="H16" s="85">
        <f>H$156*Population!M$31</f>
        <v>22960.703517587939</v>
      </c>
      <c r="I16" s="85">
        <f>I$156*Population!N$31</f>
        <v>23284.454887218046</v>
      </c>
      <c r="J16" s="85">
        <f>J$156*Population!O$31</f>
        <v>22853.432930705658</v>
      </c>
      <c r="K16" s="85">
        <f>K$156*Population!P$31</f>
        <v>22328.384665792921</v>
      </c>
      <c r="L16" s="85">
        <f>L$156*Population!Q$31</f>
        <v>22878.806492679822</v>
      </c>
      <c r="M16" s="85">
        <f>M$156*Population!R$31</f>
        <v>22343.218205293739</v>
      </c>
      <c r="N16" s="85">
        <f>N$156*Population!S$31</f>
        <v>21359.624413145539</v>
      </c>
      <c r="O16" s="85">
        <f>O$156*Population!T$31</f>
        <v>21126.042726347914</v>
      </c>
      <c r="P16" s="85">
        <f>P$156*Population!U$31</f>
        <v>21451.119253830781</v>
      </c>
      <c r="Q16" s="85">
        <f>Q$156*Population!V$31</f>
        <v>21360.456529036586</v>
      </c>
      <c r="R16" s="85">
        <f>R$156*Population!W$31</f>
        <v>21837.570584372948</v>
      </c>
      <c r="S16" s="85">
        <f>S$156*Population!X$31</f>
        <v>22722.981680353761</v>
      </c>
      <c r="T16" s="85">
        <f>T$156*Population!Y$31</f>
        <v>23555.158633312996</v>
      </c>
      <c r="U16" s="85">
        <f>U$156*Population!Z$31</f>
        <v>23308.482972136222</v>
      </c>
      <c r="V16" s="85">
        <f>V$156*Population!AA$31</f>
        <v>23922.673327278229</v>
      </c>
      <c r="W16" s="85">
        <f>W$156*Population!AB$31</f>
        <v>23595.194805194806</v>
      </c>
      <c r="X16" s="85">
        <f>X$156*Population!AC$31</f>
        <v>23258.204158790169</v>
      </c>
      <c r="Y16" s="85">
        <f>Y$156*Population!AD$31</f>
        <v>22974.271938283509</v>
      </c>
      <c r="Z16" s="85">
        <f>Z$156*Population!AE$31</f>
        <v>22322.391232148788</v>
      </c>
      <c r="AA16" s="85">
        <f>AA$156*Population!AF$31</f>
        <v>22278.337244384846</v>
      </c>
      <c r="AB16" s="85">
        <f>AB$156*Population!AG$31</f>
        <v>22260.675273088382</v>
      </c>
      <c r="AC16" s="85">
        <f>AC$156*Population!AH$31</f>
        <v>22584.569276121849</v>
      </c>
      <c r="AD16" s="85">
        <f>AD$156*Population!AI$31</f>
        <v>22982.805194805194</v>
      </c>
      <c r="AE16" s="85">
        <f>AE$156*Population!AJ$31</f>
        <v>23339.475378178307</v>
      </c>
      <c r="AF16" s="85">
        <f>AF$156*Population!AK$31</f>
        <v>23634.022988505745</v>
      </c>
      <c r="AG16" s="85">
        <f>AG$156*Population!AL$31</f>
        <v>23877.286846275751</v>
      </c>
      <c r="AH16" s="85">
        <f>AH$156*Population!AM$31</f>
        <v>24045.784499054818</v>
      </c>
      <c r="AI16" s="85">
        <f>AI$156*Population!AN$31</f>
        <v>24134.252585396425</v>
      </c>
      <c r="AJ16" s="85">
        <f>AJ$156*Population!AO$31</f>
        <v>24185.962558502339</v>
      </c>
      <c r="AK16" s="85">
        <f>AK$156*Population!AP$31</f>
        <v>24175.810264385695</v>
      </c>
      <c r="AL16" s="85">
        <f>AL$156*Population!AQ$31</f>
        <v>24143.290903446134</v>
      </c>
      <c r="AM16" s="85">
        <f>AM$156*Population!AR$31</f>
        <v>24069.426356589149</v>
      </c>
      <c r="AN16" s="85">
        <f>AN$156*Population!AS$31</f>
        <v>23951.016738995659</v>
      </c>
      <c r="AO16" s="85">
        <f>AO$156*Population!AT$31</f>
        <v>23820.121005274592</v>
      </c>
      <c r="AP16" s="85">
        <f>AP$156*Population!AU$31</f>
        <v>23672.517091361096</v>
      </c>
      <c r="AQ16" s="85">
        <f>AQ$156*Population!AV$31</f>
        <v>23511.460604173153</v>
      </c>
      <c r="AR16" s="85">
        <f>AR$156*Population!AW$31</f>
        <v>23347.196378395256</v>
      </c>
      <c r="AS16" s="85">
        <f>AS$156*Population!AX$31</f>
        <v>23207.311424100153</v>
      </c>
      <c r="AT16" s="85">
        <f>AT$156*Population!AY$31</f>
        <v>23080.953575909662</v>
      </c>
      <c r="AU16" s="85">
        <f>AU$156*Population!AZ$31</f>
        <v>22978.31605403707</v>
      </c>
      <c r="AV16" s="85">
        <f>AV$156*Population!BA$31</f>
        <v>22916.745283018867</v>
      </c>
      <c r="AW16" s="85">
        <f>AW$156*Population!BB$31</f>
        <v>22889.009433962263</v>
      </c>
      <c r="AX16" s="85">
        <f>AX$156*Population!BC$31</f>
        <v>22899.12606098711</v>
      </c>
      <c r="AY16" s="85">
        <f>AY$156*Population!BD$31</f>
        <v>22926.03015075377</v>
      </c>
      <c r="AZ16" s="85">
        <f>AZ$156*Population!BE$31</f>
        <v>22976.922835633628</v>
      </c>
      <c r="BA16" s="85">
        <f>BA$156*Population!BF$31</f>
        <v>23034.475414970249</v>
      </c>
      <c r="BB16" s="85">
        <f>BB$156*Population!BG$31</f>
        <v>23106.174538629966</v>
      </c>
      <c r="BC16" s="85">
        <f>BC$156*Population!BH$31</f>
        <v>23185.125</v>
      </c>
      <c r="BD16" s="85">
        <f>BD$156*Population!BI$31</f>
        <v>23253.649703403058</v>
      </c>
      <c r="BE16" s="85">
        <f>BE$156*Population!BJ$31</f>
        <v>23304.750467872738</v>
      </c>
      <c r="BF16" s="85">
        <f>BF$156*Population!BK$31</f>
        <v>23363.442469597754</v>
      </c>
      <c r="BG16" s="85">
        <f>BG$156*Population!BL$31</f>
        <v>23429.083541147131</v>
      </c>
    </row>
    <row r="17" spans="3:59" x14ac:dyDescent="0.2">
      <c r="C17" s="29">
        <v>22</v>
      </c>
      <c r="F17" s="85">
        <f>F$157*Population!K$32</f>
        <v>23182.799013563501</v>
      </c>
      <c r="G17" s="85">
        <f>G$157*Population!L$32</f>
        <v>23479.255121042828</v>
      </c>
      <c r="H17" s="85">
        <f>H$157*Population!M$32</f>
        <v>23977.054263565893</v>
      </c>
      <c r="I17" s="85">
        <f>I$157*Population!N$32</f>
        <v>23944.829545454544</v>
      </c>
      <c r="J17" s="85">
        <f>J$157*Population!O$32</f>
        <v>24137.448818897639</v>
      </c>
      <c r="K17" s="85">
        <f>K$157*Population!P$32</f>
        <v>23575.455417066154</v>
      </c>
      <c r="L17" s="85">
        <f>L$157*Population!Q$32</f>
        <v>22894.906095551894</v>
      </c>
      <c r="M17" s="85">
        <f>M$157*Population!R$32</f>
        <v>23328.051200000002</v>
      </c>
      <c r="N17" s="85">
        <f>N$157*Population!S$32</f>
        <v>22778.754055807916</v>
      </c>
      <c r="O17" s="85">
        <f>O$157*Population!T$32</f>
        <v>21774.556492411466</v>
      </c>
      <c r="P17" s="85">
        <f>P$157*Population!U$32</f>
        <v>21515.983634503918</v>
      </c>
      <c r="Q17" s="85">
        <f>Q$157*Population!V$32</f>
        <v>21860.395177494978</v>
      </c>
      <c r="R17" s="85">
        <f>R$157*Population!W$32</f>
        <v>21771.815727303408</v>
      </c>
      <c r="S17" s="85">
        <f>S$157*Population!X$32</f>
        <v>22256.058104985143</v>
      </c>
      <c r="T17" s="85">
        <f>T$157*Population!Y$32</f>
        <v>23180.374722134013</v>
      </c>
      <c r="U17" s="85">
        <f>U$157*Population!Z$32</f>
        <v>24037.234825260577</v>
      </c>
      <c r="V17" s="85">
        <f>V$157*Population!AA$32</f>
        <v>23782.887367766023</v>
      </c>
      <c r="W17" s="85">
        <f>W$157*Population!AB$32</f>
        <v>24402.701551566777</v>
      </c>
      <c r="X17" s="85">
        <f>X$157*Population!AC$32</f>
        <v>24069.686140459915</v>
      </c>
      <c r="Y17" s="85">
        <f>Y$157*Population!AD$32</f>
        <v>23732.286257124764</v>
      </c>
      <c r="Z17" s="85">
        <f>Z$157*Population!AE$32</f>
        <v>23431.993537964459</v>
      </c>
      <c r="AA17" s="85">
        <f>AA$157*Population!AF$32</f>
        <v>22772.113522537562</v>
      </c>
      <c r="AB17" s="85">
        <f>AB$157*Population!AG$32</f>
        <v>22714.728682170546</v>
      </c>
      <c r="AC17" s="85">
        <f>AC$157*Population!AH$32</f>
        <v>22706.529118136437</v>
      </c>
      <c r="AD17" s="85">
        <f>AD$157*Population!AI$32</f>
        <v>23032.976621666116</v>
      </c>
      <c r="AE17" s="85">
        <f>AE$157*Population!AJ$32</f>
        <v>23447.389033942556</v>
      </c>
      <c r="AF17" s="85">
        <f>AF$157*Population!AK$32</f>
        <v>23816.038834951454</v>
      </c>
      <c r="AG17" s="85">
        <f>AG$157*Population!AL$32</f>
        <v>24116.829268292684</v>
      </c>
      <c r="AH17" s="85">
        <f>AH$157*Population!AM$32</f>
        <v>24362.676864244742</v>
      </c>
      <c r="AI17" s="85">
        <f>AI$157*Population!AN$32</f>
        <v>24530.968967701076</v>
      </c>
      <c r="AJ17" s="85">
        <f>AJ$157*Population!AO$32</f>
        <v>24622.337007874015</v>
      </c>
      <c r="AK17" s="85">
        <f>AK$157*Population!AP$32</f>
        <v>24680.175658720204</v>
      </c>
      <c r="AL17" s="85">
        <f>AL$157*Population!AQ$32</f>
        <v>24685.869293308318</v>
      </c>
      <c r="AM17" s="85">
        <f>AM$157*Population!AR$32</f>
        <v>24643.151326053041</v>
      </c>
      <c r="AN17" s="85">
        <f>AN$157*Population!AS$32</f>
        <v>24555.537550638826</v>
      </c>
      <c r="AO17" s="85">
        <f>AO$157*Population!AT$32</f>
        <v>24444.52336448598</v>
      </c>
      <c r="AP17" s="85">
        <f>AP$157*Population!AU$32</f>
        <v>24310.517617711255</v>
      </c>
      <c r="AQ17" s="85">
        <f>AQ$157*Population!AV$32</f>
        <v>24149.034978138665</v>
      </c>
      <c r="AR17" s="85">
        <f>AR$157*Population!AW$32</f>
        <v>23984.951486697966</v>
      </c>
      <c r="AS17" s="85">
        <f>AS$157*Population!AX$32</f>
        <v>23817.860056479447</v>
      </c>
      <c r="AT17" s="85">
        <f>AT$157*Population!AY$32</f>
        <v>23675.495438817241</v>
      </c>
      <c r="AU17" s="85">
        <f>AU$157*Population!AZ$32</f>
        <v>23554.474929044467</v>
      </c>
      <c r="AV17" s="85">
        <f>AV$157*Population!BA$32</f>
        <v>23450.107391029691</v>
      </c>
      <c r="AW17" s="85">
        <f>AW$157*Population!BB$32</f>
        <v>23379.974715549935</v>
      </c>
      <c r="AX17" s="85">
        <f>AX$157*Population!BC$32</f>
        <v>23358.83654758141</v>
      </c>
      <c r="AY17" s="85">
        <f>AY$157*Population!BD$32</f>
        <v>23361.554502369669</v>
      </c>
      <c r="AZ17" s="85">
        <f>AZ$157*Population!BE$32</f>
        <v>23388.63636363636</v>
      </c>
      <c r="BA17" s="85">
        <f>BA$157*Population!BF$32</f>
        <v>23440.081967213115</v>
      </c>
      <c r="BB17" s="85">
        <f>BB$157*Population!BG$32</f>
        <v>23498.394711992445</v>
      </c>
      <c r="BC17" s="85">
        <f>BC$157*Population!BH$32</f>
        <v>23571.229173215968</v>
      </c>
      <c r="BD17" s="85">
        <f>BD$157*Population!BI$32</f>
        <v>23651.494974874371</v>
      </c>
      <c r="BE17" s="85">
        <f>BE$157*Population!BJ$32</f>
        <v>23721.36178224035</v>
      </c>
      <c r="BF17" s="85">
        <f>BF$157*Population!BK$32</f>
        <v>23773.636363636364</v>
      </c>
      <c r="BG17" s="85">
        <f>BG$157*Population!BL$32</f>
        <v>23844.149169539327</v>
      </c>
    </row>
    <row r="18" spans="3:59" x14ac:dyDescent="0.2">
      <c r="C18" s="29">
        <v>23</v>
      </c>
      <c r="F18" s="85">
        <f>F$158*Population!K$33</f>
        <v>23714.828756556621</v>
      </c>
      <c r="G18" s="85">
        <f>G$158*Population!L$33</f>
        <v>24547.776761207686</v>
      </c>
      <c r="H18" s="85">
        <f>H$158*Population!M$33</f>
        <v>24502.300279763756</v>
      </c>
      <c r="I18" s="85">
        <f>I$158*Population!N$33</f>
        <v>24859.242000621314</v>
      </c>
      <c r="J18" s="85">
        <f>J$158*Population!O$33</f>
        <v>24670.417457305502</v>
      </c>
      <c r="K18" s="85">
        <f>K$158*Population!P$33</f>
        <v>24712.302839116721</v>
      </c>
      <c r="L18" s="85">
        <f>L$158*Population!Q$33</f>
        <v>23979.526248399488</v>
      </c>
      <c r="M18" s="85">
        <f>M$158*Population!R$33</f>
        <v>23118.151815181518</v>
      </c>
      <c r="N18" s="85">
        <f>N$158*Population!S$33</f>
        <v>23575.115384615383</v>
      </c>
      <c r="O18" s="85">
        <f>O$158*Population!T$33</f>
        <v>23021.280467988297</v>
      </c>
      <c r="P18" s="85">
        <f>P$158*Population!U$33</f>
        <v>22014.37837837838</v>
      </c>
      <c r="Q18" s="85">
        <f>Q$158*Population!V$33</f>
        <v>21765.573770491803</v>
      </c>
      <c r="R18" s="85">
        <f>R$158*Population!W$33</f>
        <v>22119.288829251927</v>
      </c>
      <c r="S18" s="85">
        <f>S$158*Population!X$33</f>
        <v>22032.221095334684</v>
      </c>
      <c r="T18" s="85">
        <f>T$158*Population!Y$33</f>
        <v>22537.003968253968</v>
      </c>
      <c r="U18" s="85">
        <f>U$158*Population!Z$33</f>
        <v>23482.697201017811</v>
      </c>
      <c r="V18" s="85">
        <f>V$158*Population!AA$33</f>
        <v>24361.08108108108</v>
      </c>
      <c r="W18" s="85">
        <f>W$158*Population!AB$33</f>
        <v>24116.091022443892</v>
      </c>
      <c r="X18" s="85">
        <f>X$158*Population!AC$33</f>
        <v>24750.859232175502</v>
      </c>
      <c r="Y18" s="85">
        <f>Y$158*Population!AD$33</f>
        <v>24411.322751322754</v>
      </c>
      <c r="Z18" s="85">
        <f>Z$158*Population!AE$33</f>
        <v>24065.95623215985</v>
      </c>
      <c r="AA18" s="85">
        <f>AA$158*Population!AF$33</f>
        <v>23769.514563106797</v>
      </c>
      <c r="AB18" s="85">
        <f>AB$158*Population!AG$33</f>
        <v>23090.5016722408</v>
      </c>
      <c r="AC18" s="85">
        <f>AC$158*Population!AH$33</f>
        <v>23036.596893990547</v>
      </c>
      <c r="AD18" s="85">
        <f>AD$158*Population!AI$33</f>
        <v>23032.346666666665</v>
      </c>
      <c r="AE18" s="85">
        <f>AE$158*Population!AJ$33</f>
        <v>23382.124010554089</v>
      </c>
      <c r="AF18" s="85">
        <f>AF$158*Population!AK$33</f>
        <v>23790.526315789473</v>
      </c>
      <c r="AG18" s="85">
        <f>AG$158*Population!AL$33</f>
        <v>24173.623987034036</v>
      </c>
      <c r="AH18" s="85">
        <f>AH$158*Population!AM$33</f>
        <v>24487.688846030218</v>
      </c>
      <c r="AI18" s="85">
        <f>AI$158*Population!AN$33</f>
        <v>24738.130185067006</v>
      </c>
      <c r="AJ18" s="85">
        <f>AJ$158*Population!AO$33</f>
        <v>24914.728829686013</v>
      </c>
      <c r="AK18" s="85">
        <f>AK$158*Population!AP$33</f>
        <v>25005.208201892743</v>
      </c>
      <c r="AL18" s="85">
        <f>AL$158*Population!AQ$33</f>
        <v>25061.834747093933</v>
      </c>
      <c r="AM18" s="85">
        <f>AM$158*Population!AR$33</f>
        <v>25076.683369871596</v>
      </c>
      <c r="AN18" s="85">
        <f>AN$158*Population!AS$33</f>
        <v>25031.7</v>
      </c>
      <c r="AO18" s="85">
        <f>AO$158*Population!AT$33</f>
        <v>24952.253433208487</v>
      </c>
      <c r="AP18" s="85">
        <f>AP$158*Population!AU$33</f>
        <v>24827.700468018724</v>
      </c>
      <c r="AQ18" s="85">
        <f>AQ$158*Population!AV$33</f>
        <v>24691.039975015618</v>
      </c>
      <c r="AR18" s="85">
        <f>AR$158*Population!AW$33</f>
        <v>24537.297466374726</v>
      </c>
      <c r="AS18" s="85">
        <f>AS$158*Population!AX$33</f>
        <v>24370.539184952981</v>
      </c>
      <c r="AT18" s="85">
        <f>AT$158*Population!AY$33</f>
        <v>24200.958516656188</v>
      </c>
      <c r="AU18" s="85">
        <f>AU$158*Population!AZ$33</f>
        <v>24045.992438563328</v>
      </c>
      <c r="AV18" s="85">
        <f>AV$158*Population!BA$33</f>
        <v>23915.730975686769</v>
      </c>
      <c r="AW18" s="85">
        <f>AW$158*Population!BB$33</f>
        <v>23809.917773561036</v>
      </c>
      <c r="AX18" s="85">
        <f>AX$158*Population!BC$33</f>
        <v>23746.179170623618</v>
      </c>
      <c r="AY18" s="85">
        <f>AY$158*Population!BD$33</f>
        <v>23716.980056980057</v>
      </c>
      <c r="AZ18" s="85">
        <f>AZ$158*Population!BE$33</f>
        <v>23727.056962025315</v>
      </c>
      <c r="BA18" s="85">
        <f>BA$158*Population!BF$33</f>
        <v>23754.302877015492</v>
      </c>
      <c r="BB18" s="85">
        <f>BB$158*Population!BG$33</f>
        <v>23813.526997158195</v>
      </c>
      <c r="BC18" s="85">
        <f>BC$158*Population!BH$33</f>
        <v>23865.226986128626</v>
      </c>
      <c r="BD18" s="85">
        <f>BD$158*Population!BI$33</f>
        <v>23939.042821158691</v>
      </c>
      <c r="BE18" s="85">
        <f>BE$158*Population!BJ$33</f>
        <v>24012.861635220124</v>
      </c>
      <c r="BF18" s="85">
        <f>BF$158*Population!BK$33</f>
        <v>24083.883129123467</v>
      </c>
      <c r="BG18" s="85">
        <f>BG$158*Population!BL$33</f>
        <v>24155.180533751962</v>
      </c>
    </row>
    <row r="19" spans="3:59" x14ac:dyDescent="0.2">
      <c r="C19" s="29">
        <v>24</v>
      </c>
      <c r="F19" s="85">
        <f>F$159*Population!K$34</f>
        <v>24780.137436510307</v>
      </c>
      <c r="G19" s="85">
        <f>G$159*Population!L$34</f>
        <v>25233.749620176237</v>
      </c>
      <c r="H19" s="85">
        <f>H$159*Population!M$34</f>
        <v>25829.890510948902</v>
      </c>
      <c r="I19" s="85">
        <f>I$159*Population!N$34</f>
        <v>25608.096714197145</v>
      </c>
      <c r="J19" s="85">
        <f>J$159*Population!O$34</f>
        <v>25807.838340043356</v>
      </c>
      <c r="K19" s="85">
        <f>K$159*Population!P$34</f>
        <v>25449.98738965952</v>
      </c>
      <c r="L19" s="85">
        <f>L$159*Population!Q$34</f>
        <v>25328.047169811322</v>
      </c>
      <c r="M19" s="85">
        <f>M$159*Population!R$34</f>
        <v>24402.345245692406</v>
      </c>
      <c r="N19" s="85">
        <f>N$159*Population!S$34</f>
        <v>23563.534057255678</v>
      </c>
      <c r="O19" s="85">
        <f>O$159*Population!T$34</f>
        <v>24039.226589964845</v>
      </c>
      <c r="P19" s="85">
        <f>P$159*Population!U$34</f>
        <v>23479.844458846401</v>
      </c>
      <c r="Q19" s="85">
        <f>Q$159*Population!V$34</f>
        <v>22451.717171717173</v>
      </c>
      <c r="R19" s="85">
        <f>R$159*Population!W$34</f>
        <v>22209.819543752128</v>
      </c>
      <c r="S19" s="85">
        <f>S$159*Population!X$34</f>
        <v>22590.270903010034</v>
      </c>
      <c r="T19" s="85">
        <f>T$159*Population!Y$34</f>
        <v>22504.954499494437</v>
      </c>
      <c r="U19" s="85">
        <f>U$159*Population!Z$34</f>
        <v>23022.59723137772</v>
      </c>
      <c r="V19" s="85">
        <f>V$159*Population!AA$34</f>
        <v>23992.542802790107</v>
      </c>
      <c r="W19" s="85">
        <f>W$159*Population!AB$34</f>
        <v>24910</v>
      </c>
      <c r="X19" s="85">
        <f>X$159*Population!AC$34</f>
        <v>24660.049720323183</v>
      </c>
      <c r="Y19" s="85">
        <f>Y$159*Population!AD$34</f>
        <v>25325.06836827712</v>
      </c>
      <c r="Z19" s="85">
        <f>Z$159*Population!AE$34</f>
        <v>24979.729981378026</v>
      </c>
      <c r="AA19" s="85">
        <f>AA$159*Population!AF$34</f>
        <v>24637.286527514232</v>
      </c>
      <c r="AB19" s="85">
        <f>AB$159*Population!AG$34</f>
        <v>24327.058064516128</v>
      </c>
      <c r="AC19" s="85">
        <f>AC$159*Population!AH$34</f>
        <v>23639.85</v>
      </c>
      <c r="AD19" s="85">
        <f>AD$159*Population!AI$34</f>
        <v>23586.971736204578</v>
      </c>
      <c r="AE19" s="85">
        <f>AE$159*Population!AJ$34</f>
        <v>23585.392026578073</v>
      </c>
      <c r="AF19" s="85">
        <f>AF$159*Population!AK$34</f>
        <v>23940.716633793556</v>
      </c>
      <c r="AG19" s="85">
        <f>AG$159*Population!AL$34</f>
        <v>24375.842293906808</v>
      </c>
      <c r="AH19" s="85">
        <f>AH$159*Population!AM$34</f>
        <v>24763.473344103393</v>
      </c>
      <c r="AI19" s="85">
        <f>AI$159*Population!AN$34</f>
        <v>25087.991028516502</v>
      </c>
      <c r="AJ19" s="85">
        <f>AJ$159*Population!AO$34</f>
        <v>25359.045497931915</v>
      </c>
      <c r="AK19" s="85">
        <f>AK$159*Population!AP$34</f>
        <v>25531.539677521338</v>
      </c>
      <c r="AL19" s="85">
        <f>AL$159*Population!AQ$34</f>
        <v>25639.245283018867</v>
      </c>
      <c r="AM19" s="85">
        <f>AM$159*Population!AR$34</f>
        <v>25694.450360162857</v>
      </c>
      <c r="AN19" s="85">
        <f>AN$159*Population!AS$34</f>
        <v>25699.825163908834</v>
      </c>
      <c r="AO19" s="85">
        <f>AO$159*Population!AT$34</f>
        <v>25652.171339563862</v>
      </c>
      <c r="AP19" s="85">
        <f>AP$159*Population!AU$34</f>
        <v>25569.695084007468</v>
      </c>
      <c r="AQ19" s="85">
        <f>AQ$159*Population!AV$34</f>
        <v>25449.300155520996</v>
      </c>
      <c r="AR19" s="85">
        <f>AR$159*Population!AW$34</f>
        <v>25312.5</v>
      </c>
      <c r="AS19" s="85">
        <f>AS$159*Population!AX$34</f>
        <v>25152.38540692236</v>
      </c>
      <c r="AT19" s="85">
        <f>AT$159*Population!AY$34</f>
        <v>24982.5</v>
      </c>
      <c r="AU19" s="85">
        <f>AU$159*Population!AZ$34</f>
        <v>24810</v>
      </c>
      <c r="AV19" s="85">
        <f>AV$159*Population!BA$34</f>
        <v>24652.5</v>
      </c>
      <c r="AW19" s="85">
        <f>AW$159*Population!BB$34</f>
        <v>24509.782813975446</v>
      </c>
      <c r="AX19" s="85">
        <f>AX$159*Population!BC$34</f>
        <v>24412.5</v>
      </c>
      <c r="AY19" s="85">
        <f>AY$159*Population!BD$34</f>
        <v>24347.560744714421</v>
      </c>
      <c r="AZ19" s="85">
        <f>AZ$159*Population!BE$34</f>
        <v>24307.32723256548</v>
      </c>
      <c r="BA19" s="85">
        <f>BA$159*Population!BF$34</f>
        <v>24320.113564668769</v>
      </c>
      <c r="BB19" s="85">
        <f>BB$159*Population!BG$34</f>
        <v>24355.058304443744</v>
      </c>
      <c r="BC19" s="85">
        <f>BC$159*Population!BH$34</f>
        <v>24399.880427942102</v>
      </c>
      <c r="BD19" s="85">
        <f>BD$159*Population!BI$34</f>
        <v>24467.372721558768</v>
      </c>
      <c r="BE19" s="85">
        <f>BE$159*Population!BJ$34</f>
        <v>24552.636534839923</v>
      </c>
      <c r="BF19" s="85">
        <f>BF$159*Population!BK$34</f>
        <v>24617.354231974921</v>
      </c>
      <c r="BG19" s="85">
        <f>BG$159*Population!BL$34</f>
        <v>24700.078296273099</v>
      </c>
    </row>
    <row r="20" spans="3:59" x14ac:dyDescent="0.2">
      <c r="C20" s="29">
        <v>25</v>
      </c>
      <c r="F20" s="85">
        <f>F$160*Population!K$35</f>
        <v>24367.595594983173</v>
      </c>
      <c r="G20" s="85">
        <f>G$160*Population!L$35</f>
        <v>26308.086854460093</v>
      </c>
      <c r="H20" s="85">
        <f>H$160*Population!M$35</f>
        <v>26491.565610859729</v>
      </c>
      <c r="I20" s="85">
        <f>I$160*Population!N$35</f>
        <v>26927.445652173916</v>
      </c>
      <c r="J20" s="85">
        <f>J$160*Population!O$35</f>
        <v>26541.169230769228</v>
      </c>
      <c r="K20" s="85">
        <f>K$160*Population!P$35</f>
        <v>26549.019366738394</v>
      </c>
      <c r="L20" s="85">
        <f>L$160*Population!Q$35</f>
        <v>26021.032863849763</v>
      </c>
      <c r="M20" s="85">
        <f>M$160*Population!R$35</f>
        <v>25709.434904776772</v>
      </c>
      <c r="N20" s="85">
        <f>N$160*Population!S$35</f>
        <v>24787.146024706999</v>
      </c>
      <c r="O20" s="85">
        <f>O$160*Population!T$35</f>
        <v>23928.214169115246</v>
      </c>
      <c r="P20" s="85">
        <f>P$160*Population!U$35</f>
        <v>24411.294005708849</v>
      </c>
      <c r="Q20" s="85">
        <f>Q$160*Population!V$35</f>
        <v>23856.295819935691</v>
      </c>
      <c r="R20" s="85">
        <f>R$160*Population!W$35</f>
        <v>22816.047444036085</v>
      </c>
      <c r="S20" s="85">
        <f>S$160*Population!X$35</f>
        <v>22573.711583924349</v>
      </c>
      <c r="T20" s="85">
        <f>T$160*Population!Y$35</f>
        <v>22956.244193762443</v>
      </c>
      <c r="U20" s="85">
        <f>U$160*Population!Z$35</f>
        <v>22871.838849882981</v>
      </c>
      <c r="V20" s="85">
        <f>V$160*Population!AA$35</f>
        <v>23399.578155657295</v>
      </c>
      <c r="W20" s="85">
        <f>W$160*Population!AB$35</f>
        <v>24387.753303964757</v>
      </c>
      <c r="X20" s="85">
        <f>X$160*Population!AC$35</f>
        <v>25318.613981762916</v>
      </c>
      <c r="Y20" s="85">
        <f>Y$160*Population!AD$35</f>
        <v>25067.20851326342</v>
      </c>
      <c r="Z20" s="85">
        <f>Z$160*Population!AE$35</f>
        <v>25743.589743589742</v>
      </c>
      <c r="AA20" s="85">
        <f>AA$160*Population!AF$35</f>
        <v>25390.246457178066</v>
      </c>
      <c r="AB20" s="85">
        <f>AB$160*Population!AG$35</f>
        <v>25049.227871939736</v>
      </c>
      <c r="AC20" s="85">
        <f>AC$160*Population!AH$35</f>
        <v>24741.20358514725</v>
      </c>
      <c r="AD20" s="85">
        <f>AD$160*Population!AI$35</f>
        <v>24034.166666666664</v>
      </c>
      <c r="AE20" s="85">
        <f>AE$160*Population!AJ$35</f>
        <v>23986.435246995996</v>
      </c>
      <c r="AF20" s="85">
        <f>AF$160*Population!AK$35</f>
        <v>23991.179960448255</v>
      </c>
      <c r="AG20" s="85">
        <f>AG$160*Population!AL$35</f>
        <v>24344.859752120028</v>
      </c>
      <c r="AH20" s="85">
        <f>AH$160*Population!AM$35</f>
        <v>24782.741674749435</v>
      </c>
      <c r="AI20" s="85">
        <f>AI$160*Population!AN$35</f>
        <v>25183.25104200064</v>
      </c>
      <c r="AJ20" s="85">
        <f>AJ$160*Population!AO$35</f>
        <v>25512.496025437202</v>
      </c>
      <c r="AK20" s="85">
        <f>AK$160*Population!AP$35</f>
        <v>25781.417745500472</v>
      </c>
      <c r="AL20" s="85">
        <f>AL$160*Population!AQ$35</f>
        <v>25964.788202070911</v>
      </c>
      <c r="AM20" s="85">
        <f>AM$160*Population!AR$35</f>
        <v>26072.059925093632</v>
      </c>
      <c r="AN20" s="85">
        <f>AN$160*Population!AS$35</f>
        <v>26126.565122785207</v>
      </c>
      <c r="AO20" s="85">
        <f>AO$160*Population!AT$35</f>
        <v>26130.858382398514</v>
      </c>
      <c r="AP20" s="85">
        <f>AP$160*Population!AU$35</f>
        <v>26081.883116883117</v>
      </c>
      <c r="AQ20" s="85">
        <f>AQ$160*Population!AV$35</f>
        <v>25997.899938233477</v>
      </c>
      <c r="AR20" s="85">
        <f>AR$160*Population!AW$35</f>
        <v>25886.468045693116</v>
      </c>
      <c r="AS20" s="85">
        <f>AS$160*Population!AX$35</f>
        <v>25737.432014833128</v>
      </c>
      <c r="AT20" s="85">
        <f>AT$160*Population!AY$35</f>
        <v>25575.766016713093</v>
      </c>
      <c r="AU20" s="85">
        <f>AU$160*Population!AZ$35</f>
        <v>25396.712158808932</v>
      </c>
      <c r="AV20" s="85">
        <f>AV$160*Population!BA$35</f>
        <v>25230.348258706465</v>
      </c>
      <c r="AW20" s="85">
        <f>AW$160*Population!BB$35</f>
        <v>25071.577306733168</v>
      </c>
      <c r="AX20" s="85">
        <f>AX$160*Population!BC$35</f>
        <v>24930.45923149016</v>
      </c>
      <c r="AY20" s="85">
        <f>AY$160*Population!BD$35</f>
        <v>24829.608886107635</v>
      </c>
      <c r="AZ20" s="85">
        <f>AZ$160*Population!BE$35</f>
        <v>24764.065142499217</v>
      </c>
      <c r="BA20" s="85">
        <f>BA$160*Population!BF$35</f>
        <v>24733.661133730035</v>
      </c>
      <c r="BB20" s="85">
        <f>BB$160*Population!BG$35</f>
        <v>24728.363067292645</v>
      </c>
      <c r="BC20" s="85">
        <f>BC$160*Population!BH$35</f>
        <v>24763.508442776736</v>
      </c>
      <c r="BD20" s="85">
        <f>BD$160*Population!BI$35</f>
        <v>24816.296064959402</v>
      </c>
      <c r="BE20" s="85">
        <f>BE$160*Population!BJ$35</f>
        <v>24894.494697442293</v>
      </c>
      <c r="BF20" s="85">
        <f>BF$160*Population!BK$35</f>
        <v>24970.093457943924</v>
      </c>
      <c r="BG20" s="85">
        <f>BG$160*Population!BL$35</f>
        <v>25045.690728064717</v>
      </c>
    </row>
    <row r="21" spans="3:59" x14ac:dyDescent="0.2">
      <c r="C21" s="29">
        <v>26</v>
      </c>
      <c r="F21" s="85">
        <f>F$161*Population!K$36</f>
        <v>23617.586535408067</v>
      </c>
      <c r="G21" s="85">
        <f>G$161*Population!L$36</f>
        <v>25789.832435667264</v>
      </c>
      <c r="H21" s="85">
        <f>H$161*Population!M$36</f>
        <v>27467.014795474326</v>
      </c>
      <c r="I21" s="85">
        <f>I$161*Population!N$36</f>
        <v>27500.462272591707</v>
      </c>
      <c r="J21" s="85">
        <f>J$161*Population!O$36</f>
        <v>27766.875559534466</v>
      </c>
      <c r="K21" s="85">
        <f>K$161*Population!P$36</f>
        <v>27216.722408026759</v>
      </c>
      <c r="L21" s="85">
        <f>L$161*Population!Q$36</f>
        <v>27086.089334548771</v>
      </c>
      <c r="M21" s="85">
        <f>M$161*Population!R$36</f>
        <v>26383.831168831166</v>
      </c>
      <c r="N21" s="85">
        <f>N$161*Population!S$36</f>
        <v>26069.592843923503</v>
      </c>
      <c r="O21" s="85">
        <f>O$161*Population!T$36</f>
        <v>25143.501251564456</v>
      </c>
      <c r="P21" s="85">
        <f>P$161*Population!U$36</f>
        <v>24283.510638297874</v>
      </c>
      <c r="Q21" s="85">
        <f>Q$161*Population!V$36</f>
        <v>24765</v>
      </c>
      <c r="R21" s="85">
        <f>R$161*Population!W$36</f>
        <v>24200.806605271515</v>
      </c>
      <c r="S21" s="85">
        <f>S$161*Population!X$36</f>
        <v>23166.972295514512</v>
      </c>
      <c r="T21" s="85">
        <f>T$161*Population!Y$36</f>
        <v>22924.416666666664</v>
      </c>
      <c r="U21" s="85">
        <f>U$161*Population!Z$36</f>
        <v>23306.606616442841</v>
      </c>
      <c r="V21" s="85">
        <f>V$161*Population!AA$36</f>
        <v>23232.726072607264</v>
      </c>
      <c r="W21" s="85">
        <f>W$161*Population!AB$36</f>
        <v>23760.426218921537</v>
      </c>
      <c r="X21" s="85">
        <f>X$161*Population!AC$36</f>
        <v>24759.045694746655</v>
      </c>
      <c r="Y21" s="85">
        <f>Y$161*Population!AD$36</f>
        <v>25690.147191348755</v>
      </c>
      <c r="Z21" s="85">
        <f>Z$161*Population!AE$36</f>
        <v>25431.76165803109</v>
      </c>
      <c r="AA21" s="85">
        <f>AA$161*Population!AF$36</f>
        <v>26116.314847942755</v>
      </c>
      <c r="AB21" s="85">
        <f>AB$161*Population!AG$36</f>
        <v>25764.140030441402</v>
      </c>
      <c r="AC21" s="85">
        <f>AC$161*Population!AH$36</f>
        <v>25423.813953488374</v>
      </c>
      <c r="AD21" s="85">
        <f>AD$161*Population!AI$36</f>
        <v>25106.490673411317</v>
      </c>
      <c r="AE21" s="85">
        <f>AE$161*Population!AJ$36</f>
        <v>24410.460333006857</v>
      </c>
      <c r="AF21" s="85">
        <f>AF$161*Population!AK$36</f>
        <v>24360.945634266885</v>
      </c>
      <c r="AG21" s="85">
        <f>AG$161*Population!AL$36</f>
        <v>24355.94858444517</v>
      </c>
      <c r="AH21" s="85">
        <f>AH$161*Population!AM$36</f>
        <v>24720.747181964573</v>
      </c>
      <c r="AI21" s="85">
        <f>AI$161*Population!AN$36</f>
        <v>25160.118135376753</v>
      </c>
      <c r="AJ21" s="85">
        <f>AJ$161*Population!AO$36</f>
        <v>25561.79860671311</v>
      </c>
      <c r="AK21" s="85">
        <f>AK$161*Population!AP$36</f>
        <v>25891.827889447235</v>
      </c>
      <c r="AL21" s="85">
        <f>AL$161*Population!AQ$36</f>
        <v>26153.171188026194</v>
      </c>
      <c r="AM21" s="85">
        <f>AM$161*Population!AR$36</f>
        <v>26344.745815251088</v>
      </c>
      <c r="AN21" s="85">
        <f>AN$161*Population!AS$36</f>
        <v>26451.8038852914</v>
      </c>
      <c r="AO21" s="85">
        <f>AO$161*Population!AT$36</f>
        <v>26497.820079828063</v>
      </c>
      <c r="AP21" s="85">
        <f>AP$161*Population!AU$36</f>
        <v>26501.585552494646</v>
      </c>
      <c r="AQ21" s="85">
        <f>AQ$161*Population!AV$36</f>
        <v>26462.553451435553</v>
      </c>
      <c r="AR21" s="85">
        <f>AR$161*Population!AW$36</f>
        <v>26385.849862679279</v>
      </c>
      <c r="AS21" s="85">
        <f>AS$161*Population!AX$36</f>
        <v>26263.081147040881</v>
      </c>
      <c r="AT21" s="85">
        <f>AT$161*Population!AY$36</f>
        <v>26120.83969465649</v>
      </c>
      <c r="AU21" s="85">
        <f>AU$161*Population!AZ$36</f>
        <v>25961.119266055044</v>
      </c>
      <c r="AV21" s="85">
        <f>AV$161*Population!BA$36</f>
        <v>25778.486055776892</v>
      </c>
      <c r="AW21" s="85">
        <f>AW$161*Population!BB$36</f>
        <v>25603.77880184332</v>
      </c>
      <c r="AX21" s="85">
        <f>AX$161*Population!BC$36</f>
        <v>25444.360948567908</v>
      </c>
      <c r="AY21" s="85">
        <f>AY$161*Population!BD$36</f>
        <v>25310.283950617286</v>
      </c>
      <c r="AZ21" s="85">
        <f>AZ$161*Population!BE$36</f>
        <v>25201.391035548684</v>
      </c>
      <c r="BA21" s="85">
        <f>BA$161*Population!BF$36</f>
        <v>25135.535272277226</v>
      </c>
      <c r="BB21" s="85">
        <f>BB$161*Population!BG$36</f>
        <v>25104.928836633662</v>
      </c>
      <c r="BC21" s="85">
        <f>BC$161*Population!BH$36</f>
        <v>25107.198515769946</v>
      </c>
      <c r="BD21" s="85">
        <f>BD$161*Population!BI$36</f>
        <v>25134.803830707446</v>
      </c>
      <c r="BE21" s="85">
        <f>BE$161*Population!BJ$36</f>
        <v>25195.390311632214</v>
      </c>
      <c r="BF21" s="85">
        <f>BF$161*Population!BK$36</f>
        <v>25266.151001540831</v>
      </c>
      <c r="BG21" s="85">
        <f>BG$161*Population!BL$36</f>
        <v>25334.252307692306</v>
      </c>
    </row>
    <row r="22" spans="3:59" x14ac:dyDescent="0.2">
      <c r="C22" s="29">
        <v>27</v>
      </c>
      <c r="F22" s="85">
        <f>F$162*Population!K$37</f>
        <v>23448.2304</v>
      </c>
      <c r="G22" s="85">
        <f>G$162*Population!L$37</f>
        <v>24825.139664804472</v>
      </c>
      <c r="H22" s="85">
        <f>H$162*Population!M$37</f>
        <v>26866.422451994091</v>
      </c>
      <c r="I22" s="85">
        <f>I$162*Population!N$37</f>
        <v>28406.080229226362</v>
      </c>
      <c r="J22" s="85">
        <f>J$162*Population!O$37</f>
        <v>28300.276714748306</v>
      </c>
      <c r="K22" s="85">
        <f>K$162*Population!P$37</f>
        <v>28433.803771361225</v>
      </c>
      <c r="L22" s="85">
        <f>L$162*Population!Q$37</f>
        <v>27740.564225690276</v>
      </c>
      <c r="M22" s="85">
        <f>M$162*Population!R$37</f>
        <v>27457.61619190405</v>
      </c>
      <c r="N22" s="85">
        <f>N$162*Population!S$37</f>
        <v>26754.093959731541</v>
      </c>
      <c r="O22" s="85">
        <f>O$162*Population!T$37</f>
        <v>26445.663420572124</v>
      </c>
      <c r="P22" s="85">
        <f>P$162*Population!U$37</f>
        <v>25509.481481481482</v>
      </c>
      <c r="Q22" s="85">
        <f>Q$162*Population!V$37</f>
        <v>24648.760330578512</v>
      </c>
      <c r="R22" s="85">
        <f>R$162*Population!W$37</f>
        <v>25154.819165378671</v>
      </c>
      <c r="S22" s="85">
        <f>S$162*Population!X$37</f>
        <v>24589.342105263157</v>
      </c>
      <c r="T22" s="85">
        <f>T$162*Population!Y$37</f>
        <v>23536.931079323796</v>
      </c>
      <c r="U22" s="85">
        <f>U$162*Population!Z$37</f>
        <v>23294.2247043364</v>
      </c>
      <c r="V22" s="85">
        <f>V$162*Population!AA$37</f>
        <v>23676.202776880855</v>
      </c>
      <c r="W22" s="85">
        <f>W$162*Population!AB$37</f>
        <v>23602.56994144437</v>
      </c>
      <c r="X22" s="85">
        <f>X$162*Population!AC$37</f>
        <v>24130.257879656157</v>
      </c>
      <c r="Y22" s="85">
        <f>Y$162*Population!AD$37</f>
        <v>25129.141104294478</v>
      </c>
      <c r="Z22" s="85">
        <f>Z$162*Population!AE$37</f>
        <v>26078.167259786478</v>
      </c>
      <c r="AA22" s="85">
        <f>AA$162*Population!AF$37</f>
        <v>25812.406015037592</v>
      </c>
      <c r="AB22" s="85">
        <f>AB$162*Population!AG$37</f>
        <v>26497.35138316657</v>
      </c>
      <c r="AC22" s="85">
        <f>AC$162*Population!AH$37</f>
        <v>26145.893661760289</v>
      </c>
      <c r="AD22" s="85">
        <f>AD$162*Population!AI$37</f>
        <v>25788.020801468338</v>
      </c>
      <c r="AE22" s="85">
        <f>AE$162*Population!AJ$37</f>
        <v>25489.363891487374</v>
      </c>
      <c r="AF22" s="85">
        <f>AF$162*Population!AK$37</f>
        <v>24791.223438506117</v>
      </c>
      <c r="AG22" s="85">
        <f>AG$162*Population!AL$37</f>
        <v>24726.729457616108</v>
      </c>
      <c r="AH22" s="85">
        <f>AH$162*Population!AM$37</f>
        <v>24728.103946102023</v>
      </c>
      <c r="AI22" s="85">
        <f>AI$162*Population!AN$37</f>
        <v>25093.299460146078</v>
      </c>
      <c r="AJ22" s="85">
        <f>AJ$162*Population!AO$37</f>
        <v>25533.513853904282</v>
      </c>
      <c r="AK22" s="85">
        <f>AK$162*Population!AP$37</f>
        <v>25935.852592129919</v>
      </c>
      <c r="AL22" s="85">
        <f>AL$162*Population!AQ$37</f>
        <v>26266.328996282529</v>
      </c>
      <c r="AM22" s="85">
        <f>AM$162*Population!AR$37</f>
        <v>26546.799999999999</v>
      </c>
      <c r="AN22" s="85">
        <f>AN$162*Population!AS$37</f>
        <v>26719.602446483183</v>
      </c>
      <c r="AO22" s="85">
        <f>AO$162*Population!AT$37</f>
        <v>26826.543961058716</v>
      </c>
      <c r="AP22" s="85">
        <f>AP$162*Population!AU$37</f>
        <v>26891.115151515151</v>
      </c>
      <c r="AQ22" s="85">
        <f>AQ$162*Population!AV$37</f>
        <v>26894.513595166161</v>
      </c>
      <c r="AR22" s="85">
        <f>AR$162*Population!AW$37</f>
        <v>26844.473922218873</v>
      </c>
      <c r="AS22" s="85">
        <f>AS$162*Population!AX$37</f>
        <v>26759.259259259259</v>
      </c>
      <c r="AT22" s="85">
        <f>AT$162*Population!AY$37</f>
        <v>26646.508127633955</v>
      </c>
      <c r="AU22" s="85">
        <f>AU$162*Population!AZ$37</f>
        <v>26503.763181681228</v>
      </c>
      <c r="AV22" s="85">
        <f>AV$162*Population!BA$37</f>
        <v>26333.147254073629</v>
      </c>
      <c r="AW22" s="85">
        <f>AW$162*Population!BB$37</f>
        <v>26160.387057756274</v>
      </c>
      <c r="AX22" s="85">
        <f>AX$162*Population!BC$37</f>
        <v>25985.213701121549</v>
      </c>
      <c r="AY22" s="85">
        <f>AY$162*Population!BD$37</f>
        <v>25815.174718930419</v>
      </c>
      <c r="AZ22" s="85">
        <f>AZ$162*Population!BE$37</f>
        <v>25680.779537149818</v>
      </c>
      <c r="BA22" s="85">
        <f>BA$162*Population!BF$37</f>
        <v>25571.637694419031</v>
      </c>
      <c r="BB22" s="85">
        <f>BB$162*Population!BG$37</f>
        <v>25505.604395604398</v>
      </c>
      <c r="BC22" s="85">
        <f>BC$162*Population!BH$37</f>
        <v>25474.884004884007</v>
      </c>
      <c r="BD22" s="85">
        <f>BD$162*Population!BI$37</f>
        <v>25477.138499084806</v>
      </c>
      <c r="BE22" s="85">
        <f>BE$162*Population!BJ$37</f>
        <v>25514.903992685158</v>
      </c>
      <c r="BF22" s="85">
        <f>BF$162*Population!BK$37</f>
        <v>25575.616438356163</v>
      </c>
      <c r="BG22" s="85">
        <f>BG$162*Population!BL$37</f>
        <v>25644.007297050775</v>
      </c>
    </row>
    <row r="23" spans="3:59" x14ac:dyDescent="0.2">
      <c r="C23" s="29">
        <v>28</v>
      </c>
      <c r="F23" s="85">
        <f>F$163*Population!K$38</f>
        <v>22613.083802583638</v>
      </c>
      <c r="G23" s="85">
        <f>G$163*Population!L$38</f>
        <v>24691.190997186619</v>
      </c>
      <c r="H23" s="85">
        <f>H$163*Population!M$38</f>
        <v>25788.739290085679</v>
      </c>
      <c r="I23" s="85">
        <f>I$163*Population!N$38</f>
        <v>27705.045176333428</v>
      </c>
      <c r="J23" s="85">
        <f>J$163*Population!O$38</f>
        <v>29137.5</v>
      </c>
      <c r="K23" s="85">
        <f>K$163*Population!P$38</f>
        <v>28913.087423758352</v>
      </c>
      <c r="L23" s="85">
        <f>L$163*Population!Q$38</f>
        <v>28937.85465116279</v>
      </c>
      <c r="M23" s="85">
        <f>M$163*Population!R$38</f>
        <v>28123.513913558319</v>
      </c>
      <c r="N23" s="85">
        <f>N$163*Population!S$38</f>
        <v>27847.308488612834</v>
      </c>
      <c r="O23" s="85">
        <f>O$163*Population!T$38</f>
        <v>27143.128760529482</v>
      </c>
      <c r="P23" s="85">
        <f>P$163*Population!U$38</f>
        <v>26836.854741896761</v>
      </c>
      <c r="Q23" s="85">
        <f>Q$163*Population!V$38</f>
        <v>25906.695069993912</v>
      </c>
      <c r="R23" s="85">
        <f>R$163*Population!W$38</f>
        <v>25035.225563909775</v>
      </c>
      <c r="S23" s="85">
        <f>S$163*Population!X$38</f>
        <v>25535.618525289457</v>
      </c>
      <c r="T23" s="85">
        <f>T$163*Population!Y$38</f>
        <v>24969.546156221055</v>
      </c>
      <c r="U23" s="85">
        <f>U$163*Population!Z$38</f>
        <v>23932.024343369634</v>
      </c>
      <c r="V23" s="85">
        <f>V$163*Population!AA$38</f>
        <v>23681.611650485436</v>
      </c>
      <c r="W23" s="85">
        <f>W$163*Population!AB$38</f>
        <v>24073.496659242763</v>
      </c>
      <c r="X23" s="85">
        <f>X$163*Population!AC$38</f>
        <v>23997.653846153844</v>
      </c>
      <c r="Y23" s="85">
        <f>Y$163*Population!AD$38</f>
        <v>24527.753373078129</v>
      </c>
      <c r="Z23" s="85">
        <f>Z$163*Population!AE$38</f>
        <v>25526.725128515271</v>
      </c>
      <c r="AA23" s="85">
        <f>AA$163*Population!AF$38</f>
        <v>26475.870137467096</v>
      </c>
      <c r="AB23" s="85">
        <f>AB$163*Population!AG$38</f>
        <v>26218.080688223079</v>
      </c>
      <c r="AC23" s="85">
        <f>AC$163*Population!AH$38</f>
        <v>26895.621370499419</v>
      </c>
      <c r="AD23" s="85">
        <f>AD$163*Population!AI$38</f>
        <v>26554.871111111112</v>
      </c>
      <c r="AE23" s="85">
        <f>AE$163*Population!AJ$38</f>
        <v>26204.983408748118</v>
      </c>
      <c r="AF23" s="85">
        <f>AF$163*Population!AK$38</f>
        <v>25896.492468490625</v>
      </c>
      <c r="AG23" s="85">
        <f>AG$163*Population!AL$38</f>
        <v>25182.908341262289</v>
      </c>
      <c r="AH23" s="85">
        <f>AH$163*Population!AM$38</f>
        <v>25134.527999999998</v>
      </c>
      <c r="AI23" s="85">
        <f>AI$163*Population!AN$38</f>
        <v>25135.023711666141</v>
      </c>
      <c r="AJ23" s="85">
        <f>AJ$163*Population!AO$38</f>
        <v>25500.507042253521</v>
      </c>
      <c r="AK23" s="85">
        <f>AK$163*Population!AP$38</f>
        <v>25933.631284916202</v>
      </c>
      <c r="AL23" s="85">
        <f>AL$163*Population!AQ$38</f>
        <v>26336.029547553091</v>
      </c>
      <c r="AM23" s="85">
        <f>AM$163*Population!AR$38</f>
        <v>26674.932803909593</v>
      </c>
      <c r="AN23" s="85">
        <f>AN$163*Population!AS$38</f>
        <v>26939.75432211101</v>
      </c>
      <c r="AO23" s="85">
        <f>AO$163*Population!AT$38</f>
        <v>27130.916490804942</v>
      </c>
      <c r="AP23" s="85">
        <f>AP$163*Population!AU$38</f>
        <v>27230.077984403117</v>
      </c>
      <c r="AQ23" s="85">
        <f>AQ$163*Population!AV$38</f>
        <v>27291.592470869437</v>
      </c>
      <c r="AR23" s="85">
        <f>AR$163*Population!AW$38</f>
        <v>27294.798927613941</v>
      </c>
      <c r="AS23" s="85">
        <f>AS$163*Population!AX$38</f>
        <v>27255.053507728895</v>
      </c>
      <c r="AT23" s="85">
        <f>AT$163*Population!AY$38</f>
        <v>27169.527909738717</v>
      </c>
      <c r="AU23" s="85">
        <f>AU$163*Population!AZ$38</f>
        <v>27046.345011876485</v>
      </c>
      <c r="AV23" s="85">
        <f>AV$163*Population!BA$38</f>
        <v>26905.668449197859</v>
      </c>
      <c r="AW23" s="85">
        <f>AW$163*Population!BB$38</f>
        <v>26742.409997024697</v>
      </c>
      <c r="AX23" s="85">
        <f>AX$163*Population!BC$38</f>
        <v>26551.335718545022</v>
      </c>
      <c r="AY23" s="85">
        <f>AY$163*Population!BD$38</f>
        <v>26383.598326359832</v>
      </c>
      <c r="AZ23" s="85">
        <f>AZ$163*Population!BE$38</f>
        <v>26223.547034152187</v>
      </c>
      <c r="BA23" s="85">
        <f>BA$163*Population!BF$38</f>
        <v>26088.922245571903</v>
      </c>
      <c r="BB23" s="85">
        <f>BB$163*Population!BG$38</f>
        <v>25979.597113650027</v>
      </c>
      <c r="BC23" s="85">
        <f>BC$163*Population!BH$38</f>
        <v>25913.436653626242</v>
      </c>
      <c r="BD23" s="85">
        <f>BD$163*Population!BI$38</f>
        <v>25882.633162804694</v>
      </c>
      <c r="BE23" s="85">
        <f>BE$163*Population!BJ$38</f>
        <v>25892.659446450059</v>
      </c>
      <c r="BF23" s="85">
        <f>BF$163*Population!BK$38</f>
        <v>25912.536057692305</v>
      </c>
      <c r="BG23" s="85">
        <f>BG$163*Population!BL$38</f>
        <v>25983.44537815126</v>
      </c>
    </row>
    <row r="24" spans="3:59" x14ac:dyDescent="0.2">
      <c r="C24" s="29">
        <v>29</v>
      </c>
      <c r="F24" s="85">
        <f>F$164*Population!K$39</f>
        <v>22270.860971524289</v>
      </c>
      <c r="G24" s="85">
        <f>G$164*Population!L$39</f>
        <v>23629.023917259212</v>
      </c>
      <c r="H24" s="85">
        <f>H$164*Population!M$39</f>
        <v>25591.646660510927</v>
      </c>
      <c r="I24" s="85">
        <f>I$164*Population!N$39</f>
        <v>26578.366978005426</v>
      </c>
      <c r="J24" s="85">
        <f>J$164*Population!O$39</f>
        <v>28406.638896868717</v>
      </c>
      <c r="K24" s="85">
        <f>K$164*Population!P$39</f>
        <v>29742.621305075292</v>
      </c>
      <c r="L24" s="85">
        <f>L$164*Population!Q$39</f>
        <v>29413.675923275121</v>
      </c>
      <c r="M24" s="85">
        <f>M$164*Population!R$39</f>
        <v>29340.550143266475</v>
      </c>
      <c r="N24" s="85">
        <f>N$164*Population!S$39</f>
        <v>28517.506561679787</v>
      </c>
      <c r="O24" s="85">
        <f>O$164*Population!T$39</f>
        <v>28241.707956863891</v>
      </c>
      <c r="P24" s="85">
        <f>P$164*Population!U$39</f>
        <v>27537.225844694723</v>
      </c>
      <c r="Q24" s="85">
        <f>Q$164*Population!V$39</f>
        <v>27230.555884092253</v>
      </c>
      <c r="R24" s="85">
        <f>R$164*Population!W$39</f>
        <v>26289.490407673864</v>
      </c>
      <c r="S24" s="85">
        <f>S$164*Population!X$39</f>
        <v>25435.854410857497</v>
      </c>
      <c r="T24" s="85">
        <f>T$164*Population!Y$39</f>
        <v>25936.044417767105</v>
      </c>
      <c r="U24" s="85">
        <f>U$164*Population!Z$39</f>
        <v>25359.650349650346</v>
      </c>
      <c r="V24" s="85">
        <f>V$164*Population!AA$39</f>
        <v>24316.82004412228</v>
      </c>
      <c r="W24" s="85">
        <f>W$164*Population!AB$39</f>
        <v>24074.014645017513</v>
      </c>
      <c r="X24" s="85">
        <f>X$164*Population!AC$39</f>
        <v>24465.87351283657</v>
      </c>
      <c r="Y24" s="85">
        <f>Y$164*Population!AD$39</f>
        <v>24382.409334594766</v>
      </c>
      <c r="Z24" s="85">
        <f>Z$164*Population!AE$39</f>
        <v>24927.849860982391</v>
      </c>
      <c r="AA24" s="85">
        <f>AA$164*Population!AF$39</f>
        <v>25926.863270777478</v>
      </c>
      <c r="AB24" s="85">
        <f>AB$164*Population!AG$39</f>
        <v>26868.377053906024</v>
      </c>
      <c r="AC24" s="85">
        <f>AC$164*Population!AH$39</f>
        <v>26600.397428404442</v>
      </c>
      <c r="AD24" s="85">
        <f>AD$164*Population!AI$39</f>
        <v>27288.103004291846</v>
      </c>
      <c r="AE24" s="85">
        <f>AE$164*Population!AJ$39</f>
        <v>26937.157034442498</v>
      </c>
      <c r="AF24" s="85">
        <f>AF$164*Population!AK$39</f>
        <v>26587.254901960787</v>
      </c>
      <c r="AG24" s="85">
        <f>AG$164*Population!AL$39</f>
        <v>26271.065375302664</v>
      </c>
      <c r="AH24" s="85">
        <f>AH$164*Population!AM$39</f>
        <v>25565.149812734082</v>
      </c>
      <c r="AI24" s="85">
        <f>AI$164*Population!AN$39</f>
        <v>25516.750629722923</v>
      </c>
      <c r="AJ24" s="85">
        <f>AJ$164*Population!AO$39</f>
        <v>25517.265090230241</v>
      </c>
      <c r="AK24" s="85">
        <f>AK$164*Population!AP$39</f>
        <v>25875.046210720888</v>
      </c>
      <c r="AL24" s="85">
        <f>AL$164*Population!AQ$39</f>
        <v>26326.293919951117</v>
      </c>
      <c r="AM24" s="85">
        <f>AM$164*Population!AR$39</f>
        <v>26729.151257956957</v>
      </c>
      <c r="AN24" s="85">
        <f>AN$164*Population!AS$39</f>
        <v>27067.678195488723</v>
      </c>
      <c r="AO24" s="85">
        <f>AO$164*Population!AT$39</f>
        <v>27321.911589008363</v>
      </c>
      <c r="AP24" s="85">
        <f>AP$164*Population!AU$39</f>
        <v>27513.537273537273</v>
      </c>
      <c r="AQ24" s="85">
        <f>AQ$164*Population!AV$39</f>
        <v>27620.390070921985</v>
      </c>
      <c r="AR24" s="85">
        <f>AR$164*Population!AW$39</f>
        <v>27676.633313713948</v>
      </c>
      <c r="AS24" s="85">
        <f>AS$164*Population!AX$39</f>
        <v>27676.960093896712</v>
      </c>
      <c r="AT24" s="85">
        <f>AT$164*Population!AY$39</f>
        <v>27637.218155197657</v>
      </c>
      <c r="AU24" s="85">
        <f>AU$164*Population!AZ$39</f>
        <v>27559.765944997074</v>
      </c>
      <c r="AV24" s="85">
        <f>AV$164*Population!BA$39</f>
        <v>27438.955835039487</v>
      </c>
      <c r="AW24" s="85">
        <f>AW$164*Population!BB$39</f>
        <v>27287.866549604918</v>
      </c>
      <c r="AX24" s="85">
        <f>AX$164*Population!BC$39</f>
        <v>27124.621922626025</v>
      </c>
      <c r="AY24" s="85">
        <f>AY$164*Population!BD$39</f>
        <v>26933.565345080766</v>
      </c>
      <c r="AZ24" s="85">
        <f>AZ$164*Population!BE$39</f>
        <v>26765.837503679715</v>
      </c>
      <c r="BA24" s="85">
        <f>BA$164*Population!BF$39</f>
        <v>26613.648170011806</v>
      </c>
      <c r="BB24" s="85">
        <f>BB$164*Population!BG$39</f>
        <v>26471.176818450622</v>
      </c>
      <c r="BC24" s="85">
        <f>BC$164*Population!BH$39</f>
        <v>26369.668246445497</v>
      </c>
      <c r="BD24" s="85">
        <f>BD$164*Population!BI$39</f>
        <v>26295.702430349735</v>
      </c>
      <c r="BE24" s="85">
        <f>BE$164*Population!BJ$39</f>
        <v>26264.902193242444</v>
      </c>
      <c r="BF24" s="85">
        <f>BF$164*Population!BK$39</f>
        <v>26274.927407407406</v>
      </c>
      <c r="BG24" s="85">
        <f>BG$164*Population!BL$39</f>
        <v>26294.809115122815</v>
      </c>
    </row>
    <row r="25" spans="3:59" x14ac:dyDescent="0.2">
      <c r="C25" s="29">
        <v>30</v>
      </c>
      <c r="F25" s="85">
        <f>F$165*Population!K$40</f>
        <v>22360.492512479203</v>
      </c>
      <c r="G25" s="85">
        <f>G$165*Population!L$40</f>
        <v>23240.668195217819</v>
      </c>
      <c r="H25" s="85">
        <f>H$165*Population!M$40</f>
        <v>24425.851097677376</v>
      </c>
      <c r="I25" s="85">
        <f>I$165*Population!N$40</f>
        <v>26282.519708914493</v>
      </c>
      <c r="J25" s="85">
        <f>J$165*Population!O$40</f>
        <v>27187.785035629451</v>
      </c>
      <c r="K25" s="85">
        <f>K$165*Population!P$40</f>
        <v>28930.155807365438</v>
      </c>
      <c r="L25" s="85">
        <f>L$165*Population!Q$40</f>
        <v>30176.451169188444</v>
      </c>
      <c r="M25" s="85">
        <f>M$165*Population!R$40</f>
        <v>29776.103896103898</v>
      </c>
      <c r="N25" s="85">
        <f>N$165*Population!S$40</f>
        <v>29684.046340774228</v>
      </c>
      <c r="O25" s="85">
        <f>O$165*Population!T$40</f>
        <v>28860.744680851065</v>
      </c>
      <c r="P25" s="85">
        <f>P$165*Population!U$40</f>
        <v>28592.261494252874</v>
      </c>
      <c r="Q25" s="85">
        <f>Q$165*Population!V$40</f>
        <v>27887.583990651478</v>
      </c>
      <c r="R25" s="85">
        <f>R$165*Population!W$40</f>
        <v>27580.69367531332</v>
      </c>
      <c r="S25" s="85">
        <f>S$165*Population!X$40</f>
        <v>26649.742983751847</v>
      </c>
      <c r="T25" s="85">
        <f>T$165*Population!Y$40</f>
        <v>25780.498177399757</v>
      </c>
      <c r="U25" s="85">
        <f>U$165*Population!Z$40</f>
        <v>26285.714285714283</v>
      </c>
      <c r="V25" s="85">
        <f>V$165*Population!AA$40</f>
        <v>25719.328939484723</v>
      </c>
      <c r="W25" s="85">
        <f>W$165*Population!AB$40</f>
        <v>24676.350093109868</v>
      </c>
      <c r="X25" s="85">
        <f>X$165*Population!AC$40</f>
        <v>24433.498432601882</v>
      </c>
      <c r="Y25" s="85">
        <f>Y$165*Population!AD$40</f>
        <v>24815.294480419365</v>
      </c>
      <c r="Z25" s="85">
        <f>Z$165*Population!AE$40</f>
        <v>24731.826086956524</v>
      </c>
      <c r="AA25" s="85">
        <f>AA$165*Population!AF$40</f>
        <v>25269.546699117738</v>
      </c>
      <c r="AB25" s="85">
        <f>AB$165*Population!AG$40</f>
        <v>26278.649442160891</v>
      </c>
      <c r="AC25" s="85">
        <f>AC$165*Population!AH$40</f>
        <v>27210.008525149187</v>
      </c>
      <c r="AD25" s="85">
        <f>AD$165*Population!AI$40</f>
        <v>26952.229904926535</v>
      </c>
      <c r="AE25" s="85">
        <f>AE$165*Population!AJ$40</f>
        <v>27637.47178329571</v>
      </c>
      <c r="AF25" s="85">
        <f>AF$165*Population!AK$40</f>
        <v>27296.765467625897</v>
      </c>
      <c r="AG25" s="85">
        <f>AG$165*Population!AL$40</f>
        <v>26946.904831625183</v>
      </c>
      <c r="AH25" s="85">
        <f>AH$165*Population!AM$40</f>
        <v>26630.79331941545</v>
      </c>
      <c r="AI25" s="85">
        <f>AI$165*Population!AN$40</f>
        <v>25924.906240393484</v>
      </c>
      <c r="AJ25" s="85">
        <f>AJ$165*Population!AO$40</f>
        <v>25876.589147286821</v>
      </c>
      <c r="AK25" s="85">
        <f>AK$165*Population!AP$40</f>
        <v>25876.923076923078</v>
      </c>
      <c r="AL25" s="85">
        <f>AL$165*Population!AQ$40</f>
        <v>26234.749620637329</v>
      </c>
      <c r="AM25" s="85">
        <f>AM$165*Population!AR$40</f>
        <v>26675.653220951233</v>
      </c>
      <c r="AN25" s="85">
        <f>AN$165*Population!AS$40</f>
        <v>27070.426993132278</v>
      </c>
      <c r="AO25" s="85">
        <f>AO$165*Population!AT$40</f>
        <v>27417.053941908714</v>
      </c>
      <c r="AP25" s="85">
        <f>AP$165*Population!AU$40</f>
        <v>27681.895790403294</v>
      </c>
      <c r="AQ25" s="85">
        <f>AQ$165*Population!AV$40</f>
        <v>27854.755633596724</v>
      </c>
      <c r="AR25" s="85">
        <f>AR$165*Population!AW$40</f>
        <v>27961.616191030866</v>
      </c>
      <c r="AS25" s="85">
        <f>AS$165*Population!AX$40</f>
        <v>28025.993617638524</v>
      </c>
      <c r="AT25" s="85">
        <f>AT$165*Population!AY$40</f>
        <v>28036.858547873879</v>
      </c>
      <c r="AU25" s="85">
        <f>AU$165*Population!AZ$40</f>
        <v>27986.561778290994</v>
      </c>
      <c r="AV25" s="85">
        <f>AV$165*Population!BA$40</f>
        <v>27901.038062283737</v>
      </c>
      <c r="AW25" s="85">
        <f>AW$165*Population!BB$40</f>
        <v>27780.247910060538</v>
      </c>
      <c r="AX25" s="85">
        <f>AX$165*Population!BC$40</f>
        <v>27637.16387766878</v>
      </c>
      <c r="AY25" s="85">
        <f>AY$165*Population!BD$40</f>
        <v>27473.909274776077</v>
      </c>
      <c r="AZ25" s="85">
        <f>AZ$165*Population!BE$40</f>
        <v>27293.109438332365</v>
      </c>
      <c r="BA25" s="85">
        <f>BA$165*Population!BF$40</f>
        <v>27115.107370864771</v>
      </c>
      <c r="BB25" s="85">
        <f>BB$165*Population!BG$40</f>
        <v>26955.05235602094</v>
      </c>
      <c r="BC25" s="85">
        <f>BC$165*Population!BH$40</f>
        <v>26820.41970271058</v>
      </c>
      <c r="BD25" s="85">
        <f>BD$165*Population!BI$40</f>
        <v>26711.097489784002</v>
      </c>
      <c r="BE25" s="85">
        <f>BE$165*Population!BJ$40</f>
        <v>26637.149532710278</v>
      </c>
      <c r="BF25" s="85">
        <f>BF$165*Population!BK$40</f>
        <v>26614.12795793164</v>
      </c>
      <c r="BG25" s="85">
        <f>BG$165*Population!BL$40</f>
        <v>26616.376642335767</v>
      </c>
    </row>
    <row r="26" spans="3:59" x14ac:dyDescent="0.2">
      <c r="C26" s="29">
        <v>31</v>
      </c>
      <c r="F26" s="85">
        <f>F$166*Population!K$41</f>
        <v>22175.493806494811</v>
      </c>
      <c r="G26" s="85">
        <f>G$166*Population!L$41</f>
        <v>23291.907250163291</v>
      </c>
      <c r="H26" s="85">
        <f>H$166*Population!M$41</f>
        <v>23969.883570504528</v>
      </c>
      <c r="I26" s="85">
        <f>I$166*Population!N$41</f>
        <v>25082.653253693807</v>
      </c>
      <c r="J26" s="85">
        <f>J$166*Population!O$41</f>
        <v>26843.380281690141</v>
      </c>
      <c r="K26" s="85">
        <f>K$166*Population!P$41</f>
        <v>27667.8009395185</v>
      </c>
      <c r="L26" s="85">
        <f>L$166*Population!Q$41</f>
        <v>29309.285514149622</v>
      </c>
      <c r="M26" s="85">
        <f>M$166*Population!R$41</f>
        <v>30465.688622754489</v>
      </c>
      <c r="N26" s="85">
        <f>N$166*Population!S$41</f>
        <v>30054.264172018989</v>
      </c>
      <c r="O26" s="85">
        <f>O$166*Population!T$41</f>
        <v>29962.068194522082</v>
      </c>
      <c r="P26" s="85">
        <f>P$166*Population!U$41</f>
        <v>29154.453924914676</v>
      </c>
      <c r="Q26" s="85">
        <f>Q$166*Population!V$41</f>
        <v>28869.977266268826</v>
      </c>
      <c r="R26" s="85">
        <f>R$166*Population!W$41</f>
        <v>28165.176198729059</v>
      </c>
      <c r="S26" s="85">
        <f>S$166*Population!X$41</f>
        <v>27858.155619596542</v>
      </c>
      <c r="T26" s="85">
        <f>T$166*Population!Y$41</f>
        <v>26916.717289719625</v>
      </c>
      <c r="U26" s="85">
        <f>U$166*Population!Z$41</f>
        <v>26062.912912912914</v>
      </c>
      <c r="V26" s="85">
        <f>V$166*Population!AA$41</f>
        <v>26552.719298245614</v>
      </c>
      <c r="W26" s="85">
        <f>W$166*Population!AB$41</f>
        <v>25986.378442404501</v>
      </c>
      <c r="X26" s="85">
        <f>X$166*Population!AC$41</f>
        <v>24941.036491873656</v>
      </c>
      <c r="Y26" s="85">
        <f>Y$166*Population!AD$41</f>
        <v>24690.54815732425</v>
      </c>
      <c r="Z26" s="85">
        <f>Z$166*Population!AE$41</f>
        <v>25090</v>
      </c>
      <c r="AA26" s="85">
        <f>AA$166*Population!AF$41</f>
        <v>25006.495857625039</v>
      </c>
      <c r="AB26" s="85">
        <f>AB$166*Population!AG$41</f>
        <v>25534.170174383646</v>
      </c>
      <c r="AC26" s="85">
        <f>AC$166*Population!AH$41</f>
        <v>26533.149492017415</v>
      </c>
      <c r="AD26" s="85">
        <f>AD$166*Population!AI$41</f>
        <v>27482.24908630869</v>
      </c>
      <c r="AE26" s="85">
        <f>AE$166*Population!AJ$41</f>
        <v>27216.666666666668</v>
      </c>
      <c r="AF26" s="85">
        <f>AF$166*Population!AK$41</f>
        <v>27901.825286073123</v>
      </c>
      <c r="AG26" s="85">
        <f>AG$166*Population!AL$41</f>
        <v>27550.756972111551</v>
      </c>
      <c r="AH26" s="85">
        <f>AH$166*Population!AM$41</f>
        <v>27193.089171974523</v>
      </c>
      <c r="AI26" s="85">
        <f>AI$166*Population!AN$41</f>
        <v>26884.457547169812</v>
      </c>
      <c r="AJ26" s="85">
        <f>AJ$166*Population!AO$41</f>
        <v>26178.469015795872</v>
      </c>
      <c r="AK26" s="85">
        <f>AK$166*Population!AP$41</f>
        <v>26129.944852941175</v>
      </c>
      <c r="AL26" s="85">
        <f>AL$166*Population!AQ$41</f>
        <v>26122.955784373105</v>
      </c>
      <c r="AM26" s="85">
        <f>AM$166*Population!AR$41</f>
        <v>26488.344331133772</v>
      </c>
      <c r="AN26" s="85">
        <f>AN$166*Population!AS$41</f>
        <v>26928.985421005655</v>
      </c>
      <c r="AO26" s="85">
        <f>AO$166*Population!AT$41</f>
        <v>27323.553719008265</v>
      </c>
      <c r="AP26" s="85">
        <f>AP$166*Population!AU$41</f>
        <v>27670.01464986815</v>
      </c>
      <c r="AQ26" s="85">
        <f>AQ$166*Population!AV$41</f>
        <v>27934.767171129221</v>
      </c>
      <c r="AR26" s="85">
        <f>AR$166*Population!AW$41</f>
        <v>28107.615740740741</v>
      </c>
      <c r="AS26" s="85">
        <f>AS$166*Population!AX$41</f>
        <v>28214.511949323351</v>
      </c>
      <c r="AT26" s="85">
        <f>AT$166*Population!AY$41</f>
        <v>28278.935742971888</v>
      </c>
      <c r="AU26" s="85">
        <f>AU$166*Population!AZ$41</f>
        <v>28279.359267734551</v>
      </c>
      <c r="AV26" s="85">
        <f>AV$166*Population!BA$41</f>
        <v>28239.703111618612</v>
      </c>
      <c r="AW26" s="85">
        <f>AW$166*Population!BB$41</f>
        <v>28154.311377245507</v>
      </c>
      <c r="AX26" s="85">
        <f>AX$166*Population!BC$41</f>
        <v>28023.27537058153</v>
      </c>
      <c r="AY26" s="85">
        <f>AY$166*Population!BD$41</f>
        <v>27890.716119828816</v>
      </c>
      <c r="AZ26" s="85">
        <f>AZ$166*Population!BE$41</f>
        <v>27719.908571428572</v>
      </c>
      <c r="BA26" s="85">
        <f>BA$166*Population!BF$41</f>
        <v>27536.690523904952</v>
      </c>
      <c r="BB26" s="85">
        <f>BB$166*Population!BG$41</f>
        <v>27369.067431850792</v>
      </c>
      <c r="BC26" s="85">
        <f>BC$166*Population!BH$41</f>
        <v>27209.122807017542</v>
      </c>
      <c r="BD26" s="85">
        <f>BD$166*Population!BI$41</f>
        <v>27074.582132564839</v>
      </c>
      <c r="BE26" s="85">
        <f>BE$166*Population!BJ$41</f>
        <v>26965.339105339106</v>
      </c>
      <c r="BF26" s="85">
        <f>BF$166*Population!BK$41</f>
        <v>26891.455385503901</v>
      </c>
      <c r="BG26" s="85">
        <f>BG$166*Population!BL$41</f>
        <v>26860.695928385794</v>
      </c>
    </row>
    <row r="27" spans="3:59" x14ac:dyDescent="0.2">
      <c r="C27" s="29">
        <v>32</v>
      </c>
      <c r="F27" s="85">
        <f>F$167*Population!K$42</f>
        <v>21937.349195710456</v>
      </c>
      <c r="G27" s="85">
        <f>G$167*Population!L$42</f>
        <v>22717.378512396695</v>
      </c>
      <c r="H27" s="85">
        <f>H$167*Population!M$42</f>
        <v>23810.116769380471</v>
      </c>
      <c r="I27" s="85">
        <f>I$167*Population!N$42</f>
        <v>24403.954384837776</v>
      </c>
      <c r="J27" s="85">
        <f>J$167*Population!O$42</f>
        <v>25416.603184514515</v>
      </c>
      <c r="K27" s="85">
        <f>K$167*Population!P$42</f>
        <v>27110.303752233471</v>
      </c>
      <c r="L27" s="85">
        <f>L$167*Population!Q$42</f>
        <v>27849.133352786695</v>
      </c>
      <c r="M27" s="85">
        <f>M$167*Population!R$42</f>
        <v>29415.334261838441</v>
      </c>
      <c r="N27" s="85">
        <f>N$167*Population!S$42</f>
        <v>30549.131258457375</v>
      </c>
      <c r="O27" s="85">
        <f>O$167*Population!T$42</f>
        <v>30147.873403664631</v>
      </c>
      <c r="P27" s="85">
        <f>P$167*Population!U$42</f>
        <v>30044.945818282857</v>
      </c>
      <c r="Q27" s="85">
        <f>Q$167*Population!V$42</f>
        <v>29230.209157716225</v>
      </c>
      <c r="R27" s="85">
        <f>R$167*Population!W$42</f>
        <v>28955.169491525423</v>
      </c>
      <c r="S27" s="85">
        <f>S$167*Population!X$42</f>
        <v>28251.335055986219</v>
      </c>
      <c r="T27" s="85">
        <f>T$167*Population!Y$42</f>
        <v>27942.709825264967</v>
      </c>
      <c r="U27" s="85">
        <f>U$167*Population!Z$42</f>
        <v>26995.751596053396</v>
      </c>
      <c r="V27" s="85">
        <f>V$167*Population!AA$42</f>
        <v>26135.023866348449</v>
      </c>
      <c r="W27" s="85">
        <f>W$167*Population!AB$42</f>
        <v>26625.82800697269</v>
      </c>
      <c r="X27" s="85">
        <f>X$167*Population!AC$42</f>
        <v>26058.075904677844</v>
      </c>
      <c r="Y27" s="85">
        <f>Y$167*Population!AD$42</f>
        <v>25015.967103259212</v>
      </c>
      <c r="Z27" s="85">
        <f>Z$167*Population!AE$42</f>
        <v>24773.226699477083</v>
      </c>
      <c r="AA27" s="85">
        <f>AA$167*Population!AF$42</f>
        <v>25155.217917675545</v>
      </c>
      <c r="AB27" s="85">
        <f>AB$167*Population!AG$42</f>
        <v>25071.362389515391</v>
      </c>
      <c r="AC27" s="85">
        <f>AC$167*Population!AH$42</f>
        <v>25606.662682999704</v>
      </c>
      <c r="AD27" s="85">
        <f>AD$167*Population!AI$42</f>
        <v>26597.712719930776</v>
      </c>
      <c r="AE27" s="85">
        <f>AE$167*Population!AJ$42</f>
        <v>27526.376082704668</v>
      </c>
      <c r="AF27" s="85">
        <f>AF$167*Population!AK$42</f>
        <v>27268.071367884451</v>
      </c>
      <c r="AG27" s="85">
        <f>AG$167*Population!AL$42</f>
        <v>27944.970873786409</v>
      </c>
      <c r="AH27" s="85">
        <f>AH$167*Population!AM$42</f>
        <v>27603.22398190045</v>
      </c>
      <c r="AI27" s="85">
        <f>AI$167*Population!AN$42</f>
        <v>27252.704257767549</v>
      </c>
      <c r="AJ27" s="85">
        <f>AJ$167*Population!AO$42</f>
        <v>26935.582893966024</v>
      </c>
      <c r="AK27" s="85">
        <f>AK$167*Population!AP$42</f>
        <v>26229.197344598673</v>
      </c>
      <c r="AL27" s="85">
        <f>AL$167*Population!AQ$42</f>
        <v>26179.811320754718</v>
      </c>
      <c r="AM27" s="85">
        <f>AM$167*Population!AR$42</f>
        <v>26182.084837545124</v>
      </c>
      <c r="AN27" s="85">
        <f>AN$167*Population!AS$42</f>
        <v>26546.936829558999</v>
      </c>
      <c r="AO27" s="85">
        <f>AO$167*Population!AT$42</f>
        <v>26986.470588235294</v>
      </c>
      <c r="AP27" s="85">
        <f>AP$167*Population!AU$42</f>
        <v>27369.677419354841</v>
      </c>
      <c r="AQ27" s="85">
        <f>AQ$167*Population!AV$42</f>
        <v>27707.775836972341</v>
      </c>
      <c r="AR27" s="85">
        <f>AR$167*Population!AW$42</f>
        <v>27972.137073452861</v>
      </c>
      <c r="AS27" s="85">
        <f>AS$167*Population!AX$42</f>
        <v>28152.558941920641</v>
      </c>
      <c r="AT27" s="85">
        <f>AT$167*Population!AY$42</f>
        <v>28259.613733905579</v>
      </c>
      <c r="AU27" s="85">
        <f>AU$167*Population!AZ$42</f>
        <v>28313.757126567845</v>
      </c>
      <c r="AV27" s="85">
        <f>AV$167*Population!BA$42</f>
        <v>28317.458783399656</v>
      </c>
      <c r="AW27" s="85">
        <f>AW$167*Population!BB$42</f>
        <v>28278.331914893613</v>
      </c>
      <c r="AX27" s="85">
        <f>AX$167*Population!BC$42</f>
        <v>28193.539246245396</v>
      </c>
      <c r="AY27" s="85">
        <f>AY$167*Population!BD$42</f>
        <v>28070.821529745041</v>
      </c>
      <c r="AZ27" s="85">
        <f>AZ$167*Population!BE$42</f>
        <v>27928.545506095834</v>
      </c>
      <c r="BA27" s="85">
        <f>BA$167*Population!BF$42</f>
        <v>27768.753549119818</v>
      </c>
      <c r="BB27" s="85">
        <f>BB$167*Population!BG$42</f>
        <v>27586.156472261737</v>
      </c>
      <c r="BC27" s="85">
        <f>BC$167*Population!BH$42</f>
        <v>27411.431422868547</v>
      </c>
      <c r="BD27" s="85">
        <f>BD$167*Population!BI$42</f>
        <v>27251.997713632467</v>
      </c>
      <c r="BE27" s="85">
        <f>BE$167*Population!BJ$42</f>
        <v>27117.892325315002</v>
      </c>
      <c r="BF27" s="85">
        <f>BF$167*Population!BK$42</f>
        <v>27016.65615141956</v>
      </c>
      <c r="BG27" s="85">
        <f>BG$167*Population!BL$42</f>
        <v>26943.047345767576</v>
      </c>
    </row>
    <row r="28" spans="3:59" x14ac:dyDescent="0.2">
      <c r="C28" s="29">
        <v>33</v>
      </c>
      <c r="F28" s="85">
        <f>F$168*Population!K$43</f>
        <v>21592.472752043599</v>
      </c>
      <c r="G28" s="85">
        <f>G$168*Population!L$43</f>
        <v>22381.603585657373</v>
      </c>
      <c r="H28" s="85">
        <f>H$168*Population!M$43</f>
        <v>23110.73074391047</v>
      </c>
      <c r="I28" s="85">
        <f>I$168*Population!N$43</f>
        <v>24115.854052308685</v>
      </c>
      <c r="J28" s="85">
        <f>J$168*Population!O$43</f>
        <v>24658.374920025592</v>
      </c>
      <c r="K28" s="85">
        <f>K$168*Population!P$43</f>
        <v>25600.948383084575</v>
      </c>
      <c r="L28" s="85">
        <f>L$168*Population!Q$43</f>
        <v>27215.776986951365</v>
      </c>
      <c r="M28" s="85">
        <f>M$168*Population!R$43</f>
        <v>27883.987213019471</v>
      </c>
      <c r="N28" s="85">
        <f>N$168*Population!S$43</f>
        <v>29446.849847349429</v>
      </c>
      <c r="O28" s="85">
        <f>O$168*Population!T$43</f>
        <v>30572.508090614887</v>
      </c>
      <c r="P28" s="85">
        <f>P$168*Population!U$43</f>
        <v>30147.983402489626</v>
      </c>
      <c r="Q28" s="85">
        <f>Q$168*Population!V$43</f>
        <v>30055.848325491283</v>
      </c>
      <c r="R28" s="85">
        <f>R$168*Population!W$43</f>
        <v>29232.255702618979</v>
      </c>
      <c r="S28" s="85">
        <f>S$168*Population!X$43</f>
        <v>28947.124366910524</v>
      </c>
      <c r="T28" s="85">
        <f>T$168*Population!Y$43</f>
        <v>28244.646840148696</v>
      </c>
      <c r="U28" s="85">
        <f>U$168*Population!Z$43</f>
        <v>27930.436519258204</v>
      </c>
      <c r="V28" s="85">
        <f>V$168*Population!AA$43</f>
        <v>26994.21220005782</v>
      </c>
      <c r="W28" s="85">
        <f>W$168*Population!AB$43</f>
        <v>26141.777117384845</v>
      </c>
      <c r="X28" s="85">
        <f>X$168*Population!AC$43</f>
        <v>26613.282199710564</v>
      </c>
      <c r="Y28" s="85">
        <f>Y$168*Population!AD$43</f>
        <v>26057.004689331767</v>
      </c>
      <c r="Z28" s="85">
        <f>Z$168*Population!AE$43</f>
        <v>25015.807038834952</v>
      </c>
      <c r="AA28" s="85">
        <f>AA$168*Population!AF$43</f>
        <v>24765.643382352941</v>
      </c>
      <c r="AB28" s="85">
        <f>AB$168*Population!AG$43</f>
        <v>25145.402472113354</v>
      </c>
      <c r="AC28" s="85">
        <f>AC$168*Population!AH$43</f>
        <v>25061.141469338188</v>
      </c>
      <c r="AD28" s="85">
        <f>AD$168*Population!AI$43</f>
        <v>25588.777149657843</v>
      </c>
      <c r="AE28" s="85">
        <f>AE$168*Population!AJ$43</f>
        <v>26569.457052571102</v>
      </c>
      <c r="AF28" s="85">
        <f>AF$168*Population!AK$43</f>
        <v>27497.767881992761</v>
      </c>
      <c r="AG28" s="85">
        <f>AG$168*Population!AL$43</f>
        <v>27228.795486600848</v>
      </c>
      <c r="AH28" s="85">
        <f>AH$168*Population!AM$43</f>
        <v>27912.810945273632</v>
      </c>
      <c r="AI28" s="85">
        <f>AI$168*Population!AN$43</f>
        <v>27552.045070422537</v>
      </c>
      <c r="AJ28" s="85">
        <f>AJ$168*Population!AO$43</f>
        <v>27211.074498567334</v>
      </c>
      <c r="AK28" s="85">
        <f>AK$168*Population!AP$43</f>
        <v>26892.899649941657</v>
      </c>
      <c r="AL28" s="85">
        <f>AL$168*Population!AQ$43</f>
        <v>26196.364182692309</v>
      </c>
      <c r="AM28" s="85">
        <f>AM$168*Population!AR$43</f>
        <v>26145.933333333334</v>
      </c>
      <c r="AN28" s="85">
        <f>AN$168*Population!AS$43</f>
        <v>26139.81426003595</v>
      </c>
      <c r="AO28" s="85">
        <f>AO$168*Population!AT$43</f>
        <v>26503.976261127598</v>
      </c>
      <c r="AP28" s="85">
        <f>AP$168*Population!AU$43</f>
        <v>26942.08419193406</v>
      </c>
      <c r="AQ28" s="85">
        <f>AQ$168*Population!AV$43</f>
        <v>27324.173481308411</v>
      </c>
      <c r="AR28" s="85">
        <f>AR$168*Population!AW$43</f>
        <v>27661.467091910701</v>
      </c>
      <c r="AS28" s="85">
        <f>AS$168*Population!AX$43</f>
        <v>27922.379032258068</v>
      </c>
      <c r="AT28" s="85">
        <f>AT$168*Population!AY$43</f>
        <v>28095.057273768613</v>
      </c>
      <c r="AU28" s="85">
        <f>AU$168*Population!AZ$43</f>
        <v>28202.314049586777</v>
      </c>
      <c r="AV28" s="85">
        <f>AV$168*Population!BA$43</f>
        <v>28267.35661555934</v>
      </c>
      <c r="AW28" s="85">
        <f>AW$168*Population!BB$43</f>
        <v>28261.030577576446</v>
      </c>
      <c r="AX28" s="85">
        <f>AX$168*Population!BC$43</f>
        <v>28230.178016388811</v>
      </c>
      <c r="AY28" s="85">
        <f>AY$168*Population!BD$43</f>
        <v>28146.144510302005</v>
      </c>
      <c r="AZ28" s="85">
        <f>AZ$168*Population!BE$43</f>
        <v>28016.622460496616</v>
      </c>
      <c r="BA28" s="85">
        <f>BA$168*Population!BF$43</f>
        <v>27875.142615080487</v>
      </c>
      <c r="BB28" s="85">
        <f>BB$168*Population!BG$43</f>
        <v>27716.199095022625</v>
      </c>
      <c r="BC28" s="85">
        <f>BC$168*Population!BH$43</f>
        <v>27534.389345423635</v>
      </c>
      <c r="BD28" s="85">
        <f>BD$168*Population!BI$43</f>
        <v>27368.009088327181</v>
      </c>
      <c r="BE28" s="85">
        <f>BE$168*Population!BJ$43</f>
        <v>27209.222886421863</v>
      </c>
      <c r="BF28" s="85">
        <f>BF$168*Population!BK$43</f>
        <v>27075.670279520822</v>
      </c>
      <c r="BG28" s="85">
        <f>BG$168*Population!BL$43</f>
        <v>26967.232219365898</v>
      </c>
    </row>
    <row r="29" spans="3:59" x14ac:dyDescent="0.2">
      <c r="C29" s="29">
        <v>34</v>
      </c>
      <c r="F29" s="85">
        <f>F$169*Population!K$44</f>
        <v>21076.527777777777</v>
      </c>
      <c r="G29" s="85">
        <f>G$169*Population!L$44</f>
        <v>22014.91731353358</v>
      </c>
      <c r="H29" s="85">
        <f>H$169*Population!M$44</f>
        <v>22768.003305785125</v>
      </c>
      <c r="I29" s="85">
        <f>I$169*Population!N$44</f>
        <v>23428.325688073393</v>
      </c>
      <c r="J29" s="85">
        <f>J$169*Population!O$44</f>
        <v>24382.479099678458</v>
      </c>
      <c r="K29" s="85">
        <f>K$169*Population!P$44</f>
        <v>24844.318471337581</v>
      </c>
      <c r="L29" s="85">
        <f>L$169*Population!Q$44</f>
        <v>25732.245277175596</v>
      </c>
      <c r="M29" s="85">
        <f>M$169*Population!R$44</f>
        <v>27283.985228951256</v>
      </c>
      <c r="N29" s="85">
        <f>N$169*Population!S$44</f>
        <v>27941.215981470759</v>
      </c>
      <c r="O29" s="85">
        <f>O$169*Population!T$44</f>
        <v>29484.583909317113</v>
      </c>
      <c r="P29" s="85">
        <f>P$169*Population!U$44</f>
        <v>30595.807578607903</v>
      </c>
      <c r="Q29" s="85">
        <f>Q$169*Population!V$44</f>
        <v>30173.160650316891</v>
      </c>
      <c r="R29" s="85">
        <f>R$169*Population!W$44</f>
        <v>30067.495863210148</v>
      </c>
      <c r="S29" s="85">
        <f>S$169*Population!X$44</f>
        <v>29236.97615708275</v>
      </c>
      <c r="T29" s="85">
        <f>T$169*Population!Y$44</f>
        <v>28961.300813008129</v>
      </c>
      <c r="U29" s="85">
        <f>U$169*Population!Z$44</f>
        <v>28249.128205128207</v>
      </c>
      <c r="V29" s="85">
        <f>V$169*Population!AA$44</f>
        <v>27933.507674815235</v>
      </c>
      <c r="W29" s="85">
        <f>W$169*Population!AB$44</f>
        <v>26992.225741433918</v>
      </c>
      <c r="X29" s="85">
        <f>X$169*Population!AC$44</f>
        <v>26122.728617934299</v>
      </c>
      <c r="Y29" s="85">
        <f>Y$169*Population!AD$44</f>
        <v>26613.202652061114</v>
      </c>
      <c r="Z29" s="85">
        <f>Z$169*Population!AE$44</f>
        <v>26040.525394045533</v>
      </c>
      <c r="AA29" s="85">
        <f>AA$169*Population!AF$44</f>
        <v>25007.782477341389</v>
      </c>
      <c r="AB29" s="85">
        <f>AB$169*Population!AG$44</f>
        <v>24747.757779133619</v>
      </c>
      <c r="AC29" s="85">
        <f>AC$169*Population!AH$44</f>
        <v>25127.709396577604</v>
      </c>
      <c r="AD29" s="85">
        <f>AD$169*Population!AI$44</f>
        <v>25043.016928657798</v>
      </c>
      <c r="AE29" s="85">
        <f>AE$169*Population!AJ$44</f>
        <v>25560.57777777778</v>
      </c>
      <c r="AF29" s="85">
        <f>AF$169*Population!AK$44</f>
        <v>26538.454493417288</v>
      </c>
      <c r="AG29" s="85">
        <f>AG$169*Population!AL$44</f>
        <v>27466.422628951746</v>
      </c>
      <c r="AH29" s="85">
        <f>AH$169*Population!AM$44</f>
        <v>27199.393087946049</v>
      </c>
      <c r="AI29" s="85">
        <f>AI$169*Population!AN$44</f>
        <v>27872.643171806169</v>
      </c>
      <c r="AJ29" s="85">
        <f>AJ$169*Population!AO$44</f>
        <v>27518.5602020769</v>
      </c>
      <c r="AK29" s="85">
        <f>AK$169*Population!AP$44</f>
        <v>27169.195205479453</v>
      </c>
      <c r="AL29" s="85">
        <f>AL$169*Population!AQ$44</f>
        <v>26857.773902935191</v>
      </c>
      <c r="AM29" s="85">
        <f>AM$169*Population!AR$44</f>
        <v>26152.92339916218</v>
      </c>
      <c r="AN29" s="85">
        <f>AN$169*Population!AS$44</f>
        <v>26111.828605914303</v>
      </c>
      <c r="AO29" s="85">
        <f>AO$169*Population!AT$44</f>
        <v>26107.60739856802</v>
      </c>
      <c r="AP29" s="85">
        <f>AP$169*Population!AU$44</f>
        <v>26460.768321513002</v>
      </c>
      <c r="AQ29" s="85">
        <f>AQ$169*Population!AV$44</f>
        <v>26887.018469656992</v>
      </c>
      <c r="AR29" s="85">
        <f>AR$169*Population!AW$44</f>
        <v>27278.446771378709</v>
      </c>
      <c r="AS29" s="85">
        <f>AS$169*Population!AX$44</f>
        <v>27604.3834825296</v>
      </c>
      <c r="AT29" s="85">
        <f>AT$169*Population!AY$44</f>
        <v>27867.791164658633</v>
      </c>
      <c r="AU29" s="85">
        <f>AU$169*Population!AZ$44</f>
        <v>28047.932116371936</v>
      </c>
      <c r="AV29" s="85">
        <f>AV$169*Population!BA$44</f>
        <v>28144.794209480555</v>
      </c>
      <c r="AW29" s="85">
        <f>AW$169*Population!BB$44</f>
        <v>28210.180995475112</v>
      </c>
      <c r="AX29" s="85">
        <f>AX$169*Population!BC$44</f>
        <v>28204.376762549353</v>
      </c>
      <c r="AY29" s="85">
        <f>AY$169*Population!BD$44</f>
        <v>28174.14297776527</v>
      </c>
      <c r="AZ29" s="85">
        <f>AZ$169*Population!BE$44</f>
        <v>28090.863086870959</v>
      </c>
      <c r="BA29" s="85">
        <f>BA$169*Population!BF$44</f>
        <v>27962.181000562112</v>
      </c>
      <c r="BB29" s="85">
        <f>BB$169*Population!BG$44</f>
        <v>27821.490857946555</v>
      </c>
      <c r="BC29" s="85">
        <f>BC$169*Population!BH$44</f>
        <v>27653.070422535209</v>
      </c>
      <c r="BD29" s="85">
        <f>BD$169*Population!BI$44</f>
        <v>27482.359582274908</v>
      </c>
      <c r="BE29" s="85">
        <f>BE$169*Population!BJ$44</f>
        <v>27316.667609618104</v>
      </c>
      <c r="BF29" s="85">
        <f>BF$169*Population!BK$44</f>
        <v>27158.522823929685</v>
      </c>
      <c r="BG29" s="85">
        <f>BG$169*Population!BL$44</f>
        <v>27017.841522294802</v>
      </c>
    </row>
    <row r="30" spans="3:59" x14ac:dyDescent="0.2">
      <c r="C30" s="29">
        <v>35</v>
      </c>
      <c r="F30" s="85">
        <f>F$170*Population!K$45</f>
        <v>21086.009715475364</v>
      </c>
      <c r="G30" s="85">
        <f>G$170*Population!L$45</f>
        <v>21573.158981417757</v>
      </c>
      <c r="H30" s="85">
        <f>H$170*Population!M$45</f>
        <v>22477.082352941175</v>
      </c>
      <c r="I30" s="85">
        <f>I$170*Population!N$45</f>
        <v>23177.415212380638</v>
      </c>
      <c r="J30" s="85">
        <f>J$170*Population!O$45</f>
        <v>23777.911227154047</v>
      </c>
      <c r="K30" s="85">
        <f>K$170*Population!P$45</f>
        <v>24686.691223574631</v>
      </c>
      <c r="L30" s="85">
        <f>L$170*Population!Q$45</f>
        <v>25104.955583756346</v>
      </c>
      <c r="M30" s="85">
        <f>M$170*Population!R$45</f>
        <v>25948.960197469914</v>
      </c>
      <c r="N30" s="85">
        <f>N$170*Population!S$45</f>
        <v>27483.355902266707</v>
      </c>
      <c r="O30" s="85">
        <f>O$170*Population!T$45</f>
        <v>28140.793421811886</v>
      </c>
      <c r="P30" s="85">
        <f>P$170*Population!U$45</f>
        <v>29681.932194046309</v>
      </c>
      <c r="Q30" s="85">
        <f>Q$170*Population!V$45</f>
        <v>30804.077149745513</v>
      </c>
      <c r="R30" s="85">
        <f>R$170*Population!W$45</f>
        <v>30360.01098599286</v>
      </c>
      <c r="S30" s="85">
        <f>S$170*Population!X$45</f>
        <v>30246.630016492578</v>
      </c>
      <c r="T30" s="85">
        <f>T$170*Population!Y$45</f>
        <v>29411.825552138664</v>
      </c>
      <c r="U30" s="85">
        <f>U$170*Population!Z$45</f>
        <v>29128.063704945518</v>
      </c>
      <c r="V30" s="85">
        <f>V$170*Population!AA$45</f>
        <v>28404.056202100481</v>
      </c>
      <c r="W30" s="85">
        <f>W$170*Population!AB$45</f>
        <v>28080.450297366184</v>
      </c>
      <c r="X30" s="85">
        <f>X$170*Population!AC$45</f>
        <v>27153.721664275468</v>
      </c>
      <c r="Y30" s="85">
        <f>Y$170*Population!AD$45</f>
        <v>26283.99882040696</v>
      </c>
      <c r="Z30" s="85">
        <f>Z$170*Population!AE$45</f>
        <v>26756.400459638033</v>
      </c>
      <c r="AA30" s="85">
        <f>AA$170*Population!AF$45</f>
        <v>26190.959860383944</v>
      </c>
      <c r="AB30" s="85">
        <f>AB$170*Population!AG$45</f>
        <v>25150.511739915713</v>
      </c>
      <c r="AC30" s="85">
        <f>AC$170*Population!AH$45</f>
        <v>24897.990881458965</v>
      </c>
      <c r="AD30" s="85">
        <f>AD$170*Population!AI$45</f>
        <v>25270.385880945258</v>
      </c>
      <c r="AE30" s="85">
        <f>AE$170*Population!AJ$45</f>
        <v>25183.262048192773</v>
      </c>
      <c r="AF30" s="85">
        <f>AF$170*Population!AK$45</f>
        <v>25700.832595217005</v>
      </c>
      <c r="AG30" s="85">
        <f>AG$170*Population!AL$45</f>
        <v>26671.163387510693</v>
      </c>
      <c r="AH30" s="85">
        <f>AH$170*Population!AM$45</f>
        <v>27581.519756838905</v>
      </c>
      <c r="AI30" s="85">
        <f>AI$170*Population!AN$45</f>
        <v>27329.689162699524</v>
      </c>
      <c r="AJ30" s="85">
        <f>AJ$170*Population!AO$45</f>
        <v>27987.761316872427</v>
      </c>
      <c r="AK30" s="85">
        <f>AK$170*Population!AP$45</f>
        <v>27641.233221476508</v>
      </c>
      <c r="AL30" s="85">
        <f>AL$170*Population!AQ$45</f>
        <v>27292.096131968145</v>
      </c>
      <c r="AM30" s="85">
        <f>AM$170*Population!AR$45</f>
        <v>26980.47481181239</v>
      </c>
      <c r="AN30" s="85">
        <f>AN$170*Population!AS$45</f>
        <v>26283.461538461539</v>
      </c>
      <c r="AO30" s="85">
        <f>AO$170*Population!AT$45</f>
        <v>26231.990378833434</v>
      </c>
      <c r="AP30" s="85">
        <f>AP$170*Population!AU$45</f>
        <v>26227.779429250895</v>
      </c>
      <c r="AQ30" s="85">
        <f>AQ$170*Population!AV$45</f>
        <v>26591.307420494701</v>
      </c>
      <c r="AR30" s="85">
        <f>AR$170*Population!AW$45</f>
        <v>27017.633654688867</v>
      </c>
      <c r="AS30" s="85">
        <f>AS$170*Population!AX$45</f>
        <v>27398.608695652172</v>
      </c>
      <c r="AT30" s="85">
        <f>AT$170*Population!AY$45</f>
        <v>27727.134637514388</v>
      </c>
      <c r="AU30" s="85">
        <f>AU$170*Population!AZ$45</f>
        <v>27995.506003430532</v>
      </c>
      <c r="AV30" s="85">
        <f>AV$170*Population!BA$45</f>
        <v>28168.095508811824</v>
      </c>
      <c r="AW30" s="85">
        <f>AW$170*Population!BB$45</f>
        <v>28275.544554455442</v>
      </c>
      <c r="AX30" s="85">
        <f>AX$170*Population!BC$45</f>
        <v>28322.366863905325</v>
      </c>
      <c r="AY30" s="85">
        <f>AY$170*Population!BD$45</f>
        <v>28327.125597077833</v>
      </c>
      <c r="AZ30" s="85">
        <f>AZ$170*Population!BE$45</f>
        <v>28286.382501402131</v>
      </c>
      <c r="BA30" s="85">
        <f>BA$170*Population!BF$45</f>
        <v>28203.137254901962</v>
      </c>
      <c r="BB30" s="85">
        <f>BB$170*Population!BG$45</f>
        <v>28092.773109243695</v>
      </c>
      <c r="BC30" s="85">
        <f>BC$170*Population!BH$45</f>
        <v>27944.209641255606</v>
      </c>
      <c r="BD30" s="85">
        <f>BD$170*Population!BI$45</f>
        <v>27783.32865562728</v>
      </c>
      <c r="BE30" s="85">
        <f>BE$170*Population!BJ$45</f>
        <v>27612.612485939255</v>
      </c>
      <c r="BF30" s="85">
        <f>BF$170*Population!BK$45</f>
        <v>27439.363021420519</v>
      </c>
      <c r="BG30" s="85">
        <f>BG$170*Population!BL$45</f>
        <v>27281.211864406781</v>
      </c>
    </row>
    <row r="31" spans="3:59" x14ac:dyDescent="0.2">
      <c r="C31" s="29">
        <v>36</v>
      </c>
      <c r="F31" s="85">
        <f>F$171*Population!K$46</f>
        <v>21340.904383845358</v>
      </c>
      <c r="G31" s="85">
        <f>G$171*Population!L$46</f>
        <v>21620.990712074305</v>
      </c>
      <c r="H31" s="85">
        <f>H$171*Population!M$46</f>
        <v>22057.291738087075</v>
      </c>
      <c r="I31" s="85">
        <f>I$171*Population!N$46</f>
        <v>22924.649916247905</v>
      </c>
      <c r="J31" s="85">
        <f>J$171*Population!O$46</f>
        <v>23574.42913385827</v>
      </c>
      <c r="K31" s="85">
        <f>K$171*Population!P$46</f>
        <v>24148.428757319452</v>
      </c>
      <c r="L31" s="85">
        <f>L$171*Population!Q$46</f>
        <v>25005.07662835249</v>
      </c>
      <c r="M31" s="85">
        <f>M$171*Population!R$46</f>
        <v>25387.096774193549</v>
      </c>
      <c r="N31" s="85">
        <f>N$171*Population!S$46</f>
        <v>26205.442804428043</v>
      </c>
      <c r="O31" s="85">
        <f>O$171*Population!T$46</f>
        <v>27756.941590842387</v>
      </c>
      <c r="P31" s="85">
        <f>P$171*Population!U$46</f>
        <v>28414.764096662831</v>
      </c>
      <c r="Q31" s="85">
        <f>Q$171*Population!V$46</f>
        <v>29948.777136575984</v>
      </c>
      <c r="R31" s="85">
        <f>R$171*Population!W$46</f>
        <v>31061.851456051292</v>
      </c>
      <c r="S31" s="85">
        <f>S$171*Population!X$46</f>
        <v>30619.37551355793</v>
      </c>
      <c r="T31" s="85">
        <f>T$171*Population!Y$46</f>
        <v>30501.743421052633</v>
      </c>
      <c r="U31" s="85">
        <f>U$171*Population!Z$46</f>
        <v>29665.21327014218</v>
      </c>
      <c r="V31" s="85">
        <f>V$171*Population!AA$46</f>
        <v>29358.041237113401</v>
      </c>
      <c r="W31" s="85">
        <f>W$171*Population!AB$46</f>
        <v>28625.304273988113</v>
      </c>
      <c r="X31" s="85">
        <f>X$171*Population!AC$46</f>
        <v>28307.472465405252</v>
      </c>
      <c r="Y31" s="85">
        <f>Y$171*Population!AD$46</f>
        <v>27367.811158798282</v>
      </c>
      <c r="Z31" s="85">
        <f>Z$171*Population!AE$46</f>
        <v>26489.688418577305</v>
      </c>
      <c r="AA31" s="85">
        <f>AA$171*Population!AF$46</f>
        <v>26966.244629046119</v>
      </c>
      <c r="AB31" s="85">
        <f>AB$171*Population!AG$46</f>
        <v>26384.714409973905</v>
      </c>
      <c r="AC31" s="85">
        <f>AC$171*Population!AH$46</f>
        <v>25341.170117011701</v>
      </c>
      <c r="AD31" s="85">
        <f>AD$171*Population!AI$46</f>
        <v>25081.04513783702</v>
      </c>
      <c r="AE31" s="85">
        <f>AE$171*Population!AJ$46</f>
        <v>25460.88252832439</v>
      </c>
      <c r="AF31" s="85">
        <f>AF$171*Population!AK$46</f>
        <v>25366.463524467126</v>
      </c>
      <c r="AG31" s="85">
        <f>AG$171*Population!AL$46</f>
        <v>25884.049440847557</v>
      </c>
      <c r="AH31" s="85">
        <f>AH$171*Population!AM$46</f>
        <v>26862.175149274954</v>
      </c>
      <c r="AI31" s="85">
        <f>AI$171*Population!AN$46</f>
        <v>27780.259024524661</v>
      </c>
      <c r="AJ31" s="85">
        <f>AJ$171*Population!AO$46</f>
        <v>27513.517587939699</v>
      </c>
      <c r="AK31" s="85">
        <f>AK$171*Population!AP$46</f>
        <v>28187.113543091655</v>
      </c>
      <c r="AL31" s="85">
        <f>AL$171*Population!AQ$46</f>
        <v>27833.594534300053</v>
      </c>
      <c r="AM31" s="85">
        <f>AM$171*Population!AR$46</f>
        <v>27474.272753047913</v>
      </c>
      <c r="AN31" s="85">
        <f>AN$171*Population!AS$46</f>
        <v>27181.299076212472</v>
      </c>
      <c r="AO31" s="85">
        <f>AO$171*Population!AT$46</f>
        <v>26466.294205052007</v>
      </c>
      <c r="AP31" s="85">
        <f>AP$171*Population!AU$46</f>
        <v>26418.160023973629</v>
      </c>
      <c r="AQ31" s="85">
        <f>AQ$171*Population!AV$46</f>
        <v>26410.251851851852</v>
      </c>
      <c r="AR31" s="85">
        <f>AR$171*Population!AW$46</f>
        <v>26766.492515409453</v>
      </c>
      <c r="AS31" s="85">
        <f>AS$171*Population!AX$46</f>
        <v>27193.380896913219</v>
      </c>
      <c r="AT31" s="85">
        <f>AT$171*Population!AY$46</f>
        <v>27585.322161225082</v>
      </c>
      <c r="AU31" s="85">
        <f>AU$171*Population!AZ$46</f>
        <v>27911.19013478635</v>
      </c>
      <c r="AV31" s="85">
        <f>AV$171*Population!BA$46</f>
        <v>28172.22000569963</v>
      </c>
      <c r="AW31" s="85">
        <f>AW$171*Population!BB$46</f>
        <v>28344.842731652028</v>
      </c>
      <c r="AX31" s="85">
        <f>AX$171*Population!BC$46</f>
        <v>28452.216582064299</v>
      </c>
      <c r="AY31" s="85">
        <f>AY$171*Population!BD$46</f>
        <v>28517.036516853936</v>
      </c>
      <c r="AZ31" s="85">
        <f>AZ$171*Population!BE$46</f>
        <v>28511.019607843136</v>
      </c>
      <c r="BA31" s="85">
        <f>BA$171*Population!BF$46</f>
        <v>28472.988537880905</v>
      </c>
      <c r="BB31" s="85">
        <f>BB$171*Population!BG$46</f>
        <v>28389.416364144094</v>
      </c>
      <c r="BC31" s="85">
        <f>BC$171*Population!BH$46</f>
        <v>28275.858698687516</v>
      </c>
      <c r="BD31" s="85">
        <f>BD$171*Population!BI$46</f>
        <v>28126.974015088013</v>
      </c>
      <c r="BE31" s="85">
        <f>BE$171*Population!BJ$46</f>
        <v>27958.226077224397</v>
      </c>
      <c r="BF31" s="85">
        <f>BF$171*Population!BK$46</f>
        <v>27787.216148023548</v>
      </c>
      <c r="BG31" s="85">
        <f>BG$171*Population!BL$46</f>
        <v>27621.258780556338</v>
      </c>
    </row>
    <row r="32" spans="3:59" x14ac:dyDescent="0.2">
      <c r="C32" s="29">
        <v>37</v>
      </c>
      <c r="F32" s="85">
        <f>F$172*Population!K$47</f>
        <v>21007.659574468085</v>
      </c>
      <c r="G32" s="85">
        <f>G$172*Population!L$47</f>
        <v>21964.99143542309</v>
      </c>
      <c r="H32" s="85">
        <f>H$172*Population!M$47</f>
        <v>22230.566037735847</v>
      </c>
      <c r="I32" s="85">
        <f>I$172*Population!N$47</f>
        <v>22631.794871794871</v>
      </c>
      <c r="J32" s="85">
        <f>J$172*Population!O$47</f>
        <v>23468.871075484301</v>
      </c>
      <c r="K32" s="85">
        <f>K$172*Population!P$47</f>
        <v>24083.327879581149</v>
      </c>
      <c r="L32" s="85">
        <f>L$172*Population!Q$47</f>
        <v>24613.951979234265</v>
      </c>
      <c r="M32" s="85">
        <f>M$172*Population!R$47</f>
        <v>25440.573065902579</v>
      </c>
      <c r="N32" s="85">
        <f>N$172*Population!S$47</f>
        <v>25813.270261747082</v>
      </c>
      <c r="O32" s="85">
        <f>O$172*Population!T$47</f>
        <v>26651.567484662573</v>
      </c>
      <c r="P32" s="85">
        <f>P$172*Population!U$47</f>
        <v>28217.446559297219</v>
      </c>
      <c r="Q32" s="85">
        <f>Q$172*Population!V$47</f>
        <v>28856.857962697275</v>
      </c>
      <c r="R32" s="85">
        <f>R$172*Population!W$47</f>
        <v>30415.722511653414</v>
      </c>
      <c r="S32" s="85">
        <f>S$172*Population!X$47</f>
        <v>31530.783582089553</v>
      </c>
      <c r="T32" s="85">
        <f>T$172*Population!Y$47</f>
        <v>31089.363213992896</v>
      </c>
      <c r="U32" s="85">
        <f>U$172*Population!Z$47</f>
        <v>30961.826633852888</v>
      </c>
      <c r="V32" s="85">
        <f>V$172*Population!AA$47</f>
        <v>30107.415855354659</v>
      </c>
      <c r="W32" s="85">
        <f>W$172*Population!AB$47</f>
        <v>29798.832684824902</v>
      </c>
      <c r="X32" s="85">
        <f>X$172*Population!AC$47</f>
        <v>29067.692742163232</v>
      </c>
      <c r="Y32" s="85">
        <f>Y$172*Population!AD$47</f>
        <v>28726.810369118062</v>
      </c>
      <c r="Z32" s="85">
        <f>Z$172*Population!AE$47</f>
        <v>27772.328767123287</v>
      </c>
      <c r="AA32" s="85">
        <f>AA$172*Population!AF$47</f>
        <v>26879.542521994135</v>
      </c>
      <c r="AB32" s="85">
        <f>AB$172*Population!AG$47</f>
        <v>27366.302857142855</v>
      </c>
      <c r="AC32" s="85">
        <f>AC$172*Population!AH$47</f>
        <v>26786.956899045414</v>
      </c>
      <c r="AD32" s="85">
        <f>AD$172*Population!AI$47</f>
        <v>25723.792277761149</v>
      </c>
      <c r="AE32" s="85">
        <f>AE$172*Population!AJ$47</f>
        <v>25463.299093655591</v>
      </c>
      <c r="AF32" s="85">
        <f>AF$172*Population!AK$47</f>
        <v>25835.141242937854</v>
      </c>
      <c r="AG32" s="85">
        <f>AG$172*Population!AL$47</f>
        <v>25749.221556886227</v>
      </c>
      <c r="AH32" s="85">
        <f>AH$172*Population!AM$47</f>
        <v>26266.914268937169</v>
      </c>
      <c r="AI32" s="85">
        <f>AI$172*Population!AN$47</f>
        <v>27255.728871242201</v>
      </c>
      <c r="AJ32" s="85">
        <f>AJ$172*Population!AO$47</f>
        <v>28176.926882902695</v>
      </c>
      <c r="AK32" s="85">
        <f>AK$172*Population!AP$47</f>
        <v>27908.646616541355</v>
      </c>
      <c r="AL32" s="85">
        <f>AL$172*Population!AQ$47</f>
        <v>28575.704148471617</v>
      </c>
      <c r="AM32" s="85">
        <f>AM$172*Population!AR$47</f>
        <v>28231.732962447844</v>
      </c>
      <c r="AN32" s="85">
        <f>AN$172*Population!AS$47</f>
        <v>27873.765205091935</v>
      </c>
      <c r="AO32" s="85">
        <f>AO$172*Population!AT$47</f>
        <v>27554.183702850562</v>
      </c>
      <c r="AP32" s="85">
        <f>AP$172*Population!AU$47</f>
        <v>26839.95257854179</v>
      </c>
      <c r="AQ32" s="85">
        <f>AQ$172*Population!AV$47</f>
        <v>26790.726240286909</v>
      </c>
      <c r="AR32" s="85">
        <f>AR$172*Population!AW$47</f>
        <v>26782.43498817967</v>
      </c>
      <c r="AS32" s="85">
        <f>AS$172*Population!AX$47</f>
        <v>27147.35655737705</v>
      </c>
      <c r="AT32" s="85">
        <f>AT$172*Population!AY$47</f>
        <v>27586.999709555621</v>
      </c>
      <c r="AU32" s="85">
        <f>AU$172*Population!AZ$47</f>
        <v>27970.253602305474</v>
      </c>
      <c r="AV32" s="85">
        <f>AV$172*Population!BA$47</f>
        <v>28307.991990846684</v>
      </c>
      <c r="AW32" s="85">
        <f>AW$172*Population!BB$47</f>
        <v>28569.883456509378</v>
      </c>
      <c r="AX32" s="85">
        <f>AX$172*Population!BC$47</f>
        <v>28753.267382702092</v>
      </c>
      <c r="AY32" s="85">
        <f>AY$172*Population!BD$47</f>
        <v>28860.309423347397</v>
      </c>
      <c r="AZ32" s="85">
        <f>AZ$172*Population!BE$47</f>
        <v>28906.332305968059</v>
      </c>
      <c r="BA32" s="85">
        <f>BA$172*Population!BF$47</f>
        <v>28917.686504610225</v>
      </c>
      <c r="BB32" s="85">
        <f>BB$172*Population!BG$47</f>
        <v>28868.047964305635</v>
      </c>
      <c r="BC32" s="85">
        <f>BC$172*Population!BH$47</f>
        <v>28783.281337047352</v>
      </c>
      <c r="BD32" s="85">
        <f>BD$172*Population!BI$47</f>
        <v>28678.986072423399</v>
      </c>
      <c r="BE32" s="85">
        <f>BE$172*Population!BJ$47</f>
        <v>28528.720735785952</v>
      </c>
      <c r="BF32" s="85">
        <f>BF$172*Population!BK$47</f>
        <v>28358.601730393526</v>
      </c>
      <c r="BG32" s="85">
        <f>BG$172*Population!BL$47</f>
        <v>28186.308724832215</v>
      </c>
    </row>
    <row r="33" spans="3:59" x14ac:dyDescent="0.2">
      <c r="C33" s="29">
        <v>38</v>
      </c>
      <c r="F33" s="85">
        <f>F$173*Population!K$48</f>
        <v>21762.388111888111</v>
      </c>
      <c r="G33" s="85">
        <f>G$173*Population!L$48</f>
        <v>21642.37676056338</v>
      </c>
      <c r="H33" s="85">
        <f>H$173*Population!M$48</f>
        <v>22614.85987696514</v>
      </c>
      <c r="I33" s="85">
        <f>I$173*Population!N$48</f>
        <v>22834.373716632443</v>
      </c>
      <c r="J33" s="85">
        <f>J$173*Population!O$48</f>
        <v>23213.001364256481</v>
      </c>
      <c r="K33" s="85">
        <f>K$173*Population!P$48</f>
        <v>24024.55</v>
      </c>
      <c r="L33" s="85">
        <f>L$173*Population!Q$48</f>
        <v>24601.998041136143</v>
      </c>
      <c r="M33" s="85">
        <f>M$173*Population!R$48</f>
        <v>25106.963418582065</v>
      </c>
      <c r="N33" s="85">
        <f>N$173*Population!S$48</f>
        <v>25947.206863679694</v>
      </c>
      <c r="O33" s="85">
        <f>O$173*Population!T$48</f>
        <v>26313.962858042178</v>
      </c>
      <c r="P33" s="85">
        <f>P$173*Population!U$48</f>
        <v>27163.820018365474</v>
      </c>
      <c r="Q33" s="85">
        <f>Q$173*Population!V$48</f>
        <v>28747.960257159557</v>
      </c>
      <c r="R33" s="85">
        <f>R$173*Population!W$48</f>
        <v>29407.519335433972</v>
      </c>
      <c r="S33" s="85">
        <f>S$173*Population!X$48</f>
        <v>30987.971530249109</v>
      </c>
      <c r="T33" s="85">
        <f>T$173*Population!Y$48</f>
        <v>32109.898882384248</v>
      </c>
      <c r="U33" s="85">
        <f>U$173*Population!Z$48</f>
        <v>31642.580469176213</v>
      </c>
      <c r="V33" s="85">
        <f>V$173*Population!AA$48</f>
        <v>31521.703521703523</v>
      </c>
      <c r="W33" s="85">
        <f>W$173*Population!AB$48</f>
        <v>30653.370349805664</v>
      </c>
      <c r="X33" s="85">
        <f>X$173*Population!AC$48</f>
        <v>30336.166435506238</v>
      </c>
      <c r="Y33" s="85">
        <f>Y$173*Population!AD$48</f>
        <v>29582.299887260429</v>
      </c>
      <c r="Z33" s="85">
        <f>Z$173*Population!AE$48</f>
        <v>29253.543307086613</v>
      </c>
      <c r="AA33" s="85">
        <f>AA$173*Population!AF$48</f>
        <v>28261.133580176585</v>
      </c>
      <c r="AB33" s="85">
        <f>AB$173*Population!AG$48</f>
        <v>27373.748902546093</v>
      </c>
      <c r="AC33" s="85">
        <f>AC$173*Population!AH$48</f>
        <v>27857.005988023953</v>
      </c>
      <c r="AD33" s="85">
        <f>AD$173*Population!AI$48</f>
        <v>27266.154734411084</v>
      </c>
      <c r="AE33" s="85">
        <f>AE$173*Population!AJ$48</f>
        <v>26198.028673835124</v>
      </c>
      <c r="AF33" s="85">
        <f>AF$173*Population!AK$48</f>
        <v>25927.027434428703</v>
      </c>
      <c r="AG33" s="85">
        <f>AG$173*Population!AL$48</f>
        <v>26298.267062314542</v>
      </c>
      <c r="AH33" s="85">
        <f>AH$173*Population!AM$48</f>
        <v>26205.855990439199</v>
      </c>
      <c r="AI33" s="85">
        <f>AI$173*Population!AN$48</f>
        <v>26733.614528412421</v>
      </c>
      <c r="AJ33" s="85">
        <f>AJ$173*Population!AO$48</f>
        <v>27741.239739598073</v>
      </c>
      <c r="AK33" s="85">
        <f>AK$173*Population!AP$48</f>
        <v>28673.303155006859</v>
      </c>
      <c r="AL33" s="85">
        <f>AL$173*Population!AQ$48</f>
        <v>28396.275708727073</v>
      </c>
      <c r="AM33" s="85">
        <f>AM$173*Population!AR$48</f>
        <v>29085.132116589484</v>
      </c>
      <c r="AN33" s="85">
        <f>AN$173*Population!AS$48</f>
        <v>28723.436979455859</v>
      </c>
      <c r="AO33" s="85">
        <f>AO$173*Population!AT$48</f>
        <v>28348.687552921252</v>
      </c>
      <c r="AP33" s="85">
        <f>AP$173*Population!AU$48</f>
        <v>28031.60011490951</v>
      </c>
      <c r="AQ33" s="85">
        <f>AQ$173*Population!AV$48</f>
        <v>27316.128364389235</v>
      </c>
      <c r="AR33" s="85">
        <f>AR$173*Population!AW$48</f>
        <v>27269.394572025052</v>
      </c>
      <c r="AS33" s="85">
        <f>AS$173*Population!AX$48</f>
        <v>27266.930109112356</v>
      </c>
      <c r="AT33" s="85">
        <f>AT$173*Population!AY$48</f>
        <v>27614.953271028036</v>
      </c>
      <c r="AU33" s="85">
        <f>AU$173*Population!AZ$48</f>
        <v>28068.171544479861</v>
      </c>
      <c r="AV33" s="85">
        <f>AV$173*Population!BA$48</f>
        <v>28462.076502732238</v>
      </c>
      <c r="AW33" s="85">
        <f>AW$173*Population!BB$48</f>
        <v>28801.644304881531</v>
      </c>
      <c r="AX33" s="85">
        <f>AX$173*Population!BC$48</f>
        <v>29067.09018718094</v>
      </c>
      <c r="AY33" s="85">
        <f>AY$173*Population!BD$48</f>
        <v>29240.042301184432</v>
      </c>
      <c r="AZ33" s="85">
        <f>AZ$173*Population!BE$48</f>
        <v>29354.890510948902</v>
      </c>
      <c r="BA33" s="85">
        <f>BA$173*Population!BF$48</f>
        <v>29418.414429530199</v>
      </c>
      <c r="BB33" s="85">
        <f>BB$173*Population!BG$48</f>
        <v>29420.950920245396</v>
      </c>
      <c r="BC33" s="85">
        <f>BC$173*Population!BH$48</f>
        <v>29369.830225438352</v>
      </c>
      <c r="BD33" s="85">
        <f>BD$173*Population!BI$48</f>
        <v>29291.145398943565</v>
      </c>
      <c r="BE33" s="85">
        <f>BE$173*Population!BJ$48</f>
        <v>29169.338521400779</v>
      </c>
      <c r="BF33" s="85">
        <f>BF$173*Population!BK$48</f>
        <v>29017.241379310344</v>
      </c>
      <c r="BG33" s="85">
        <f>BG$173*Population!BL$48</f>
        <v>28853.060428849902</v>
      </c>
    </row>
    <row r="34" spans="3:59" x14ac:dyDescent="0.2">
      <c r="C34" s="29">
        <v>39</v>
      </c>
      <c r="F34" s="85">
        <f>F$174*Population!K$49</f>
        <v>22175.799373040754</v>
      </c>
      <c r="G34" s="85">
        <f>G$174*Population!L$49</f>
        <v>22408.51581508516</v>
      </c>
      <c r="H34" s="85">
        <f>H$174*Population!M$49</f>
        <v>22266.263620386642</v>
      </c>
      <c r="I34" s="85">
        <f>I$174*Population!N$49</f>
        <v>23212.814738996931</v>
      </c>
      <c r="J34" s="85">
        <f>J$174*Population!O$49</f>
        <v>23405.398018448923</v>
      </c>
      <c r="K34" s="85">
        <f>K$174*Population!P$49</f>
        <v>23739.530132788561</v>
      </c>
      <c r="L34" s="85">
        <f>L$174*Population!Q$49</f>
        <v>24534.495840266223</v>
      </c>
      <c r="M34" s="85">
        <f>M$174*Population!R$49</f>
        <v>25081.694915254237</v>
      </c>
      <c r="N34" s="85">
        <f>N$174*Population!S$49</f>
        <v>25594.004524886877</v>
      </c>
      <c r="O34" s="85">
        <f>O$174*Population!T$49</f>
        <v>26439.942893401014</v>
      </c>
      <c r="P34" s="85">
        <f>P$174*Population!U$49</f>
        <v>26816.143934632306</v>
      </c>
      <c r="Q34" s="85">
        <f>Q$174*Population!V$49</f>
        <v>27670.360635696823</v>
      </c>
      <c r="R34" s="85">
        <f>R$174*Population!W$49</f>
        <v>29266.47505106507</v>
      </c>
      <c r="S34" s="85">
        <f>S$174*Population!X$49</f>
        <v>29937.894736842107</v>
      </c>
      <c r="T34" s="85">
        <f>T$174*Population!Y$49</f>
        <v>31524.398578458171</v>
      </c>
      <c r="U34" s="85">
        <f>U$174*Population!Z$49</f>
        <v>32679.590752059525</v>
      </c>
      <c r="V34" s="85">
        <f>V$174*Population!AA$49</f>
        <v>32214.779291553135</v>
      </c>
      <c r="W34" s="85">
        <f>W$174*Population!AB$49</f>
        <v>32072.118320610687</v>
      </c>
      <c r="X34" s="85">
        <f>X$174*Population!AC$49</f>
        <v>31187.274743554197</v>
      </c>
      <c r="Y34" s="85">
        <f>Y$174*Population!AD$49</f>
        <v>30856.941828254847</v>
      </c>
      <c r="Z34" s="85">
        <f>Z$174*Population!AE$49</f>
        <v>30106.557838446384</v>
      </c>
      <c r="AA34" s="85">
        <f>AA$174*Population!AF$49</f>
        <v>29760.834035383319</v>
      </c>
      <c r="AB34" s="85">
        <f>AB$174*Population!AG$49</f>
        <v>28759.050056882821</v>
      </c>
      <c r="AC34" s="85">
        <f>AC$174*Population!AH$49</f>
        <v>27848.673290473409</v>
      </c>
      <c r="AD34" s="85">
        <f>AD$174*Population!AI$49</f>
        <v>28338.724373576308</v>
      </c>
      <c r="AE34" s="85">
        <f>AE$174*Population!AJ$49</f>
        <v>27733.802248486598</v>
      </c>
      <c r="AF34" s="85">
        <f>AF$174*Population!AK$49</f>
        <v>26645.178890876567</v>
      </c>
      <c r="AG34" s="85">
        <f>AG$174*Population!AL$49</f>
        <v>26371.607465382302</v>
      </c>
      <c r="AH34" s="85">
        <f>AH$174*Population!AM$49</f>
        <v>26752.32</v>
      </c>
      <c r="AI34" s="85">
        <f>AI$174*Population!AN$49</f>
        <v>26658.830548926013</v>
      </c>
      <c r="AJ34" s="85">
        <f>AJ$174*Population!AO$49</f>
        <v>27196.730038022815</v>
      </c>
      <c r="AK34" s="85">
        <f>AK$174*Population!AP$49</f>
        <v>28207.569248162807</v>
      </c>
      <c r="AL34" s="85">
        <f>AL$174*Population!AQ$49</f>
        <v>29160.635616438358</v>
      </c>
      <c r="AM34" s="85">
        <f>AM$174*Population!AR$49</f>
        <v>28885.054121565361</v>
      </c>
      <c r="AN34" s="85">
        <f>AN$174*Population!AS$49</f>
        <v>29565.114254624594</v>
      </c>
      <c r="AO34" s="85">
        <f>AO$174*Population!AT$49</f>
        <v>29208.337028824833</v>
      </c>
      <c r="AP34" s="85">
        <f>AP$174*Population!AU$49</f>
        <v>28840.698985343854</v>
      </c>
      <c r="AQ34" s="85">
        <f>AQ$174*Population!AV$49</f>
        <v>28515.869191049911</v>
      </c>
      <c r="AR34" s="85">
        <f>AR$174*Population!AW$49</f>
        <v>27783.03808680248</v>
      </c>
      <c r="AS34" s="85">
        <f>AS$174*Population!AX$49</f>
        <v>27728.288181006254</v>
      </c>
      <c r="AT34" s="85">
        <f>AT$174*Population!AY$49</f>
        <v>27721.457168089488</v>
      </c>
      <c r="AU34" s="85">
        <f>AU$174*Population!AZ$49</f>
        <v>28099.825021872264</v>
      </c>
      <c r="AV34" s="85">
        <f>AV$174*Population!BA$49</f>
        <v>28545.833333333336</v>
      </c>
      <c r="AW34" s="85">
        <f>AW$174*Population!BB$49</f>
        <v>28944.582256675279</v>
      </c>
      <c r="AX34" s="85">
        <f>AX$174*Population!BC$49</f>
        <v>29278.087774294672</v>
      </c>
      <c r="AY34" s="85">
        <f>AY$174*Population!BD$49</f>
        <v>29560.815632965168</v>
      </c>
      <c r="AZ34" s="85">
        <f>AZ$174*Population!BE$49</f>
        <v>29744.59307237398</v>
      </c>
      <c r="BA34" s="85">
        <f>BA$174*Population!BF$49</f>
        <v>29850.739910313903</v>
      </c>
      <c r="BB34" s="85">
        <f>BB$174*Population!BG$49</f>
        <v>29905.639307649359</v>
      </c>
      <c r="BC34" s="85">
        <f>BC$174*Population!BH$49</f>
        <v>29914.885857461024</v>
      </c>
      <c r="BD34" s="85">
        <f>BD$174*Population!BI$49</f>
        <v>29862.295081967211</v>
      </c>
      <c r="BE34" s="85">
        <f>BE$174*Population!BJ$49</f>
        <v>29784.690535664726</v>
      </c>
      <c r="BF34" s="85">
        <f>BF$174*Population!BK$49</f>
        <v>29658.390677025527</v>
      </c>
      <c r="BG34" s="85">
        <f>BG$174*Population!BL$49</f>
        <v>29512.635379061372</v>
      </c>
    </row>
    <row r="35" spans="3:59" x14ac:dyDescent="0.2">
      <c r="C35" s="29">
        <v>40</v>
      </c>
      <c r="F35" s="85">
        <f>F$175*Population!K$50</f>
        <v>23648.604574080211</v>
      </c>
      <c r="G35" s="85">
        <f>G$175*Population!L$50</f>
        <v>22677.855162855161</v>
      </c>
      <c r="H35" s="85">
        <f>H$175*Population!M$50</f>
        <v>22948.854166666668</v>
      </c>
      <c r="I35" s="85">
        <f>I$175*Population!N$50</f>
        <v>22756.221910112359</v>
      </c>
      <c r="J35" s="85">
        <f>J$175*Population!O$50</f>
        <v>23684.993183367416</v>
      </c>
      <c r="K35" s="85">
        <f>K$175*Population!P$50</f>
        <v>23830.771331058018</v>
      </c>
      <c r="L35" s="85">
        <f>L$175*Population!Q$50</f>
        <v>24144.418367346938</v>
      </c>
      <c r="M35" s="85">
        <f>M$175*Population!R$50</f>
        <v>24902.376204719178</v>
      </c>
      <c r="N35" s="85">
        <f>N$175*Population!S$50</f>
        <v>25458.156952132853</v>
      </c>
      <c r="O35" s="85">
        <f>O$175*Population!T$50</f>
        <v>25965.551969012267</v>
      </c>
      <c r="P35" s="85">
        <f>P$175*Population!U$50</f>
        <v>26815.716096324461</v>
      </c>
      <c r="Q35" s="85">
        <f>Q$175*Population!V$50</f>
        <v>27193.220338983054</v>
      </c>
      <c r="R35" s="85">
        <f>R$175*Population!W$50</f>
        <v>28056.91603053435</v>
      </c>
      <c r="S35" s="85">
        <f>S$175*Population!X$50</f>
        <v>29678.040816326527</v>
      </c>
      <c r="T35" s="85">
        <f>T$175*Population!Y$50</f>
        <v>30350.191483280938</v>
      </c>
      <c r="U35" s="85">
        <f>U$175*Population!Z$50</f>
        <v>31949.827915869981</v>
      </c>
      <c r="V35" s="85">
        <f>V$175*Population!AA$50</f>
        <v>33099.734466277216</v>
      </c>
      <c r="W35" s="85">
        <f>W$175*Population!AB$50</f>
        <v>32626.551442569405</v>
      </c>
      <c r="X35" s="85">
        <f>X$175*Population!AC$50</f>
        <v>32474.50980392157</v>
      </c>
      <c r="Y35" s="85">
        <f>Y$175*Population!AD$50</f>
        <v>31583.335180055405</v>
      </c>
      <c r="Z35" s="85">
        <f>Z$175*Population!AE$50</f>
        <v>31256.886244118461</v>
      </c>
      <c r="AA35" s="85">
        <f>AA$175*Population!AF$50</f>
        <v>30483.9555805454</v>
      </c>
      <c r="AB35" s="85">
        <f>AB$175*Population!AG$50</f>
        <v>30133.744740532962</v>
      </c>
      <c r="AC35" s="85">
        <f>AC$175*Population!AH$50</f>
        <v>29122.6875</v>
      </c>
      <c r="AD35" s="85">
        <f>AD$175*Population!AI$50</f>
        <v>28210.718038528896</v>
      </c>
      <c r="AE35" s="85">
        <f>AE$175*Population!AJ$50</f>
        <v>28690.261660978384</v>
      </c>
      <c r="AF35" s="85">
        <f>AF$175*Population!AK$50</f>
        <v>28090.480852289085</v>
      </c>
      <c r="AG35" s="85">
        <f>AG$175*Population!AL$50</f>
        <v>26979.746873138774</v>
      </c>
      <c r="AH35" s="85">
        <f>AH$175*Population!AM$50</f>
        <v>26716.073361395069</v>
      </c>
      <c r="AI35" s="85">
        <f>AI$175*Population!AN$50</f>
        <v>27096.33027522936</v>
      </c>
      <c r="AJ35" s="85">
        <f>AJ$175*Population!AO$50</f>
        <v>26995.825387365912</v>
      </c>
      <c r="AK35" s="85">
        <f>AK$175*Population!AP$50</f>
        <v>27533.74233128834</v>
      </c>
      <c r="AL35" s="85">
        <f>AL$175*Population!AQ$50</f>
        <v>28555.321852060984</v>
      </c>
      <c r="AM35" s="85">
        <f>AM$175*Population!AR$50</f>
        <v>29516.847290640395</v>
      </c>
      <c r="AN35" s="85">
        <f>AN$175*Population!AS$50</f>
        <v>29242.287219295813</v>
      </c>
      <c r="AO35" s="85">
        <f>AO$175*Population!AT$50</f>
        <v>29933.559782608696</v>
      </c>
      <c r="AP35" s="85">
        <f>AP$175*Population!AU$50</f>
        <v>29568.438538205981</v>
      </c>
      <c r="AQ35" s="85">
        <f>AQ$175*Population!AV$50</f>
        <v>29194.054054054053</v>
      </c>
      <c r="AR35" s="85">
        <f>AR$175*Population!AW$50</f>
        <v>28871.131805157591</v>
      </c>
      <c r="AS35" s="85">
        <f>AS$175*Population!AX$50</f>
        <v>28136.667649660867</v>
      </c>
      <c r="AT35" s="85">
        <f>AT$175*Population!AY$50</f>
        <v>28083.758548914659</v>
      </c>
      <c r="AU35" s="85">
        <f>AU$175*Population!AZ$50</f>
        <v>28073.578359306084</v>
      </c>
      <c r="AV35" s="85">
        <f>AV$175*Population!BA$50</f>
        <v>28445.120885522865</v>
      </c>
      <c r="AW35" s="85">
        <f>AW$175*Population!BB$50</f>
        <v>28885.102571511125</v>
      </c>
      <c r="AX35" s="85">
        <f>AX$175*Population!BC$50</f>
        <v>29294.006309148266</v>
      </c>
      <c r="AY35" s="85">
        <f>AY$175*Population!BD$50</f>
        <v>29647.301451750642</v>
      </c>
      <c r="AZ35" s="85">
        <f>AZ$175*Population!BE$50</f>
        <v>29914.572963800903</v>
      </c>
      <c r="BA35" s="85">
        <f>BA$175*Population!BF$50</f>
        <v>30106.437007874014</v>
      </c>
      <c r="BB35" s="85">
        <f>BB$175*Population!BG$50</f>
        <v>30212.258606213265</v>
      </c>
      <c r="BC35" s="85">
        <f>BC$175*Population!BH$50</f>
        <v>30274.980479643054</v>
      </c>
      <c r="BD35" s="85">
        <f>BD$175*Population!BI$50</f>
        <v>30283.456618464963</v>
      </c>
      <c r="BE35" s="85">
        <f>BE$175*Population!BJ$50</f>
        <v>30240.341382181516</v>
      </c>
      <c r="BF35" s="85">
        <f>BF$175*Population!BK$50</f>
        <v>30150.973107845857</v>
      </c>
      <c r="BG35" s="85">
        <f>BG$175*Population!BL$50</f>
        <v>30033.849778270509</v>
      </c>
    </row>
    <row r="36" spans="3:59" x14ac:dyDescent="0.2">
      <c r="C36" s="29">
        <v>41</v>
      </c>
      <c r="F36" s="85">
        <f>F$176*Population!K$51</f>
        <v>24930.339898348157</v>
      </c>
      <c r="G36" s="85">
        <f>G$176*Population!L$51</f>
        <v>24121.435643564357</v>
      </c>
      <c r="H36" s="85">
        <f>H$176*Population!M$51</f>
        <v>23122.693905817174</v>
      </c>
      <c r="I36" s="85">
        <f>I$176*Population!N$51</f>
        <v>23365.357390700901</v>
      </c>
      <c r="J36" s="85">
        <f>J$176*Population!O$51</f>
        <v>23133.440897930548</v>
      </c>
      <c r="K36" s="85">
        <f>K$176*Population!P$51</f>
        <v>24032.761321075926</v>
      </c>
      <c r="L36" s="85">
        <f>L$176*Population!Q$51</f>
        <v>24156.454142516195</v>
      </c>
      <c r="M36" s="85">
        <f>M$176*Population!R$51</f>
        <v>24430.071355759428</v>
      </c>
      <c r="N36" s="85">
        <f>N$176*Population!S$51</f>
        <v>25198.140152773165</v>
      </c>
      <c r="O36" s="85">
        <f>O$176*Population!T$51</f>
        <v>25764.751057598438</v>
      </c>
      <c r="P36" s="85">
        <f>P$176*Population!U$51</f>
        <v>26272.283870967742</v>
      </c>
      <c r="Q36" s="85">
        <f>Q$176*Population!V$51</f>
        <v>27136.656111462951</v>
      </c>
      <c r="R36" s="85">
        <f>R$176*Population!W$51</f>
        <v>27507.280426599747</v>
      </c>
      <c r="S36" s="85">
        <f>S$176*Population!X$51</f>
        <v>28371.168395363024</v>
      </c>
      <c r="T36" s="85">
        <f>T$176*Population!Y$51</f>
        <v>29997.762889600934</v>
      </c>
      <c r="U36" s="85">
        <f>U$176*Population!Z$51</f>
        <v>30670.474014848656</v>
      </c>
      <c r="V36" s="85">
        <f>V$176*Population!AA$51</f>
        <v>32293.796397379912</v>
      </c>
      <c r="W36" s="85">
        <f>W$176*Population!AB$51</f>
        <v>33454.657643312101</v>
      </c>
      <c r="X36" s="85">
        <f>X$176*Population!AC$51</f>
        <v>32973.449401523394</v>
      </c>
      <c r="Y36" s="85">
        <f>Y$176*Population!AD$51</f>
        <v>32828.091997822536</v>
      </c>
      <c r="Z36" s="85">
        <f>Z$176*Population!AE$51</f>
        <v>31924.691392194851</v>
      </c>
      <c r="AA36" s="85">
        <f>AA$176*Population!AF$51</f>
        <v>31594.911504424781</v>
      </c>
      <c r="AB36" s="85">
        <f>AB$176*Population!AG$51</f>
        <v>30809.064343916831</v>
      </c>
      <c r="AC36" s="85">
        <f>AC$176*Population!AH$51</f>
        <v>30446.350896860986</v>
      </c>
      <c r="AD36" s="85">
        <f>AD$176*Population!AI$51</f>
        <v>29437.898921067575</v>
      </c>
      <c r="AE36" s="85">
        <f>AE$176*Population!AJ$51</f>
        <v>28505.791776027996</v>
      </c>
      <c r="AF36" s="85">
        <f>AF$176*Population!AK$51</f>
        <v>29001.364023870417</v>
      </c>
      <c r="AG36" s="85">
        <f>AG$176*Population!AL$51</f>
        <v>28388.98734177215</v>
      </c>
      <c r="AH36" s="85">
        <f>AH$176*Population!AM$51</f>
        <v>27276.649806605175</v>
      </c>
      <c r="AI36" s="85">
        <f>AI$176*Population!AN$51</f>
        <v>27002.679483328327</v>
      </c>
      <c r="AJ36" s="85">
        <f>AJ$176*Population!AO$51</f>
        <v>27382.542874039031</v>
      </c>
      <c r="AK36" s="85">
        <f>AK$176*Population!AP$51</f>
        <v>27282.759749925572</v>
      </c>
      <c r="AL36" s="85">
        <f>AL$176*Population!AQ$51</f>
        <v>27830.814360770575</v>
      </c>
      <c r="AM36" s="85">
        <f>AM$176*Population!AR$51</f>
        <v>28863.066290550069</v>
      </c>
      <c r="AN36" s="85">
        <f>AN$176*Population!AS$51</f>
        <v>29835.274815422479</v>
      </c>
      <c r="AO36" s="85">
        <f>AO$176*Population!AT$51</f>
        <v>29551.454293628809</v>
      </c>
      <c r="AP36" s="85">
        <f>AP$176*Population!AU$51</f>
        <v>30253.83654629378</v>
      </c>
      <c r="AQ36" s="85">
        <f>AQ$176*Population!AV$51</f>
        <v>29880.149377593363</v>
      </c>
      <c r="AR36" s="85">
        <f>AR$176*Population!AW$51</f>
        <v>29504.44163150492</v>
      </c>
      <c r="AS36" s="85">
        <f>AS$176*Population!AX$51</f>
        <v>29174.802518603319</v>
      </c>
      <c r="AT36" s="85">
        <f>AT$176*Population!AY$51</f>
        <v>28431.025338833235</v>
      </c>
      <c r="AU36" s="85">
        <f>AU$176*Population!AZ$51</f>
        <v>28371.250371250371</v>
      </c>
      <c r="AV36" s="85">
        <f>AV$176*Population!BA$51</f>
        <v>28368.713656387663</v>
      </c>
      <c r="AW36" s="85">
        <f>AW$176*Population!BB$51</f>
        <v>28738.737270875761</v>
      </c>
      <c r="AX36" s="85">
        <f>AX$176*Population!BC$51</f>
        <v>29199.474595842956</v>
      </c>
      <c r="AY36" s="85">
        <f>AY$176*Population!BD$51</f>
        <v>29601.569750787741</v>
      </c>
      <c r="AZ36" s="85">
        <f>AZ$176*Population!BE$51</f>
        <v>29956.484641638228</v>
      </c>
      <c r="BA36" s="85">
        <f>BA$176*Population!BF$51</f>
        <v>30232.438541961008</v>
      </c>
      <c r="BB36" s="85">
        <f>BB$176*Population!BG$51</f>
        <v>30416.470918797415</v>
      </c>
      <c r="BC36" s="85">
        <f>BC$176*Population!BH$51</f>
        <v>30532.65100671141</v>
      </c>
      <c r="BD36" s="85">
        <f>BD$176*Population!BI$51</f>
        <v>30594.387186629527</v>
      </c>
      <c r="BE36" s="85">
        <f>BE$176*Population!BJ$51</f>
        <v>30594.180555555555</v>
      </c>
      <c r="BF36" s="85">
        <f>BF$176*Population!BK$51</f>
        <v>30558.164679789297</v>
      </c>
      <c r="BG36" s="85">
        <f>BG$176*Population!BL$51</f>
        <v>30467.748546109113</v>
      </c>
    </row>
    <row r="37" spans="3:59" x14ac:dyDescent="0.2">
      <c r="C37" s="29">
        <v>42</v>
      </c>
      <c r="F37" s="85">
        <f>F$177*Population!K$52</f>
        <v>26111.955922865011</v>
      </c>
      <c r="G37" s="85">
        <f>G$177*Population!L$52</f>
        <v>25366.084203861981</v>
      </c>
      <c r="H37" s="85">
        <f>H$177*Population!M$52</f>
        <v>24542.669966996698</v>
      </c>
      <c r="I37" s="85">
        <f>I$177*Population!N$52</f>
        <v>23503.052959501558</v>
      </c>
      <c r="J37" s="85">
        <f>J$177*Population!O$52</f>
        <v>23714.297606659729</v>
      </c>
      <c r="K37" s="85">
        <f>K$177*Population!P$52</f>
        <v>23466.671343388287</v>
      </c>
      <c r="L37" s="85">
        <f>L$177*Population!Q$52</f>
        <v>24354.106230847803</v>
      </c>
      <c r="M37" s="85">
        <f>M$177*Population!R$52</f>
        <v>24447.176951926354</v>
      </c>
      <c r="N37" s="85">
        <f>N$177*Population!S$52</f>
        <v>24722.731906218145</v>
      </c>
      <c r="O37" s="85">
        <f>O$177*Population!T$52</f>
        <v>25494.780876494024</v>
      </c>
      <c r="P37" s="85">
        <f>P$177*Population!U$52</f>
        <v>26061.724137931036</v>
      </c>
      <c r="Q37" s="85">
        <f>Q$177*Population!V$52</f>
        <v>26572.073524669464</v>
      </c>
      <c r="R37" s="85">
        <f>R$177*Population!W$52</f>
        <v>27440</v>
      </c>
      <c r="S37" s="85">
        <f>S$177*Population!X$52</f>
        <v>27822.445907808091</v>
      </c>
      <c r="T37" s="85">
        <f>T$177*Population!Y$52</f>
        <v>28698.032936870997</v>
      </c>
      <c r="U37" s="85">
        <f>U$177*Population!Z$52</f>
        <v>30338.267326732672</v>
      </c>
      <c r="V37" s="85">
        <f>V$177*Population!AA$52</f>
        <v>31022.552098201541</v>
      </c>
      <c r="W37" s="85">
        <f>W$177*Population!AB$52</f>
        <v>32647.751705320599</v>
      </c>
      <c r="X37" s="85">
        <f>X$177*Population!AC$52</f>
        <v>33821.995224197402</v>
      </c>
      <c r="Y37" s="85">
        <f>Y$177*Population!AD$52</f>
        <v>33344.171879249385</v>
      </c>
      <c r="Z37" s="85">
        <f>Z$177*Population!AE$52</f>
        <v>33197.442176870747</v>
      </c>
      <c r="AA37" s="85">
        <f>AA$177*Population!AF$52</f>
        <v>32279.172661870503</v>
      </c>
      <c r="AB37" s="85">
        <f>AB$177*Population!AG$52</f>
        <v>31945.739563173902</v>
      </c>
      <c r="AC37" s="85">
        <f>AC$177*Population!AH$52</f>
        <v>31156.222971075542</v>
      </c>
      <c r="AD37" s="85">
        <f>AD$177*Population!AI$52</f>
        <v>30797.780891005885</v>
      </c>
      <c r="AE37" s="85">
        <f>AE$177*Population!AJ$52</f>
        <v>29774.426787741202</v>
      </c>
      <c r="AF37" s="85">
        <f>AF$177*Population!AK$52</f>
        <v>28828.314868804664</v>
      </c>
      <c r="AG37" s="85">
        <f>AG$177*Population!AL$52</f>
        <v>29323.65625</v>
      </c>
      <c r="AH37" s="85">
        <f>AH$177*Population!AM$52</f>
        <v>28700.373778033354</v>
      </c>
      <c r="AI37" s="85">
        <f>AI$177*Population!AN$52</f>
        <v>27592.433075550271</v>
      </c>
      <c r="AJ37" s="85">
        <f>AJ$177*Population!AO$52</f>
        <v>27301.963374362051</v>
      </c>
      <c r="AK37" s="85">
        <f>AK$177*Population!AP$52</f>
        <v>27699.586288416074</v>
      </c>
      <c r="AL37" s="85">
        <f>AL$177*Population!AQ$52</f>
        <v>27600.642665873253</v>
      </c>
      <c r="AM37" s="85">
        <f>AM$177*Population!AR$52</f>
        <v>28148.704784130688</v>
      </c>
      <c r="AN37" s="85">
        <f>AN$177*Population!AS$52</f>
        <v>29181.528051874826</v>
      </c>
      <c r="AO37" s="85">
        <f>AO$177*Population!AT$52</f>
        <v>30164.45750204974</v>
      </c>
      <c r="AP37" s="85">
        <f>AP$177*Population!AU$52</f>
        <v>29873.546511627905</v>
      </c>
      <c r="AQ37" s="85">
        <f>AQ$177*Population!AV$52</f>
        <v>30595.237449118045</v>
      </c>
      <c r="AR37" s="85">
        <f>AR$177*Population!AW$52</f>
        <v>30213.157312690073</v>
      </c>
      <c r="AS37" s="85">
        <f>AS$177*Population!AX$52</f>
        <v>29838.639302783246</v>
      </c>
      <c r="AT37" s="85">
        <f>AT$177*Population!AY$52</f>
        <v>29508.821173104432</v>
      </c>
      <c r="AU37" s="85">
        <f>AU$177*Population!AZ$52</f>
        <v>28757.50883392226</v>
      </c>
      <c r="AV37" s="85">
        <f>AV$177*Population!BA$52</f>
        <v>28699.456812110417</v>
      </c>
      <c r="AW37" s="85">
        <f>AW$177*Population!BB$52</f>
        <v>28683.234517170531</v>
      </c>
      <c r="AX37" s="85">
        <f>AX$177*Population!BC$52</f>
        <v>29064.742657749346</v>
      </c>
      <c r="AY37" s="85">
        <f>AY$177*Population!BD$52</f>
        <v>29527.761107905364</v>
      </c>
      <c r="AZ37" s="85">
        <f>AZ$177*Population!BE$52</f>
        <v>29942.207271686228</v>
      </c>
      <c r="BA37" s="85">
        <f>BA$177*Population!BF$52</f>
        <v>30306.566230812965</v>
      </c>
      <c r="BB37" s="85">
        <f>BB$177*Population!BG$52</f>
        <v>30575.261225642476</v>
      </c>
      <c r="BC37" s="85">
        <f>BC$177*Population!BH$52</f>
        <v>30759.427127211457</v>
      </c>
      <c r="BD37" s="85">
        <f>BD$177*Population!BI$52</f>
        <v>30883.381777529346</v>
      </c>
      <c r="BE37" s="85">
        <f>BE$177*Population!BJ$52</f>
        <v>30936.469933184857</v>
      </c>
      <c r="BF37" s="85">
        <f>BF$177*Population!BK$52</f>
        <v>30946.029983342585</v>
      </c>
      <c r="BG37" s="85">
        <f>BG$177*Population!BL$52</f>
        <v>30898.434469382097</v>
      </c>
    </row>
    <row r="38" spans="3:59" x14ac:dyDescent="0.2">
      <c r="C38" s="29">
        <v>43</v>
      </c>
      <c r="F38" s="85">
        <f>F$178*Population!K$53</f>
        <v>27239.219396806624</v>
      </c>
      <c r="G38" s="85">
        <f>G$178*Population!L$53</f>
        <v>26536.598473282444</v>
      </c>
      <c r="H38" s="85">
        <f>H$178*Population!M$53</f>
        <v>25750.338929363319</v>
      </c>
      <c r="I38" s="85">
        <f>I$178*Population!N$53</f>
        <v>24894.427203697589</v>
      </c>
      <c r="J38" s="85">
        <f>J$178*Population!O$53</f>
        <v>23829.580879806028</v>
      </c>
      <c r="K38" s="85">
        <f>K$178*Population!P$53</f>
        <v>24010.607217210272</v>
      </c>
      <c r="L38" s="85">
        <f>L$178*Population!Q$53</f>
        <v>23730.568421052631</v>
      </c>
      <c r="M38" s="85">
        <f>M$178*Population!R$53</f>
        <v>24595.149863760216</v>
      </c>
      <c r="N38" s="85">
        <f>N$178*Population!S$53</f>
        <v>24707.776261937244</v>
      </c>
      <c r="O38" s="85">
        <f>O$178*Population!T$53</f>
        <v>24985.098572399726</v>
      </c>
      <c r="P38" s="85">
        <f>P$178*Population!U$53</f>
        <v>25758.827632015942</v>
      </c>
      <c r="Q38" s="85">
        <f>Q$178*Population!V$53</f>
        <v>26336.596160104131</v>
      </c>
      <c r="R38" s="85">
        <f>R$178*Population!W$53</f>
        <v>26852.103225806452</v>
      </c>
      <c r="S38" s="85">
        <f>S$178*Population!X$53</f>
        <v>27723.521215959467</v>
      </c>
      <c r="T38" s="85">
        <f>T$178*Population!Y$53</f>
        <v>28104.297365119197</v>
      </c>
      <c r="U38" s="85">
        <f>U$178*Population!Z$53</f>
        <v>28992.209337808974</v>
      </c>
      <c r="V38" s="85">
        <f>V$178*Population!AA$53</f>
        <v>30645.926573426575</v>
      </c>
      <c r="W38" s="85">
        <f>W$178*Population!AB$53</f>
        <v>31332.815533980582</v>
      </c>
      <c r="X38" s="85">
        <f>X$178*Population!AC$53</f>
        <v>32979.754299754299</v>
      </c>
      <c r="Y38" s="85">
        <f>Y$178*Population!AD$53</f>
        <v>34169.386942675155</v>
      </c>
      <c r="Z38" s="85">
        <f>Z$178*Population!AE$53</f>
        <v>33672.470076169753</v>
      </c>
      <c r="AA38" s="85">
        <f>AA$178*Population!AF$53</f>
        <v>33524.477408818726</v>
      </c>
      <c r="AB38" s="85">
        <f>AB$178*Population!AG$53</f>
        <v>32610.849709382783</v>
      </c>
      <c r="AC38" s="85">
        <f>AC$178*Population!AH$53</f>
        <v>32273.938053097347</v>
      </c>
      <c r="AD38" s="85">
        <f>AD$178*Population!AI$53</f>
        <v>31470.724719101123</v>
      </c>
      <c r="AE38" s="85">
        <f>AE$178*Population!AJ$53</f>
        <v>31118.932174887894</v>
      </c>
      <c r="AF38" s="85">
        <f>AF$178*Population!AK$53</f>
        <v>30078.898665909735</v>
      </c>
      <c r="AG38" s="85">
        <f>AG$178*Population!AL$53</f>
        <v>29122.827988338191</v>
      </c>
      <c r="AH38" s="85">
        <f>AH$178*Population!AM$53</f>
        <v>29642.659846547318</v>
      </c>
      <c r="AI38" s="85">
        <f>AI$178*Population!AN$53</f>
        <v>29016.681046879494</v>
      </c>
      <c r="AJ38" s="85">
        <f>AJ$178*Population!AO$53</f>
        <v>27880.511600237955</v>
      </c>
      <c r="AK38" s="85">
        <f>AK$178*Population!AP$53</f>
        <v>27596.012012012015</v>
      </c>
      <c r="AL38" s="85">
        <f>AL$178*Population!AQ$53</f>
        <v>27985.10198049069</v>
      </c>
      <c r="AM38" s="85">
        <f>AM$178*Population!AR$53</f>
        <v>27895.13095238095</v>
      </c>
      <c r="AN38" s="85">
        <f>AN$178*Population!AS$53</f>
        <v>28453.341114677562</v>
      </c>
      <c r="AO38" s="85">
        <f>AO$178*Population!AT$53</f>
        <v>29488.559345926133</v>
      </c>
      <c r="AP38" s="85">
        <f>AP$178*Population!AU$53</f>
        <v>30482.361946418809</v>
      </c>
      <c r="AQ38" s="85">
        <f>AQ$178*Population!AV$53</f>
        <v>30200.578787039602</v>
      </c>
      <c r="AR38" s="85">
        <f>AR$178*Population!AW$53</f>
        <v>30906.757123473541</v>
      </c>
      <c r="AS38" s="85">
        <f>AS$178*Population!AX$53</f>
        <v>30534.950221238938</v>
      </c>
      <c r="AT38" s="85">
        <f>AT$178*Population!AY$53</f>
        <v>30142.805735170085</v>
      </c>
      <c r="AU38" s="85">
        <f>AU$178*Population!AZ$53</f>
        <v>29814.786838340486</v>
      </c>
      <c r="AV38" s="85">
        <f>AV$178*Population!BA$53</f>
        <v>29062.008244994111</v>
      </c>
      <c r="AW38" s="85">
        <f>AW$178*Population!BB$53</f>
        <v>29003.675771971495</v>
      </c>
      <c r="AX38" s="85">
        <f>AX$178*Population!BC$53</f>
        <v>28986.234223657175</v>
      </c>
      <c r="AY38" s="85">
        <f>AY$178*Population!BD$53</f>
        <v>29379.226519337019</v>
      </c>
      <c r="AZ38" s="85">
        <f>AZ$178*Population!BE$53</f>
        <v>29844.489324870166</v>
      </c>
      <c r="BA38" s="85">
        <f>BA$178*Population!BF$53</f>
        <v>30260.681362725452</v>
      </c>
      <c r="BB38" s="85">
        <f>BB$178*Population!BG$53</f>
        <v>30626.392836839113</v>
      </c>
      <c r="BC38" s="85">
        <f>BC$178*Population!BH$53</f>
        <v>30906.478395933351</v>
      </c>
      <c r="BD38" s="85">
        <f>BD$178*Population!BI$53</f>
        <v>31090.772254984553</v>
      </c>
      <c r="BE38" s="85">
        <f>BE$178*Population!BJ$53</f>
        <v>31214.482951369479</v>
      </c>
      <c r="BF38" s="85">
        <f>BF$178*Population!BK$53</f>
        <v>31266.94877505568</v>
      </c>
      <c r="BG38" s="85">
        <f>BG$178*Population!BL$53</f>
        <v>31265.074958356472</v>
      </c>
    </row>
    <row r="39" spans="3:59" x14ac:dyDescent="0.2">
      <c r="C39" s="29">
        <v>44</v>
      </c>
      <c r="F39" s="85">
        <f>F$179*Population!K$54</f>
        <v>28024.369016536119</v>
      </c>
      <c r="G39" s="85">
        <f>G$179*Population!L$54</f>
        <v>27525.605076741442</v>
      </c>
      <c r="H39" s="85">
        <f>H$179*Population!M$54</f>
        <v>26833.531030265975</v>
      </c>
      <c r="I39" s="85">
        <f>I$179*Population!N$54</f>
        <v>26032.207421503332</v>
      </c>
      <c r="J39" s="85">
        <f>J$179*Population!O$54</f>
        <v>25143.011570247931</v>
      </c>
      <c r="K39" s="85">
        <f>K$179*Population!P$54</f>
        <v>24054.40166493236</v>
      </c>
      <c r="L39" s="85">
        <f>L$179*Population!Q$54</f>
        <v>24222.821403752609</v>
      </c>
      <c r="M39" s="85">
        <f>M$179*Population!R$54</f>
        <v>23917.808219178081</v>
      </c>
      <c r="N39" s="85">
        <f>N$179*Population!S$54</f>
        <v>24793.726559836345</v>
      </c>
      <c r="O39" s="85">
        <f>O$179*Population!T$54</f>
        <v>24907.336975076818</v>
      </c>
      <c r="P39" s="85">
        <f>P$179*Population!U$54</f>
        <v>25186.090506975164</v>
      </c>
      <c r="Q39" s="85">
        <f>Q$179*Population!V$54</f>
        <v>25971.702127659573</v>
      </c>
      <c r="R39" s="85">
        <f>R$179*Population!W$54</f>
        <v>26560.270358306188</v>
      </c>
      <c r="S39" s="85">
        <f>S$179*Population!X$54</f>
        <v>27086.750645994834</v>
      </c>
      <c r="T39" s="85">
        <f>T$179*Population!Y$54</f>
        <v>27963.09033280507</v>
      </c>
      <c r="U39" s="85">
        <f>U$179*Population!Z$54</f>
        <v>28347.409733124019</v>
      </c>
      <c r="V39" s="85">
        <f>V$179*Population!AA$54</f>
        <v>29244.282223579718</v>
      </c>
      <c r="W39" s="85">
        <f>W$179*Population!AB$54</f>
        <v>30922.134733158353</v>
      </c>
      <c r="X39" s="85">
        <f>X$179*Population!AC$54</f>
        <v>31618.507718696397</v>
      </c>
      <c r="Y39" s="85">
        <f>Y$179*Population!AD$54</f>
        <v>33280.131147540982</v>
      </c>
      <c r="Z39" s="85">
        <f>Z$179*Population!AE$54</f>
        <v>34471.745019920316</v>
      </c>
      <c r="AA39" s="85">
        <f>AA$179*Population!AF$54</f>
        <v>33977.805608494418</v>
      </c>
      <c r="AB39" s="85">
        <f>AB$179*Population!AG$54</f>
        <v>33828.613456823754</v>
      </c>
      <c r="AC39" s="85">
        <f>AC$179*Population!AH$54</f>
        <v>32892.415512465377</v>
      </c>
      <c r="AD39" s="85">
        <f>AD$179*Population!AI$54</f>
        <v>32552.316634375868</v>
      </c>
      <c r="AE39" s="85">
        <f>AE$179*Population!AJ$54</f>
        <v>31765.546809108797</v>
      </c>
      <c r="AF39" s="85">
        <f>AF$179*Population!AK$54</f>
        <v>31399.102384291724</v>
      </c>
      <c r="AG39" s="85">
        <f>AG$179*Population!AL$54</f>
        <v>30353.360795454544</v>
      </c>
      <c r="AH39" s="85">
        <f>AH$179*Population!AM$54</f>
        <v>29404.07061569886</v>
      </c>
      <c r="AI39" s="85">
        <f>AI$179*Population!AN$54</f>
        <v>29904.953085015637</v>
      </c>
      <c r="AJ39" s="85">
        <f>AJ$179*Population!AO$54</f>
        <v>29285.017271157165</v>
      </c>
      <c r="AK39" s="85">
        <f>AK$179*Population!AP$54</f>
        <v>28145.311104495388</v>
      </c>
      <c r="AL39" s="85">
        <f>AL$179*Population!AQ$54</f>
        <v>27852.259615384613</v>
      </c>
      <c r="AM39" s="85">
        <f>AM$179*Population!AR$54</f>
        <v>28251.073646850044</v>
      </c>
      <c r="AN39" s="85">
        <f>AN$179*Population!AS$54</f>
        <v>28161.941631923764</v>
      </c>
      <c r="AO39" s="85">
        <f>AO$179*Population!AT$54</f>
        <v>28720.145985401461</v>
      </c>
      <c r="AP39" s="85">
        <f>AP$179*Population!AU$54</f>
        <v>29774.351015801356</v>
      </c>
      <c r="AQ39" s="85">
        <f>AQ$179*Population!AV$54</f>
        <v>30770.45951859956</v>
      </c>
      <c r="AR39" s="85">
        <f>AR$179*Population!AW$54</f>
        <v>30479.398725408701</v>
      </c>
      <c r="AS39" s="85">
        <f>AS$179*Population!AX$54</f>
        <v>31194.823465507874</v>
      </c>
      <c r="AT39" s="85">
        <f>AT$179*Population!AY$54</f>
        <v>30816.314333148865</v>
      </c>
      <c r="AU39" s="85">
        <f>AU$179*Population!AZ$54</f>
        <v>30425.17018284107</v>
      </c>
      <c r="AV39" s="85">
        <f>AV$179*Population!BA$54</f>
        <v>30098.872029773833</v>
      </c>
      <c r="AW39" s="85">
        <f>AW$179*Population!BB$54</f>
        <v>29336.476134354743</v>
      </c>
      <c r="AX39" s="85">
        <f>AX$179*Population!BC$54</f>
        <v>29279.777183600712</v>
      </c>
      <c r="AY39" s="85">
        <f>AY$179*Population!BD$54</f>
        <v>29278.296122209165</v>
      </c>
      <c r="AZ39" s="85">
        <f>AZ$179*Population!BE$54</f>
        <v>29653.258655804482</v>
      </c>
      <c r="BA39" s="85">
        <f>BA$179*Population!BF$54</f>
        <v>30131.108545034644</v>
      </c>
      <c r="BB39" s="85">
        <f>BB$179*Population!BG$54</f>
        <v>30557.707736389686</v>
      </c>
      <c r="BC39" s="85">
        <f>BC$179*Population!BH$54</f>
        <v>30915.94709897611</v>
      </c>
      <c r="BD39" s="85">
        <f>BD$179*Population!BI$54</f>
        <v>31196.722237920316</v>
      </c>
      <c r="BE39" s="85">
        <f>BE$179*Population!BJ$54</f>
        <v>31389.379039055915</v>
      </c>
      <c r="BF39" s="85">
        <f>BF$179*Population!BK$54</f>
        <v>31504.614093959732</v>
      </c>
      <c r="BG39" s="85">
        <f>BG$179*Population!BL$54</f>
        <v>31567.1643454039</v>
      </c>
    </row>
    <row r="40" spans="3:59" x14ac:dyDescent="0.2">
      <c r="C40" s="29">
        <v>45</v>
      </c>
      <c r="F40" s="85">
        <f>F$180*Population!K$55</f>
        <v>27179.116851907482</v>
      </c>
      <c r="G40" s="85">
        <f>G$180*Population!L$55</f>
        <v>28372.82608695652</v>
      </c>
      <c r="H40" s="85">
        <f>H$180*Population!M$55</f>
        <v>27842.981366459626</v>
      </c>
      <c r="I40" s="85">
        <f>I$180*Population!N$55</f>
        <v>27120.122511485453</v>
      </c>
      <c r="J40" s="85">
        <f>J$180*Population!O$55</f>
        <v>26303.736892278361</v>
      </c>
      <c r="K40" s="85">
        <f>K$180*Population!P$55</f>
        <v>25399.496522027162</v>
      </c>
      <c r="L40" s="85">
        <f>L$180*Population!Q$55</f>
        <v>24276.441973592773</v>
      </c>
      <c r="M40" s="85">
        <f>M$180*Population!R$55</f>
        <v>24421.802993386704</v>
      </c>
      <c r="N40" s="85">
        <f>N$180*Population!S$55</f>
        <v>24124.801126363956</v>
      </c>
      <c r="O40" s="85">
        <f>O$180*Population!T$55</f>
        <v>25012.275367270242</v>
      </c>
      <c r="P40" s="85">
        <f>P$180*Population!U$55</f>
        <v>25127.061238453643</v>
      </c>
      <c r="Q40" s="85">
        <f>Q$180*Population!V$55</f>
        <v>25409.331970006817</v>
      </c>
      <c r="R40" s="85">
        <f>R$180*Population!W$55</f>
        <v>26205.28980679547</v>
      </c>
      <c r="S40" s="85">
        <f>S$180*Population!X$55</f>
        <v>26785.884464751958</v>
      </c>
      <c r="T40" s="85">
        <f>T$180*Population!Y$55</f>
        <v>27325.066321578779</v>
      </c>
      <c r="U40" s="85">
        <f>U$180*Population!Z$55</f>
        <v>28224.337885042871</v>
      </c>
      <c r="V40" s="85">
        <f>V$180*Population!AA$55</f>
        <v>28609.66656181189</v>
      </c>
      <c r="W40" s="85">
        <f>W$180*Population!AB$55</f>
        <v>29509.28112572652</v>
      </c>
      <c r="X40" s="85">
        <f>X$180*Population!AC$55</f>
        <v>31200.57827102804</v>
      </c>
      <c r="Y40" s="85">
        <f>Y$180*Population!AD$55</f>
        <v>31889.206985399367</v>
      </c>
      <c r="Z40" s="85">
        <f>Z$180*Population!AE$55</f>
        <v>33583.776683087024</v>
      </c>
      <c r="AA40" s="85">
        <f>AA$180*Population!AF$55</f>
        <v>34788.677839851021</v>
      </c>
      <c r="AB40" s="85">
        <f>AB$180*Population!AG$55</f>
        <v>34286.883010635393</v>
      </c>
      <c r="AC40" s="85">
        <f>AC$180*Population!AH$55</f>
        <v>34144.690313778992</v>
      </c>
      <c r="AD40" s="85">
        <f>AD$180*Population!AI$55</f>
        <v>33206.69625520111</v>
      </c>
      <c r="AE40" s="85">
        <f>AE$180*Population!AJ$55</f>
        <v>32871.263858093131</v>
      </c>
      <c r="AF40" s="85">
        <f>AF$180*Population!AK$55</f>
        <v>32062.41554054054</v>
      </c>
      <c r="AG40" s="85">
        <f>AG$180*Population!AL$55</f>
        <v>31691.735955056181</v>
      </c>
      <c r="AH40" s="85">
        <f>AH$180*Population!AM$55</f>
        <v>30648.00853485064</v>
      </c>
      <c r="AI40" s="85">
        <f>AI$180*Population!AN$55</f>
        <v>29678.457042665108</v>
      </c>
      <c r="AJ40" s="85">
        <f>AJ$180*Population!AO$55</f>
        <v>30195.455580865604</v>
      </c>
      <c r="AK40" s="85">
        <f>AK$180*Population!AP$55</f>
        <v>29562.663591813201</v>
      </c>
      <c r="AL40" s="85">
        <f>AL$180*Population!AQ$55</f>
        <v>28412.987477638639</v>
      </c>
      <c r="AM40" s="85">
        <f>AM$180*Population!AR$55</f>
        <v>28127.974721637074</v>
      </c>
      <c r="AN40" s="85">
        <f>AN$180*Population!AS$55</f>
        <v>28526.321090047393</v>
      </c>
      <c r="AO40" s="85">
        <f>AO$180*Population!AT$55</f>
        <v>28429.642218246867</v>
      </c>
      <c r="AP40" s="85">
        <f>AP$180*Population!AU$55</f>
        <v>29006.485380116959</v>
      </c>
      <c r="AQ40" s="85">
        <f>AQ$180*Population!AV$55</f>
        <v>30062.937853107345</v>
      </c>
      <c r="AR40" s="85">
        <f>AR$180*Population!AW$55</f>
        <v>31068.008764721995</v>
      </c>
      <c r="AS40" s="85">
        <f>AS$180*Population!AX$55</f>
        <v>30777.996670366258</v>
      </c>
      <c r="AT40" s="85">
        <f>AT$180*Population!AY$55</f>
        <v>31496.101141924959</v>
      </c>
      <c r="AU40" s="85">
        <f>AU$180*Population!AZ$55</f>
        <v>31117.805486284287</v>
      </c>
      <c r="AV40" s="85">
        <f>AV$180*Population!BA$55</f>
        <v>30727.811267605633</v>
      </c>
      <c r="AW40" s="85">
        <f>AW$180*Population!BB$55</f>
        <v>30392.645457151048</v>
      </c>
      <c r="AX40" s="85">
        <f>AX$180*Population!BC$55</f>
        <v>29612.353982300887</v>
      </c>
      <c r="AY40" s="85">
        <f>AY$180*Population!BD$55</f>
        <v>29567.962522308149</v>
      </c>
      <c r="AZ40" s="85">
        <f>AZ$180*Population!BE$55</f>
        <v>29561.082352941175</v>
      </c>
      <c r="BA40" s="85">
        <f>BA$180*Population!BF$55</f>
        <v>29947.858391608392</v>
      </c>
      <c r="BB40" s="85">
        <f>BB$180*Population!BG$55</f>
        <v>30419.260115606936</v>
      </c>
      <c r="BC40" s="85">
        <f>BC$180*Population!BH$55</f>
        <v>30856.041308089501</v>
      </c>
      <c r="BD40" s="85">
        <f>BD$180*Population!BI$55</f>
        <v>31217.88724373576</v>
      </c>
      <c r="BE40" s="85">
        <f>BE$180*Population!BJ$55</f>
        <v>31507.751060820367</v>
      </c>
      <c r="BF40" s="85">
        <f>BF$180*Population!BK$55</f>
        <v>31692.278481012658</v>
      </c>
      <c r="BG40" s="85">
        <f>BG$180*Population!BL$55</f>
        <v>31817.872340425532</v>
      </c>
    </row>
    <row r="41" spans="3:59" x14ac:dyDescent="0.2">
      <c r="C41" s="29">
        <v>46</v>
      </c>
      <c r="F41" s="85">
        <f>F$181*Population!K$56</f>
        <v>27298.936617602882</v>
      </c>
      <c r="G41" s="85">
        <f>G$181*Population!L$56</f>
        <v>27398.225225225226</v>
      </c>
      <c r="H41" s="85">
        <f>H$181*Population!M$56</f>
        <v>28603.551293228709</v>
      </c>
      <c r="I41" s="85">
        <f>I$181*Population!N$56</f>
        <v>28049.101689890304</v>
      </c>
      <c r="J41" s="85">
        <f>J$181*Population!O$56</f>
        <v>27319.447174447174</v>
      </c>
      <c r="K41" s="85">
        <f>K$181*Population!P$56</f>
        <v>26460.618031220132</v>
      </c>
      <c r="L41" s="85">
        <f>L$181*Population!Q$56</f>
        <v>25530.474925273993</v>
      </c>
      <c r="M41" s="85">
        <f>M$181*Population!R$56</f>
        <v>24391.167247386758</v>
      </c>
      <c r="N41" s="85">
        <f>N$181*Population!S$56</f>
        <v>24537.521815008724</v>
      </c>
      <c r="O41" s="85">
        <f>O$181*Population!T$56</f>
        <v>24231.725476358504</v>
      </c>
      <c r="P41" s="85">
        <f>P$181*Population!U$56</f>
        <v>25119.945205479453</v>
      </c>
      <c r="Q41" s="85">
        <f>Q$181*Population!V$56</f>
        <v>25235.42866941015</v>
      </c>
      <c r="R41" s="85">
        <f>R$181*Population!W$56</f>
        <v>25527.375256322626</v>
      </c>
      <c r="S41" s="85">
        <f>S$181*Population!X$56</f>
        <v>26326.170283806347</v>
      </c>
      <c r="T41" s="85">
        <f>T$181*Population!Y$56</f>
        <v>26915.227347072294</v>
      </c>
      <c r="U41" s="85">
        <f>U$181*Population!Z$56</f>
        <v>27447.649156939042</v>
      </c>
      <c r="V41" s="85">
        <f>V$181*Population!AA$56</f>
        <v>28338.058561425842</v>
      </c>
      <c r="W41" s="85">
        <f>W$181*Population!AB$56</f>
        <v>28743.111601513243</v>
      </c>
      <c r="X41" s="85">
        <f>X$181*Population!AC$56</f>
        <v>29634.825260576334</v>
      </c>
      <c r="Y41" s="85">
        <f>Y$181*Population!AD$56</f>
        <v>31347.64637002342</v>
      </c>
      <c r="Z41" s="85">
        <f>Z$181*Population!AE$56</f>
        <v>32035.717154331614</v>
      </c>
      <c r="AA41" s="85">
        <f>AA$181*Population!AF$56</f>
        <v>33722.936660268715</v>
      </c>
      <c r="AB41" s="85">
        <f>AB$181*Population!AG$56</f>
        <v>34937.292110874201</v>
      </c>
      <c r="AC41" s="85">
        <f>AC$181*Population!AH$56</f>
        <v>34448.453551912564</v>
      </c>
      <c r="AD41" s="85">
        <f>AD$181*Population!AI$56</f>
        <v>34297.233460907599</v>
      </c>
      <c r="AE41" s="85">
        <f>AE$181*Population!AJ$56</f>
        <v>33354.466370205671</v>
      </c>
      <c r="AF41" s="85">
        <f>AF$181*Population!AK$56</f>
        <v>33008.858650374896</v>
      </c>
      <c r="AG41" s="85">
        <f>AG$181*Population!AL$56</f>
        <v>32206.849083215795</v>
      </c>
      <c r="AH41" s="85">
        <f>AH$181*Population!AM$56</f>
        <v>31833.934703067833</v>
      </c>
      <c r="AI41" s="85">
        <f>AI$181*Population!AN$56</f>
        <v>30786.927023945271</v>
      </c>
      <c r="AJ41" s="85">
        <f>AJ$181*Population!AO$56</f>
        <v>29807.810304449646</v>
      </c>
      <c r="AK41" s="85">
        <f>AK$181*Population!AP$56</f>
        <v>30332.188302425107</v>
      </c>
      <c r="AL41" s="85">
        <f>AL$181*Population!AQ$56</f>
        <v>29689.439792087785</v>
      </c>
      <c r="AM41" s="85">
        <f>AM$181*Population!AR$56</f>
        <v>28537.069892473115</v>
      </c>
      <c r="AN41" s="85">
        <f>AN$181*Population!AS$56</f>
        <v>28243.593608682546</v>
      </c>
      <c r="AO41" s="85">
        <f>AO$181*Population!AT$56</f>
        <v>28660.237388724036</v>
      </c>
      <c r="AP41" s="85">
        <f>AP$181*Population!AU$56</f>
        <v>28553.964744547357</v>
      </c>
      <c r="AQ41" s="85">
        <f>AQ$181*Population!AV$56</f>
        <v>29122.319859402462</v>
      </c>
      <c r="AR41" s="85">
        <f>AR$181*Population!AW$56</f>
        <v>30197.724313614493</v>
      </c>
      <c r="AS41" s="85">
        <f>AS$181*Population!AX$56</f>
        <v>31204.740740740741</v>
      </c>
      <c r="AT41" s="85">
        <f>AT$181*Population!AY$56</f>
        <v>30905.011117287384</v>
      </c>
      <c r="AU41" s="85">
        <f>AU$181*Population!AZ$56</f>
        <v>31650.811767910651</v>
      </c>
      <c r="AV41" s="85">
        <f>AV$181*Population!BA$56</f>
        <v>31264.945878434639</v>
      </c>
      <c r="AW41" s="85">
        <f>AW$181*Population!BB$56</f>
        <v>30865.146726862306</v>
      </c>
      <c r="AX41" s="85">
        <f>AX$181*Population!BC$56</f>
        <v>30522.552397358599</v>
      </c>
      <c r="AY41" s="85">
        <f>AY$181*Population!BD$56</f>
        <v>29751.063829787232</v>
      </c>
      <c r="AZ41" s="85">
        <f>AZ$181*Population!BE$56</f>
        <v>29697.056019070322</v>
      </c>
      <c r="BA41" s="85">
        <f>BA$181*Population!BF$56</f>
        <v>29690.332842415319</v>
      </c>
      <c r="BB41" s="85">
        <f>BB$181*Population!BG$56</f>
        <v>30077.595564633793</v>
      </c>
      <c r="BC41" s="85">
        <f>BC$181*Population!BH$56</f>
        <v>30558.891140706426</v>
      </c>
      <c r="BD41" s="85">
        <f>BD$181*Population!BI$56</f>
        <v>30987.759264579141</v>
      </c>
      <c r="BE41" s="85">
        <f>BE$181*Population!BJ$56</f>
        <v>31359.127210496295</v>
      </c>
      <c r="BF41" s="85">
        <f>BF$181*Population!BK$56</f>
        <v>31649.402096911304</v>
      </c>
      <c r="BG41" s="85">
        <f>BG$181*Population!BL$56</f>
        <v>31844.699915469148</v>
      </c>
    </row>
    <row r="42" spans="3:59" x14ac:dyDescent="0.2">
      <c r="C42" s="29">
        <v>47</v>
      </c>
      <c r="F42" s="85">
        <f>F$182*Population!K$57</f>
        <v>26942.201834862386</v>
      </c>
      <c r="G42" s="85">
        <f>G$182*Population!L$57</f>
        <v>27541.340950090198</v>
      </c>
      <c r="H42" s="85">
        <f>H$182*Population!M$57</f>
        <v>27620.753238927387</v>
      </c>
      <c r="I42" s="85">
        <f>I$182*Population!N$57</f>
        <v>28811.276967930029</v>
      </c>
      <c r="J42" s="85">
        <f>J$182*Population!O$57</f>
        <v>28230.121951219513</v>
      </c>
      <c r="K42" s="85">
        <f>K$182*Population!P$57</f>
        <v>27466.642020948861</v>
      </c>
      <c r="L42" s="85">
        <f>L$182*Population!Q$57</f>
        <v>26600.191754554169</v>
      </c>
      <c r="M42" s="85">
        <f>M$182*Population!R$57</f>
        <v>25635.644785071643</v>
      </c>
      <c r="N42" s="85">
        <f>N$182*Population!S$57</f>
        <v>24486.060817895839</v>
      </c>
      <c r="O42" s="85">
        <f>O$182*Population!T$57</f>
        <v>24633.333333333336</v>
      </c>
      <c r="P42" s="85">
        <f>P$182*Population!U$57</f>
        <v>24316.938053097347</v>
      </c>
      <c r="Q42" s="85">
        <f>Q$182*Population!V$57</f>
        <v>25216.207488835451</v>
      </c>
      <c r="R42" s="85">
        <f>R$182*Population!W$57</f>
        <v>25321.950464396286</v>
      </c>
      <c r="S42" s="85">
        <f>S$182*Population!X$57</f>
        <v>25614.816592389441</v>
      </c>
      <c r="T42" s="85">
        <f>T$182*Population!Y$57</f>
        <v>26414.46751507033</v>
      </c>
      <c r="U42" s="85">
        <f>U$182*Population!Z$57</f>
        <v>27003.677821522309</v>
      </c>
      <c r="V42" s="85">
        <f>V$182*Population!AA$57</f>
        <v>27537.375609756098</v>
      </c>
      <c r="W42" s="85">
        <f>W$182*Population!AB$57</f>
        <v>28429.409511650178</v>
      </c>
      <c r="X42" s="85">
        <f>X$182*Population!AC$57</f>
        <v>28834.9889345558</v>
      </c>
      <c r="Y42" s="85">
        <f>Y$182*Population!AD$57</f>
        <v>29727.021211189669</v>
      </c>
      <c r="Z42" s="85">
        <f>Z$182*Population!AE$57</f>
        <v>31441.0331670091</v>
      </c>
      <c r="AA42" s="85">
        <f>AA$182*Population!AF$57</f>
        <v>32140.322116767329</v>
      </c>
      <c r="AB42" s="85">
        <f>AB$182*Population!AG$57</f>
        <v>33828.339747113801</v>
      </c>
      <c r="AC42" s="85">
        <f>AC$182*Population!AH$57</f>
        <v>35035.271172856003</v>
      </c>
      <c r="AD42" s="85">
        <f>AD$182*Population!AI$57</f>
        <v>34536.609148178584</v>
      </c>
      <c r="AE42" s="85">
        <f>AE$182*Population!AJ$57</f>
        <v>34404.494382022473</v>
      </c>
      <c r="AF42" s="85">
        <f>AF$182*Population!AK$57</f>
        <v>33449.030370576758</v>
      </c>
      <c r="AG42" s="85">
        <f>AG$182*Population!AL$57</f>
        <v>33110.367483296213</v>
      </c>
      <c r="AH42" s="85">
        <f>AH$182*Population!AM$57</f>
        <v>32298.823529411766</v>
      </c>
      <c r="AI42" s="85">
        <f>AI$182*Population!AN$57</f>
        <v>31923.55430183357</v>
      </c>
      <c r="AJ42" s="85">
        <f>AJ$182*Population!AO$57</f>
        <v>30865.788571428569</v>
      </c>
      <c r="AK42" s="85">
        <f>AK$182*Population!AP$57</f>
        <v>29903.2022307015</v>
      </c>
      <c r="AL42" s="85">
        <f>AL$182*Population!AQ$57</f>
        <v>30417.866742922502</v>
      </c>
      <c r="AM42" s="85">
        <f>AM$182*Population!AR$57</f>
        <v>29774.083936324168</v>
      </c>
      <c r="AN42" s="85">
        <f>AN$182*Population!AS$57</f>
        <v>28621.077844311378</v>
      </c>
      <c r="AO42" s="85">
        <f>AO$182*Population!AT$57</f>
        <v>28327.491689332124</v>
      </c>
      <c r="AP42" s="85">
        <f>AP$182*Population!AU$57</f>
        <v>28733.807257584769</v>
      </c>
      <c r="AQ42" s="85">
        <f>AQ$182*Population!AV$57</f>
        <v>28646.451033243487</v>
      </c>
      <c r="AR42" s="85">
        <f>AR$182*Population!AW$57</f>
        <v>29214.79154433353</v>
      </c>
      <c r="AS42" s="85">
        <f>AS$182*Population!AX$57</f>
        <v>30290.399999999998</v>
      </c>
      <c r="AT42" s="85">
        <f>AT$182*Population!AY$57</f>
        <v>31297.580423425901</v>
      </c>
      <c r="AU42" s="85">
        <f>AU$182*Population!AZ$57</f>
        <v>31008.512534818943</v>
      </c>
      <c r="AV42" s="85">
        <f>AV$182*Population!BA$57</f>
        <v>31727.363537117904</v>
      </c>
      <c r="AW42" s="85">
        <f>AW$182*Population!BB$57</f>
        <v>31342.157953281421</v>
      </c>
      <c r="AX42" s="85">
        <f>AX$182*Population!BC$57</f>
        <v>30961.566299123551</v>
      </c>
      <c r="AY42" s="85">
        <f>AY$182*Population!BD$57</f>
        <v>30618</v>
      </c>
      <c r="AZ42" s="85">
        <f>AZ$182*Population!BE$57</f>
        <v>29846.883886255924</v>
      </c>
      <c r="BA42" s="85">
        <f>BA$182*Population!BF$57</f>
        <v>29784.705882352941</v>
      </c>
      <c r="BB42" s="85">
        <f>BB$182*Population!BG$57</f>
        <v>29785.562444641277</v>
      </c>
      <c r="BC42" s="85">
        <f>BC$182*Population!BH$57</f>
        <v>30173.22023983621</v>
      </c>
      <c r="BD42" s="85">
        <f>BD$182*Population!BI$57</f>
        <v>30655.412071967497</v>
      </c>
      <c r="BE42" s="85">
        <f>BE$182*Population!BJ$57</f>
        <v>31095.646415202995</v>
      </c>
      <c r="BF42" s="85">
        <f>BF$182*Population!BK$57</f>
        <v>31447.887967990857</v>
      </c>
      <c r="BG42" s="85">
        <f>BG$182*Population!BL$57</f>
        <v>31749.179443498015</v>
      </c>
    </row>
    <row r="43" spans="3:59" x14ac:dyDescent="0.2">
      <c r="C43" s="29">
        <v>48</v>
      </c>
      <c r="F43" s="85">
        <f>F$183*Population!K$58</f>
        <v>26803.423980222498</v>
      </c>
      <c r="G43" s="85">
        <f>G$183*Population!L$58</f>
        <v>27141.500765696786</v>
      </c>
      <c r="H43" s="85">
        <f>H$183*Population!M$58</f>
        <v>27706.203983101994</v>
      </c>
      <c r="I43" s="85">
        <f>I$183*Population!N$58</f>
        <v>27759.561536135472</v>
      </c>
      <c r="J43" s="85">
        <f>J$183*Population!O$58</f>
        <v>28942.937390286719</v>
      </c>
      <c r="K43" s="85">
        <f>K$183*Population!P$58</f>
        <v>28345.050746268658</v>
      </c>
      <c r="L43" s="85">
        <f>L$183*Population!Q$58</f>
        <v>27547.122102009274</v>
      </c>
      <c r="M43" s="85">
        <f>M$183*Population!R$58</f>
        <v>26664.470814624758</v>
      </c>
      <c r="N43" s="85">
        <f>N$183*Population!S$58</f>
        <v>25689.896355733868</v>
      </c>
      <c r="O43" s="85">
        <f>O$183*Population!T$58</f>
        <v>24540.719298245614</v>
      </c>
      <c r="P43" s="85">
        <f>P$183*Population!U$58</f>
        <v>24697.121265377857</v>
      </c>
      <c r="Q43" s="85">
        <f>Q$183*Population!V$58</f>
        <v>24380.497512437811</v>
      </c>
      <c r="R43" s="85">
        <f>R$183*Population!W$58</f>
        <v>25269.975862068964</v>
      </c>
      <c r="S43" s="85">
        <f>S$183*Population!X$58</f>
        <v>25377.921988263723</v>
      </c>
      <c r="T43" s="85">
        <f>T$183*Population!Y$58</f>
        <v>25671.544547643618</v>
      </c>
      <c r="U43" s="85">
        <f>U$183*Population!Z$58</f>
        <v>26461.290322580648</v>
      </c>
      <c r="V43" s="85">
        <f>V$183*Population!AA$58</f>
        <v>27061.224489795921</v>
      </c>
      <c r="W43" s="85">
        <f>W$183*Population!AB$58</f>
        <v>27593.641109298533</v>
      </c>
      <c r="X43" s="85">
        <f>X$183*Population!AC$58</f>
        <v>28489.324367595262</v>
      </c>
      <c r="Y43" s="85">
        <f>Y$183*Population!AD$58</f>
        <v>28884.433872502381</v>
      </c>
      <c r="Z43" s="85">
        <f>Z$183*Population!AE$58</f>
        <v>29787.619488128275</v>
      </c>
      <c r="AA43" s="85">
        <f>AA$183*Population!AF$58</f>
        <v>31502.596408595819</v>
      </c>
      <c r="AB43" s="85">
        <f>AB$183*Population!AG$58</f>
        <v>32202.047880011538</v>
      </c>
      <c r="AC43" s="85">
        <f>AC$183*Population!AH$58</f>
        <v>33890.656008820282</v>
      </c>
      <c r="AD43" s="85">
        <f>AD$183*Population!AI$58</f>
        <v>35109.456201446555</v>
      </c>
      <c r="AE43" s="85">
        <f>AE$183*Population!AJ$58</f>
        <v>34612.007690195001</v>
      </c>
      <c r="AF43" s="85">
        <f>AF$183*Population!AK$58</f>
        <v>34458.75</v>
      </c>
      <c r="AG43" s="85">
        <f>AG$183*Population!AL$58</f>
        <v>33522.676725342273</v>
      </c>
      <c r="AH43" s="85">
        <f>AH$183*Population!AM$58</f>
        <v>33182.735901730877</v>
      </c>
      <c r="AI43" s="85">
        <f>AI$183*Population!AN$58</f>
        <v>32358.480294868161</v>
      </c>
      <c r="AJ43" s="85">
        <f>AJ$183*Population!AO$58</f>
        <v>31993.275813295615</v>
      </c>
      <c r="AK43" s="85">
        <f>AK$183*Population!AP$58</f>
        <v>30931.080229226362</v>
      </c>
      <c r="AL43" s="85">
        <f>AL$183*Population!AQ$58</f>
        <v>29959.193643319599</v>
      </c>
      <c r="AM43" s="85">
        <f>AM$183*Population!AR$58</f>
        <v>30473.059059633029</v>
      </c>
      <c r="AN43" s="85">
        <f>AN$183*Population!AS$58</f>
        <v>29828.450377248984</v>
      </c>
      <c r="AO43" s="85">
        <f>AO$183*Population!AT$58</f>
        <v>28674.944461122788</v>
      </c>
      <c r="AP43" s="85">
        <f>AP$183*Population!AU$58</f>
        <v>28389.696969696968</v>
      </c>
      <c r="AQ43" s="85">
        <f>AQ$183*Population!AV$58</f>
        <v>28787.450044736059</v>
      </c>
      <c r="AR43" s="85">
        <f>AR$183*Population!AW$58</f>
        <v>28700.40840840841</v>
      </c>
      <c r="AS43" s="85">
        <f>AS$183*Population!AX$58</f>
        <v>29268.731233441275</v>
      </c>
      <c r="AT43" s="85">
        <f>AT$183*Population!AY$58</f>
        <v>30344.493742889648</v>
      </c>
      <c r="AU43" s="85">
        <f>AU$183*Population!AZ$58</f>
        <v>31362.056229327452</v>
      </c>
      <c r="AV43" s="85">
        <f>AV$183*Population!BA$58</f>
        <v>31063.052220050264</v>
      </c>
      <c r="AW43" s="85">
        <f>AW$183*Population!BB$58</f>
        <v>31800.889192886458</v>
      </c>
      <c r="AX43" s="85">
        <f>AX$183*Population!BC$58</f>
        <v>31416.331195985505</v>
      </c>
      <c r="AY43" s="85">
        <f>AY$183*Population!BD$58</f>
        <v>31017.301587301587</v>
      </c>
      <c r="AZ43" s="85">
        <f>AZ$183*Population!BE$58</f>
        <v>30682.746682054239</v>
      </c>
      <c r="BA43" s="85">
        <f>BA$183*Population!BF$58</f>
        <v>29911.939411939413</v>
      </c>
      <c r="BB43" s="85">
        <f>BB$183*Population!BG$58</f>
        <v>29850.305389221554</v>
      </c>
      <c r="BC43" s="85">
        <f>BC$183*Population!BH$58</f>
        <v>29841.308079313407</v>
      </c>
      <c r="BD43" s="85">
        <f>BD$183*Population!BI$58</f>
        <v>30239.771328056289</v>
      </c>
      <c r="BE43" s="85">
        <f>BE$183*Population!BJ$58</f>
        <v>30712.088423502035</v>
      </c>
      <c r="BF43" s="85">
        <f>BF$183*Population!BK$58</f>
        <v>31152.848484848484</v>
      </c>
      <c r="BG43" s="85">
        <f>BG$183*Population!BL$58</f>
        <v>31516.13004869665</v>
      </c>
    </row>
    <row r="44" spans="3:59" x14ac:dyDescent="0.2">
      <c r="C44" s="29">
        <v>49</v>
      </c>
      <c r="F44" s="85">
        <f>F$184*Population!K$59</f>
        <v>26431.67244094488</v>
      </c>
      <c r="G44" s="85">
        <f>G$184*Population!L$59</f>
        <v>26996.699690402478</v>
      </c>
      <c r="H44" s="85">
        <f>H$184*Population!M$59</f>
        <v>27306.91266912669</v>
      </c>
      <c r="I44" s="85">
        <f>I$184*Population!N$59</f>
        <v>27864.071493486823</v>
      </c>
      <c r="J44" s="85">
        <f>J$184*Population!O$59</f>
        <v>27882.682852807284</v>
      </c>
      <c r="K44" s="85">
        <f>K$184*Population!P$59</f>
        <v>29052.260716382851</v>
      </c>
      <c r="L44" s="85">
        <f>L$184*Population!Q$59</f>
        <v>28435.650089874176</v>
      </c>
      <c r="M44" s="85">
        <f>M$184*Population!R$59</f>
        <v>27630.148929568724</v>
      </c>
      <c r="N44" s="85">
        <f>N$184*Population!S$59</f>
        <v>26737.733419188666</v>
      </c>
      <c r="O44" s="85">
        <f>O$184*Population!T$59</f>
        <v>25763.679086941927</v>
      </c>
      <c r="P44" s="85">
        <f>P$184*Population!U$59</f>
        <v>24604.15639309616</v>
      </c>
      <c r="Q44" s="85">
        <f>Q$184*Population!V$59</f>
        <v>24742.572335920959</v>
      </c>
      <c r="R44" s="85">
        <f>R$184*Population!W$59</f>
        <v>24435.802425106991</v>
      </c>
      <c r="S44" s="85">
        <f>S$184*Population!X$59</f>
        <v>25334.579439252335</v>
      </c>
      <c r="T44" s="85">
        <f>T$184*Population!Y$59</f>
        <v>25432.584892584891</v>
      </c>
      <c r="U44" s="85">
        <f>U$184*Population!Z$59</f>
        <v>25726.961325966851</v>
      </c>
      <c r="V44" s="85">
        <f>V$184*Population!AA$59</f>
        <v>26527.993254637437</v>
      </c>
      <c r="W44" s="85">
        <f>W$184*Population!AB$59</f>
        <v>27117.443012884043</v>
      </c>
      <c r="X44" s="85">
        <f>X$184*Population!AC$59</f>
        <v>27653.222003929273</v>
      </c>
      <c r="Y44" s="85">
        <f>Y$184*Population!AD$59</f>
        <v>28547.882390745501</v>
      </c>
      <c r="Z44" s="85">
        <f>Z$184*Population!AE$59</f>
        <v>28945.116131084953</v>
      </c>
      <c r="AA44" s="85">
        <f>AA$184*Population!AF$59</f>
        <v>29857.797029702971</v>
      </c>
      <c r="AB44" s="85">
        <f>AB$184*Population!AG$59</f>
        <v>31556.058458813106</v>
      </c>
      <c r="AC44" s="85">
        <f>AC$184*Population!AH$59</f>
        <v>32265</v>
      </c>
      <c r="AD44" s="85">
        <f>AD$184*Population!AI$59</f>
        <v>33973.804257672105</v>
      </c>
      <c r="AE44" s="85">
        <f>AE$184*Population!AJ$59</f>
        <v>35182.238044062331</v>
      </c>
      <c r="AF44" s="85">
        <f>AF$184*Population!AK$59</f>
        <v>34676.452767832554</v>
      </c>
      <c r="AG44" s="85">
        <f>AG$184*Population!AL$59</f>
        <v>34532.267842380825</v>
      </c>
      <c r="AH44" s="85">
        <f>AH$184*Population!AM$59</f>
        <v>33574.3933875035</v>
      </c>
      <c r="AI44" s="85">
        <f>AI$184*Population!AN$59</f>
        <v>33233.415453527436</v>
      </c>
      <c r="AJ44" s="85">
        <f>AJ$184*Population!AO$59</f>
        <v>32428.412969283276</v>
      </c>
      <c r="AK44" s="85">
        <f>AK$184*Population!AP$59</f>
        <v>32050.255319148935</v>
      </c>
      <c r="AL44" s="85">
        <f>AL$184*Population!AQ$59</f>
        <v>30996.724137931036</v>
      </c>
      <c r="AM44" s="85">
        <f>AM$184*Population!AR$59</f>
        <v>30013.83116883117</v>
      </c>
      <c r="AN44" s="85">
        <f>AN$184*Population!AS$59</f>
        <v>30537.291546866014</v>
      </c>
      <c r="AO44" s="85">
        <f>AO$184*Population!AT$59</f>
        <v>29891.775320139695</v>
      </c>
      <c r="AP44" s="85">
        <f>AP$184*Population!AU$59</f>
        <v>28735.940981632037</v>
      </c>
      <c r="AQ44" s="85">
        <f>AQ$184*Population!AV$59</f>
        <v>28442.188449848021</v>
      </c>
      <c r="AR44" s="85">
        <f>AR$184*Population!AW$59</f>
        <v>28858.435536942863</v>
      </c>
      <c r="AS44" s="85">
        <f>AS$184*Population!AX$59</f>
        <v>28752.839506172841</v>
      </c>
      <c r="AT44" s="85">
        <f>AT$184*Population!AY$59</f>
        <v>29312.691853600943</v>
      </c>
      <c r="AU44" s="85">
        <f>AU$184*Population!AZ$59</f>
        <v>30398.84231536926</v>
      </c>
      <c r="AV44" s="85">
        <f>AV$184*Population!BA$59</f>
        <v>31424.984802431609</v>
      </c>
      <c r="AW44" s="85">
        <f>AW$184*Population!BB$59</f>
        <v>31126.293393057113</v>
      </c>
      <c r="AX44" s="85">
        <f>AX$184*Population!BC$59</f>
        <v>31864.691358024691</v>
      </c>
      <c r="AY44" s="85">
        <f>AY$184*Population!BD$59</f>
        <v>31480.779983226166</v>
      </c>
      <c r="AZ44" s="85">
        <f>AZ$184*Population!BE$59</f>
        <v>31090.5827174531</v>
      </c>
      <c r="BA44" s="85">
        <f>BA$184*Population!BF$59</f>
        <v>30747.813132774081</v>
      </c>
      <c r="BB44" s="85">
        <f>BB$184*Population!BG$59</f>
        <v>29977.325789160215</v>
      </c>
      <c r="BC44" s="85">
        <f>BC$184*Population!BH$59</f>
        <v>29916.241368958272</v>
      </c>
      <c r="BD44" s="85">
        <f>BD$184*Population!BI$59</f>
        <v>29906.59839715049</v>
      </c>
      <c r="BE44" s="85">
        <f>BE$184*Population!BJ$59</f>
        <v>30294.426807760141</v>
      </c>
      <c r="BF44" s="85">
        <f>BF$184*Population!BK$59</f>
        <v>30777.98483522893</v>
      </c>
      <c r="BG44" s="85">
        <f>BG$184*Population!BL$59</f>
        <v>31210.879629629631</v>
      </c>
    </row>
    <row r="45" spans="3:59" x14ac:dyDescent="0.2">
      <c r="C45" s="29">
        <v>50</v>
      </c>
      <c r="F45" s="85">
        <f>F$185*Population!K$60</f>
        <v>26633.296772171732</v>
      </c>
      <c r="G45" s="85">
        <f>G$185*Population!L$60</f>
        <v>26548.513726727673</v>
      </c>
      <c r="H45" s="85">
        <f>H$185*Population!M$60</f>
        <v>27112.465029530616</v>
      </c>
      <c r="I45" s="85">
        <f>I$185*Population!N$60</f>
        <v>27406.409385612842</v>
      </c>
      <c r="J45" s="85">
        <f>J$185*Population!O$60</f>
        <v>27947.326642335767</v>
      </c>
      <c r="K45" s="85">
        <f>K$185*Population!P$60</f>
        <v>27967.952468007312</v>
      </c>
      <c r="L45" s="85">
        <f>L$185*Population!Q$60</f>
        <v>29111.355732390217</v>
      </c>
      <c r="M45" s="85">
        <f>M$185*Population!R$60</f>
        <v>28477.792481203007</v>
      </c>
      <c r="N45" s="85">
        <f>N$185*Population!S$60</f>
        <v>27672.897196261682</v>
      </c>
      <c r="O45" s="85">
        <f>O$185*Population!T$60</f>
        <v>26770.349062702004</v>
      </c>
      <c r="P45" s="85">
        <f>P$185*Population!U$60</f>
        <v>25796.670037074484</v>
      </c>
      <c r="Q45" s="85">
        <f>Q$185*Population!V$60</f>
        <v>24628.599717114572</v>
      </c>
      <c r="R45" s="85">
        <f>R$185*Population!W$60</f>
        <v>24775.982996811905</v>
      </c>
      <c r="S45" s="85">
        <f>S$185*Population!X$60</f>
        <v>24467.435530085961</v>
      </c>
      <c r="T45" s="85">
        <f>T$185*Population!Y$60</f>
        <v>25359.861014593469</v>
      </c>
      <c r="U45" s="85">
        <f>U$185*Population!Z$60</f>
        <v>25466.671304347827</v>
      </c>
      <c r="V45" s="85">
        <f>V$185*Population!AA$60</f>
        <v>25761.649913344889</v>
      </c>
      <c r="W45" s="85">
        <f>W$185*Population!AB$60</f>
        <v>26563.219363574812</v>
      </c>
      <c r="X45" s="85">
        <f>X$185*Population!AC$60</f>
        <v>27152.758620689656</v>
      </c>
      <c r="Y45" s="85">
        <f>Y$185*Population!AD$60</f>
        <v>27678.593493263226</v>
      </c>
      <c r="Z45" s="85">
        <f>Z$185*Population!AE$60</f>
        <v>28585.04353434376</v>
      </c>
      <c r="AA45" s="85">
        <f>AA$185*Population!AF$60</f>
        <v>28982.57982120051</v>
      </c>
      <c r="AB45" s="85">
        <f>AB$185*Population!AG$60</f>
        <v>29895.498292455759</v>
      </c>
      <c r="AC45" s="85">
        <f>AC$185*Population!AH$60</f>
        <v>31603.792592592596</v>
      </c>
      <c r="AD45" s="85">
        <f>AD$185*Population!AI$60</f>
        <v>32303.529753265604</v>
      </c>
      <c r="AE45" s="85">
        <f>AE$185*Population!AJ$60</f>
        <v>34004.351081530782</v>
      </c>
      <c r="AF45" s="85">
        <f>AF$185*Population!AK$60</f>
        <v>35224.521692266237</v>
      </c>
      <c r="AG45" s="85">
        <f>AG$185*Population!AL$60</f>
        <v>34716.820441988952</v>
      </c>
      <c r="AH45" s="85">
        <f>AH$185*Population!AM$60</f>
        <v>34572.332780541736</v>
      </c>
      <c r="AI45" s="85">
        <f>AI$185*Population!AN$60</f>
        <v>33633.153456998312</v>
      </c>
      <c r="AJ45" s="85">
        <f>AJ$185*Population!AO$60</f>
        <v>33282.687447346252</v>
      </c>
      <c r="AK45" s="85">
        <f>AK$185*Population!AP$60</f>
        <v>32456.679977181975</v>
      </c>
      <c r="AL45" s="85">
        <f>AL$185*Population!AQ$60</f>
        <v>32097.438816163914</v>
      </c>
      <c r="AM45" s="85">
        <f>AM$185*Population!AR$60</f>
        <v>31031.037463976943</v>
      </c>
      <c r="AN45" s="85">
        <f>AN$185*Population!AS$60</f>
        <v>30047.779751332149</v>
      </c>
      <c r="AO45" s="85">
        <f>AO$185*Population!AT$60</f>
        <v>30579.451975771561</v>
      </c>
      <c r="AP45" s="85">
        <f>AP$185*Population!AU$60</f>
        <v>29941.708029197081</v>
      </c>
      <c r="AQ45" s="85">
        <f>AQ$185*Population!AV$60</f>
        <v>28768.311688311689</v>
      </c>
      <c r="AR45" s="85">
        <f>AR$185*Population!AW$60</f>
        <v>28482.969512195123</v>
      </c>
      <c r="AS45" s="85">
        <f>AS$185*Population!AX$60</f>
        <v>28890.648064806483</v>
      </c>
      <c r="AT45" s="85">
        <f>AT$185*Population!AY$60</f>
        <v>28785.249169435217</v>
      </c>
      <c r="AU45" s="85">
        <f>AU$185*Population!AZ$60</f>
        <v>29363.786264061575</v>
      </c>
      <c r="AV45" s="85">
        <f>AV$185*Population!BA$60</f>
        <v>30450.07148984844</v>
      </c>
      <c r="AW45" s="85">
        <f>AW$185*Population!BB$60</f>
        <v>31457.578276530894</v>
      </c>
      <c r="AX45" s="85">
        <f>AX$185*Population!BC$60</f>
        <v>31169.455362156092</v>
      </c>
      <c r="AY45" s="85">
        <f>AY$185*Population!BD$60</f>
        <v>31916.566712517193</v>
      </c>
      <c r="AZ45" s="85">
        <f>AZ$185*Population!BE$60</f>
        <v>31524.338565022419</v>
      </c>
      <c r="BA45" s="85">
        <f>BA$185*Population!BF$60</f>
        <v>31134.431461954973</v>
      </c>
      <c r="BB45" s="85">
        <f>BB$185*Population!BG$60</f>
        <v>30783.642691415313</v>
      </c>
      <c r="BC45" s="85">
        <f>BC$185*Population!BH$60</f>
        <v>30021.881158554792</v>
      </c>
      <c r="BD45" s="85">
        <f>BD$185*Population!BI$60</f>
        <v>29961.222155328116</v>
      </c>
      <c r="BE45" s="85">
        <f>BE$185*Population!BJ$60</f>
        <v>29950.761904761905</v>
      </c>
      <c r="BF45" s="85">
        <f>BF$185*Population!BK$60</f>
        <v>30347.756485849055</v>
      </c>
      <c r="BG45" s="85">
        <f>BG$185*Population!BL$60</f>
        <v>30822.923976608188</v>
      </c>
    </row>
    <row r="46" spans="3:59" x14ac:dyDescent="0.2">
      <c r="C46" s="29">
        <v>51</v>
      </c>
      <c r="F46" s="85">
        <f>F$186*Population!K$61</f>
        <v>27650</v>
      </c>
      <c r="G46" s="85">
        <f>G$186*Population!L$61</f>
        <v>26755.438265786994</v>
      </c>
      <c r="H46" s="85">
        <f>H$186*Population!M$61</f>
        <v>26656.25356576862</v>
      </c>
      <c r="I46" s="85">
        <f>I$186*Population!N$61</f>
        <v>27203.960674157304</v>
      </c>
      <c r="J46" s="85">
        <f>J$186*Population!O$61</f>
        <v>27481.487910725358</v>
      </c>
      <c r="K46" s="85">
        <f>K$186*Population!P$61</f>
        <v>28014.424427480917</v>
      </c>
      <c r="L46" s="85">
        <f>L$186*Population!Q$61</f>
        <v>28018.449066992962</v>
      </c>
      <c r="M46" s="85">
        <f>M$186*Population!R$61</f>
        <v>29154.082840236686</v>
      </c>
      <c r="N46" s="85">
        <f>N$186*Population!S$61</f>
        <v>28521.907636583161</v>
      </c>
      <c r="O46" s="85">
        <f>O$186*Population!T$61</f>
        <v>27715.809881175734</v>
      </c>
      <c r="P46" s="85">
        <f>P$186*Population!U$61</f>
        <v>26813.60155743024</v>
      </c>
      <c r="Q46" s="85">
        <f>Q$186*Population!V$61</f>
        <v>25848.808798646362</v>
      </c>
      <c r="R46" s="85">
        <f>R$186*Population!W$61</f>
        <v>24680.891335227276</v>
      </c>
      <c r="S46" s="85">
        <f>S$186*Population!X$61</f>
        <v>24820.16358463727</v>
      </c>
      <c r="T46" s="85">
        <f>T$186*Population!Y$61</f>
        <v>24511.474289823804</v>
      </c>
      <c r="U46" s="85">
        <f>U$186*Population!Z$61</f>
        <v>25404.349494244856</v>
      </c>
      <c r="V46" s="85">
        <f>V$186*Population!AA$61</f>
        <v>25511.609636871508</v>
      </c>
      <c r="W46" s="85">
        <f>W$186*Population!AB$61</f>
        <v>25807.272094641612</v>
      </c>
      <c r="X46" s="85">
        <f>X$186*Population!AC$61</f>
        <v>26609.446143391098</v>
      </c>
      <c r="Y46" s="85">
        <f>Y$186*Population!AD$61</f>
        <v>27209.757071547421</v>
      </c>
      <c r="Z46" s="85">
        <f>Z$186*Population!AE$61</f>
        <v>27736.612796833771</v>
      </c>
      <c r="AA46" s="85">
        <f>AA$186*Population!AF$61</f>
        <v>28655.320388349515</v>
      </c>
      <c r="AB46" s="85">
        <f>AB$186*Population!AG$61</f>
        <v>29042.306952899711</v>
      </c>
      <c r="AC46" s="85">
        <f>AC$186*Population!AH$61</f>
        <v>29955.514018691589</v>
      </c>
      <c r="AD46" s="85">
        <f>AD$186*Population!AI$61</f>
        <v>31666.377414561663</v>
      </c>
      <c r="AE46" s="85">
        <f>AE$186*Population!AJ$61</f>
        <v>32375.684333139197</v>
      </c>
      <c r="AF46" s="85">
        <f>AF$186*Population!AK$61</f>
        <v>34088.294853963838</v>
      </c>
      <c r="AG46" s="85">
        <f>AG$186*Population!AL$61</f>
        <v>35309.286486486482</v>
      </c>
      <c r="AH46" s="85">
        <f>AH$186*Population!AM$61</f>
        <v>34802.909393183712</v>
      </c>
      <c r="AI46" s="85">
        <f>AI$186*Population!AN$61</f>
        <v>34657.942888827281</v>
      </c>
      <c r="AJ46" s="85">
        <f>AJ$186*Population!AO$61</f>
        <v>33717.372427403439</v>
      </c>
      <c r="AK46" s="85">
        <f>AK$186*Population!AP$61</f>
        <v>33364.570543508875</v>
      </c>
      <c r="AL46" s="85">
        <f>AL$186*Population!AQ$61</f>
        <v>32546.781115879829</v>
      </c>
      <c r="AM46" s="85">
        <f>AM$186*Population!AR$61</f>
        <v>32176.678082191778</v>
      </c>
      <c r="AN46" s="85">
        <f>AN$186*Population!AS$61</f>
        <v>31107.919075144506</v>
      </c>
      <c r="AO46" s="85">
        <f>AO$186*Population!AT$61</f>
        <v>30124.079572446557</v>
      </c>
      <c r="AP46" s="85">
        <f>AP$186*Population!AU$61</f>
        <v>30654.804743997687</v>
      </c>
      <c r="AQ46" s="85">
        <f>AQ$186*Population!AV$61</f>
        <v>30007.298009367682</v>
      </c>
      <c r="AR46" s="85">
        <f>AR$186*Population!AW$61</f>
        <v>28850.542259921236</v>
      </c>
      <c r="AS46" s="85">
        <f>AS$186*Population!AX$61</f>
        <v>28556.636085626909</v>
      </c>
      <c r="AT46" s="85">
        <f>AT$186*Population!AY$61</f>
        <v>28963.898916967508</v>
      </c>
      <c r="AU46" s="85">
        <f>AU$186*Population!AZ$61</f>
        <v>28867.543168736745</v>
      </c>
      <c r="AV46" s="85">
        <f>AV$186*Population!BA$61</f>
        <v>29446.057007125892</v>
      </c>
      <c r="AW46" s="85">
        <f>AW$186*Population!BB$61</f>
        <v>30532.515055921998</v>
      </c>
      <c r="AX46" s="85">
        <f>AX$186*Population!BC$61</f>
        <v>31550.45290358433</v>
      </c>
      <c r="AY46" s="85">
        <f>AY$186*Population!BD$61</f>
        <v>31253.982549957782</v>
      </c>
      <c r="AZ46" s="85">
        <f>AZ$186*Population!BE$61</f>
        <v>32001.461665747382</v>
      </c>
      <c r="BA46" s="85">
        <f>BA$186*Population!BF$61</f>
        <v>31608.364249578415</v>
      </c>
      <c r="BB46" s="85">
        <f>BB$186*Population!BG$61</f>
        <v>31220.5</v>
      </c>
      <c r="BC46" s="85">
        <f>BC$186*Population!BH$61</f>
        <v>30887.897033158813</v>
      </c>
      <c r="BD46" s="85">
        <f>BD$186*Population!BI$61</f>
        <v>30098.5</v>
      </c>
      <c r="BE46" s="85">
        <f>BE$186*Population!BJ$61</f>
        <v>30038.466646543919</v>
      </c>
      <c r="BF46" s="85">
        <f>BF$186*Population!BK$61</f>
        <v>30035.308863025963</v>
      </c>
      <c r="BG46" s="85">
        <f>BG$186*Population!BL$61</f>
        <v>30443.263375702038</v>
      </c>
    </row>
    <row r="47" spans="3:59" x14ac:dyDescent="0.2">
      <c r="C47" s="29">
        <v>52</v>
      </c>
      <c r="F47" s="85">
        <f>F$187*Population!K$62</f>
        <v>28130</v>
      </c>
      <c r="G47" s="85">
        <f>G$187*Population!L$62</f>
        <v>27618.531553398057</v>
      </c>
      <c r="H47" s="85">
        <f>H$187*Population!M$62</f>
        <v>26725.827814569537</v>
      </c>
      <c r="I47" s="85">
        <f>I$187*Population!N$62</f>
        <v>26618.278714603879</v>
      </c>
      <c r="J47" s="85">
        <f>J$187*Population!O$62</f>
        <v>27167.796928862426</v>
      </c>
      <c r="K47" s="85">
        <f>K$187*Population!P$62</f>
        <v>27428.43808338519</v>
      </c>
      <c r="L47" s="85">
        <f>L$187*Population!Q$62</f>
        <v>27963.162733680663</v>
      </c>
      <c r="M47" s="85">
        <f>M$187*Population!R$62</f>
        <v>27958.802579060488</v>
      </c>
      <c r="N47" s="85">
        <f>N$187*Population!S$62</f>
        <v>29104.667458432305</v>
      </c>
      <c r="O47" s="85">
        <f>O$187*Population!T$62</f>
        <v>28472.535595274159</v>
      </c>
      <c r="P47" s="85">
        <f>P$187*Population!U$62</f>
        <v>27668.089112017573</v>
      </c>
      <c r="Q47" s="85">
        <f>Q$187*Population!V$62</f>
        <v>26784.951140065146</v>
      </c>
      <c r="R47" s="85">
        <f>R$187*Population!W$62</f>
        <v>25802.77419354839</v>
      </c>
      <c r="S47" s="85">
        <f>S$187*Population!X$62</f>
        <v>24643.342836778331</v>
      </c>
      <c r="T47" s="85">
        <f>T$187*Population!Y$62</f>
        <v>24801.963584434128</v>
      </c>
      <c r="U47" s="85">
        <f>U$187*Population!Z$62</f>
        <v>24484.417177914111</v>
      </c>
      <c r="V47" s="85">
        <f>V$187*Population!AA$62</f>
        <v>25385.859292964651</v>
      </c>
      <c r="W47" s="85">
        <f>W$187*Population!AB$62</f>
        <v>25504.213109008062</v>
      </c>
      <c r="X47" s="85">
        <f>X$187*Population!AC$62</f>
        <v>25799.643854748603</v>
      </c>
      <c r="Y47" s="85">
        <f>Y$187*Population!AD$62</f>
        <v>26602.004773269691</v>
      </c>
      <c r="Z47" s="85">
        <f>Z$187*Population!AE$62</f>
        <v>27202.37061769616</v>
      </c>
      <c r="AA47" s="85">
        <f>AA$187*Population!AF$62</f>
        <v>27740.311052283254</v>
      </c>
      <c r="AB47" s="85">
        <f>AB$187*Population!AG$62</f>
        <v>28639.298928919179</v>
      </c>
      <c r="AC47" s="85">
        <f>AC$187*Population!AH$62</f>
        <v>29035.673416907746</v>
      </c>
      <c r="AD47" s="85">
        <f>AD$187*Population!AI$62</f>
        <v>29959.981250000001</v>
      </c>
      <c r="AE47" s="85">
        <f>AE$187*Population!AJ$62</f>
        <v>31671.168405365126</v>
      </c>
      <c r="AF47" s="85">
        <f>AF$187*Population!AK$62</f>
        <v>32380.549065420561</v>
      </c>
      <c r="AG47" s="85">
        <f>AG$187*Population!AL$62</f>
        <v>34093.389121338907</v>
      </c>
      <c r="AH47" s="85">
        <f>AH$187*Population!AM$62</f>
        <v>35314.628726287265</v>
      </c>
      <c r="AI47" s="85">
        <f>AI$187*Population!AN$62</f>
        <v>34808.669074742982</v>
      </c>
      <c r="AJ47" s="85">
        <f>AJ$187*Population!AO$62</f>
        <v>34665.258476931631</v>
      </c>
      <c r="AK47" s="85">
        <f>AK$187*Population!AP$62</f>
        <v>33713.046919163367</v>
      </c>
      <c r="AL47" s="85">
        <f>AL$187*Population!AQ$62</f>
        <v>33369.319401299064</v>
      </c>
      <c r="AM47" s="85">
        <f>AM$187*Population!AR$62</f>
        <v>32561.336775674128</v>
      </c>
      <c r="AN47" s="85">
        <f>AN$187*Population!AS$62</f>
        <v>32179.854077253221</v>
      </c>
      <c r="AO47" s="85">
        <f>AO$187*Population!AT$62</f>
        <v>31121.089539263983</v>
      </c>
      <c r="AP47" s="85">
        <f>AP$187*Population!AU$62</f>
        <v>30137.052694254242</v>
      </c>
      <c r="AQ47" s="85">
        <f>AQ$187*Population!AV$62</f>
        <v>30667.447795823664</v>
      </c>
      <c r="AR47" s="85">
        <f>AR$187*Population!AW$62</f>
        <v>30019.583211036104</v>
      </c>
      <c r="AS47" s="85">
        <f>AS$187*Population!AX$62</f>
        <v>28853.877922866686</v>
      </c>
      <c r="AT47" s="85">
        <f>AT$187*Population!AY$62</f>
        <v>28568.461066830168</v>
      </c>
      <c r="AU47" s="85">
        <f>AU$187*Population!AZ$62</f>
        <v>28975.882352941175</v>
      </c>
      <c r="AV47" s="85">
        <f>AV$187*Population!BA$62</f>
        <v>28870.895839659883</v>
      </c>
      <c r="AW47" s="85">
        <f>AW$187*Population!BB$62</f>
        <v>29449.401785714286</v>
      </c>
      <c r="AX47" s="85">
        <f>AX$187*Population!BC$62</f>
        <v>30535.901121011786</v>
      </c>
      <c r="AY47" s="85">
        <f>AY$187*Population!BD$62</f>
        <v>31564.199387357279</v>
      </c>
      <c r="AZ47" s="85">
        <f>AZ$187*Population!BE$62</f>
        <v>31274.830699774266</v>
      </c>
      <c r="BA47" s="85">
        <f>BA$187*Population!BF$62</f>
        <v>32013.923140724357</v>
      </c>
      <c r="BB47" s="85">
        <f>BB$187*Population!BG$62</f>
        <v>31631.146478873241</v>
      </c>
      <c r="BC47" s="85">
        <f>BC$187*Population!BH$62</f>
        <v>31241.881982240044</v>
      </c>
      <c r="BD47" s="85">
        <f>BD$187*Population!BI$62</f>
        <v>30892.040816326531</v>
      </c>
      <c r="BE47" s="85">
        <f>BE$187*Population!BJ$62</f>
        <v>30111.23949579832</v>
      </c>
      <c r="BF47" s="85">
        <f>BF$187*Population!BK$62</f>
        <v>30051.38880484115</v>
      </c>
      <c r="BG47" s="85">
        <f>BG$187*Population!BL$62</f>
        <v>30058.450493568649</v>
      </c>
    </row>
    <row r="48" spans="3:59" x14ac:dyDescent="0.2">
      <c r="C48" s="29">
        <v>53</v>
      </c>
      <c r="F48" s="85">
        <f>F$188*Population!K$63</f>
        <v>27708.482944344705</v>
      </c>
      <c r="G48" s="85">
        <f>G$188*Population!L$63</f>
        <v>28013.28970850684</v>
      </c>
      <c r="H48" s="85">
        <f>H$188*Population!M$63</f>
        <v>27520.018270401946</v>
      </c>
      <c r="I48" s="85">
        <f>I$188*Population!N$63</f>
        <v>26647.22380500158</v>
      </c>
      <c r="J48" s="85">
        <f>J$188*Population!O$63</f>
        <v>26541.31906739061</v>
      </c>
      <c r="K48" s="85">
        <f>K$188*Population!P$63</f>
        <v>27084</v>
      </c>
      <c r="L48" s="85">
        <f>L$188*Population!Q$63</f>
        <v>27365.106183635227</v>
      </c>
      <c r="M48" s="85">
        <f>M$188*Population!R$63</f>
        <v>27874.464944649444</v>
      </c>
      <c r="N48" s="85">
        <f>N$188*Population!S$63</f>
        <v>27880.314232902034</v>
      </c>
      <c r="O48" s="85">
        <f>O$188*Population!T$63</f>
        <v>29036.330056598155</v>
      </c>
      <c r="P48" s="85">
        <f>P$188*Population!U$63</f>
        <v>28422.96048632219</v>
      </c>
      <c r="Q48" s="85">
        <f>Q$188*Population!V$63</f>
        <v>27628.819269521409</v>
      </c>
      <c r="R48" s="85">
        <f>R$188*Population!W$63</f>
        <v>26747.352941176472</v>
      </c>
      <c r="S48" s="85">
        <f>S$188*Population!X$63</f>
        <v>25784.047700170358</v>
      </c>
      <c r="T48" s="85">
        <f>T$188*Population!Y$63</f>
        <v>24635.085836909871</v>
      </c>
      <c r="U48" s="85">
        <f>U$188*Population!Z$63</f>
        <v>24785.064469914039</v>
      </c>
      <c r="V48" s="85">
        <f>V$188*Population!AA$63</f>
        <v>24486.419261404779</v>
      </c>
      <c r="W48" s="85">
        <f>W$188*Population!AB$63</f>
        <v>25379.547050561796</v>
      </c>
      <c r="X48" s="85">
        <f>X$188*Population!AC$63</f>
        <v>25497.609841827769</v>
      </c>
      <c r="Y48" s="85">
        <f>Y$188*Population!AD$63</f>
        <v>25804.378283712784</v>
      </c>
      <c r="Z48" s="85">
        <f>Z$188*Population!AE$63</f>
        <v>26607.004103967167</v>
      </c>
      <c r="AA48" s="85">
        <f>AA$188*Population!AF$63</f>
        <v>27207.427997320829</v>
      </c>
      <c r="AB48" s="85">
        <f>AB$188*Population!AG$63</f>
        <v>27755.912408759126</v>
      </c>
      <c r="AC48" s="85">
        <f>AC$188*Population!AH$63</f>
        <v>28656.240234375</v>
      </c>
      <c r="AD48" s="85">
        <f>AD$188*Population!AI$63</f>
        <v>29054.463422494362</v>
      </c>
      <c r="AE48" s="85">
        <f>AE$188*Population!AJ$63</f>
        <v>29978.928571428569</v>
      </c>
      <c r="AF48" s="85">
        <f>AF$188*Population!AK$63</f>
        <v>31700.020920502095</v>
      </c>
      <c r="AG48" s="85">
        <f>AG$188*Population!AL$63</f>
        <v>32420.655929721815</v>
      </c>
      <c r="AH48" s="85">
        <f>AH$188*Population!AM$63</f>
        <v>34133.898210290827</v>
      </c>
      <c r="AI48" s="85">
        <f>AI$188*Population!AN$63</f>
        <v>35355.609888617219</v>
      </c>
      <c r="AJ48" s="85">
        <f>AJ$188*Population!AO$63</f>
        <v>34852.130325814534</v>
      </c>
      <c r="AK48" s="85">
        <f>AK$188*Population!AP$63</f>
        <v>34706.737252716637</v>
      </c>
      <c r="AL48" s="85">
        <f>AL$188*Population!AQ$63</f>
        <v>33763.878186968839</v>
      </c>
      <c r="AM48" s="85">
        <f>AM$188*Population!AR$63</f>
        <v>33419.303707896972</v>
      </c>
      <c r="AN48" s="85">
        <f>AN$188*Population!AS$63</f>
        <v>32610.649798734903</v>
      </c>
      <c r="AO48" s="85">
        <f>AO$188*Population!AT$63</f>
        <v>32228.104387725838</v>
      </c>
      <c r="AP48" s="85">
        <f>AP$188*Population!AU$63</f>
        <v>31167.818762706942</v>
      </c>
      <c r="AQ48" s="85">
        <f>AQ$188*Population!AV$63</f>
        <v>30191.942703670546</v>
      </c>
      <c r="AR48" s="85">
        <f>AR$188*Population!AW$63</f>
        <v>30712.781168265039</v>
      </c>
      <c r="AS48" s="85">
        <f>AS$188*Population!AX$63</f>
        <v>30073.180347160927</v>
      </c>
      <c r="AT48" s="85">
        <f>AT$188*Population!AY$63</f>
        <v>28907.086757990866</v>
      </c>
      <c r="AU48" s="85">
        <f>AU$188*Population!AZ$63</f>
        <v>28612.841781874038</v>
      </c>
      <c r="AV48" s="85">
        <f>AV$188*Population!BA$63</f>
        <v>29020.14207980653</v>
      </c>
      <c r="AW48" s="85">
        <f>AW$188*Population!BB$63</f>
        <v>28934.193548387098</v>
      </c>
      <c r="AX48" s="85">
        <f>AX$188*Population!BC$63</f>
        <v>29512.675216224277</v>
      </c>
      <c r="AY48" s="85">
        <f>AY$188*Population!BD$63</f>
        <v>30590.745967741936</v>
      </c>
      <c r="AZ48" s="85">
        <f>AZ$188*Population!BE$63</f>
        <v>31636.494557633268</v>
      </c>
      <c r="BA48" s="85">
        <f>BA$188*Population!BF$63</f>
        <v>31330.056545094714</v>
      </c>
      <c r="BB48" s="85">
        <f>BB$188*Population!BG$63</f>
        <v>32088.310249307477</v>
      </c>
      <c r="BC48" s="85">
        <f>BC$188*Population!BH$63</f>
        <v>31687.073101891052</v>
      </c>
      <c r="BD48" s="85">
        <f>BD$188*Population!BI$63</f>
        <v>31298.128587830081</v>
      </c>
      <c r="BE48" s="85">
        <f>BE$188*Population!BJ$63</f>
        <v>30957.288927841077</v>
      </c>
      <c r="BF48" s="85">
        <f>BF$188*Population!BK$63</f>
        <v>30176.745864661654</v>
      </c>
      <c r="BG48" s="85">
        <f>BG$188*Population!BL$63</f>
        <v>30117.352941176468</v>
      </c>
    </row>
    <row r="49" spans="3:59" x14ac:dyDescent="0.2">
      <c r="C49" s="29">
        <v>54</v>
      </c>
      <c r="F49" s="85">
        <f>F$189*Population!K$64</f>
        <v>26888.847799511001</v>
      </c>
      <c r="G49" s="85">
        <f>G$189*Population!L$64</f>
        <v>27521.747601918465</v>
      </c>
      <c r="H49" s="85">
        <f>H$189*Population!M$64</f>
        <v>27845.851984482244</v>
      </c>
      <c r="I49" s="85">
        <f>I$189*Population!N$64</f>
        <v>27382.263978001836</v>
      </c>
      <c r="J49" s="85">
        <f>J$189*Population!O$64</f>
        <v>26504.236265481104</v>
      </c>
      <c r="K49" s="85">
        <f>K$189*Population!P$64</f>
        <v>26410.025632809997</v>
      </c>
      <c r="L49" s="85">
        <f>L$189*Population!Q$64</f>
        <v>26944.126182965301</v>
      </c>
      <c r="M49" s="85">
        <f>M$189*Population!R$64</f>
        <v>27218.446601941749</v>
      </c>
      <c r="N49" s="85">
        <f>N$189*Population!S$64</f>
        <v>27746.428130783468</v>
      </c>
      <c r="O49" s="85">
        <f>O$189*Population!T$64</f>
        <v>27781.087762669962</v>
      </c>
      <c r="P49" s="85">
        <f>P$189*Population!U$64</f>
        <v>28928.431431132358</v>
      </c>
      <c r="Q49" s="85">
        <f>Q$189*Population!V$64</f>
        <v>28335.544041450776</v>
      </c>
      <c r="R49" s="85">
        <f>R$189*Population!W$64</f>
        <v>27551.499842121881</v>
      </c>
      <c r="S49" s="85">
        <f>S$189*Population!X$64</f>
        <v>26680</v>
      </c>
      <c r="T49" s="85">
        <f>T$189*Population!Y$64</f>
        <v>25726.973009907753</v>
      </c>
      <c r="U49" s="85">
        <f>U$189*Population!Z$64</f>
        <v>24588.070993187524</v>
      </c>
      <c r="V49" s="85">
        <f>V$189*Population!AA$64</f>
        <v>24746.806752873563</v>
      </c>
      <c r="W49" s="85">
        <f>W$189*Population!AB$64</f>
        <v>24450.217864923747</v>
      </c>
      <c r="X49" s="85">
        <f>X$189*Population!AC$64</f>
        <v>25362.359154929578</v>
      </c>
      <c r="Y49" s="85">
        <f>Y$189*Population!AD$64</f>
        <v>25480.49347902714</v>
      </c>
      <c r="Z49" s="85">
        <f>Z$189*Population!AE$64</f>
        <v>25778.318117977527</v>
      </c>
      <c r="AA49" s="85">
        <f>AA$189*Population!AF$64</f>
        <v>26591.672951662666</v>
      </c>
      <c r="AB49" s="85">
        <f>AB$189*Population!AG$64</f>
        <v>27192.124874118832</v>
      </c>
      <c r="AC49" s="85">
        <f>AC$189*Population!AH$64</f>
        <v>27749.960079840319</v>
      </c>
      <c r="AD49" s="85">
        <f>AD$189*Population!AI$64</f>
        <v>28652.182707993474</v>
      </c>
      <c r="AE49" s="85">
        <f>AE$189*Population!AJ$64</f>
        <v>29059.877221324718</v>
      </c>
      <c r="AF49" s="85">
        <f>AF$189*Population!AK$64</f>
        <v>29975.029827315542</v>
      </c>
      <c r="AG49" s="85">
        <f>AG$189*Population!AL$64</f>
        <v>31696.316262353997</v>
      </c>
      <c r="AH49" s="85">
        <f>AH$189*Population!AM$64</f>
        <v>32417.004107981222</v>
      </c>
      <c r="AI49" s="85">
        <f>AI$189*Population!AN$64</f>
        <v>34130.369851499017</v>
      </c>
      <c r="AJ49" s="85">
        <f>AJ$189*Population!AO$64</f>
        <v>35363.502994011978</v>
      </c>
      <c r="AK49" s="85">
        <f>AK$189*Population!AP$64</f>
        <v>34860.376674107145</v>
      </c>
      <c r="AL49" s="85">
        <f>AL$189*Population!AQ$64</f>
        <v>34726.222780569515</v>
      </c>
      <c r="AM49" s="85">
        <f>AM$189*Population!AR$64</f>
        <v>33771.63780868578</v>
      </c>
      <c r="AN49" s="85">
        <f>AN$189*Population!AS$64</f>
        <v>33446.341463414632</v>
      </c>
      <c r="AO49" s="85">
        <f>AO$189*Population!AT$64</f>
        <v>32608.361175115206</v>
      </c>
      <c r="AP49" s="85">
        <f>AP$189*Population!AU$64</f>
        <v>32244.866417696066</v>
      </c>
      <c r="AQ49" s="85">
        <f>AQ$189*Population!AV$64</f>
        <v>31183.887110852487</v>
      </c>
      <c r="AR49" s="85">
        <f>AR$189*Population!AW$64</f>
        <v>30207.85650224215</v>
      </c>
      <c r="AS49" s="85">
        <f>AS$189*Population!AX$64</f>
        <v>30738.86462882096</v>
      </c>
      <c r="AT49" s="85">
        <f>AT$189*Population!AY$64</f>
        <v>30088.499852637782</v>
      </c>
      <c r="AU49" s="85">
        <f>AU$189*Population!AZ$64</f>
        <v>28930.771576700216</v>
      </c>
      <c r="AV49" s="85">
        <f>AV$189*Population!BA$64</f>
        <v>28636.491228070176</v>
      </c>
      <c r="AW49" s="85">
        <f>AW$189*Population!BB$64</f>
        <v>29054.027861901875</v>
      </c>
      <c r="AX49" s="85">
        <f>AX$189*Population!BC$64</f>
        <v>28957.899390243903</v>
      </c>
      <c r="AY49" s="85">
        <f>AY$189*Population!BD$64</f>
        <v>29536.366895727519</v>
      </c>
      <c r="AZ49" s="85">
        <f>AZ$189*Population!BE$64</f>
        <v>30633.352567801499</v>
      </c>
      <c r="BA49" s="85">
        <f>BA$189*Population!BF$64</f>
        <v>31651.439351593068</v>
      </c>
      <c r="BB49" s="85">
        <f>BB$189*Population!BG$64</f>
        <v>31364.350042480884</v>
      </c>
      <c r="BC49" s="85">
        <f>BC$189*Population!BH$64</f>
        <v>32103.411927877947</v>
      </c>
      <c r="BD49" s="85">
        <f>BD$189*Population!BI$64</f>
        <v>31721.78117048346</v>
      </c>
      <c r="BE49" s="85">
        <f>BE$189*Population!BJ$64</f>
        <v>31324.024144869218</v>
      </c>
      <c r="BF49" s="85">
        <f>BF$189*Population!BK$64</f>
        <v>30983.417203042714</v>
      </c>
      <c r="BG49" s="85">
        <f>BG$189*Population!BL$64</f>
        <v>30202.996987951807</v>
      </c>
    </row>
    <row r="50" spans="3:59" x14ac:dyDescent="0.2">
      <c r="C50" s="29">
        <v>55</v>
      </c>
      <c r="F50" s="85">
        <f>F$190*Population!K$65</f>
        <v>25365.570878768442</v>
      </c>
      <c r="G50" s="85">
        <f>G$190*Population!L$65</f>
        <v>26693.653610771114</v>
      </c>
      <c r="H50" s="85">
        <f>H$190*Population!M$65</f>
        <v>27353.818400481057</v>
      </c>
      <c r="I50" s="85">
        <f>I$190*Population!N$65</f>
        <v>27679.245734809934</v>
      </c>
      <c r="J50" s="85">
        <f>J$190*Population!O$65</f>
        <v>27218.77144607843</v>
      </c>
      <c r="K50" s="85">
        <f>K$190*Population!P$65</f>
        <v>26370.745222929934</v>
      </c>
      <c r="L50" s="85">
        <f>L$190*Population!Q$65</f>
        <v>26269.765499518147</v>
      </c>
      <c r="M50" s="85">
        <f>M$190*Population!R$65</f>
        <v>26815.686274509804</v>
      </c>
      <c r="N50" s="85">
        <f>N$190*Population!S$65</f>
        <v>27100.345477386934</v>
      </c>
      <c r="O50" s="85">
        <f>O$190*Population!T$65</f>
        <v>27638.268398268399</v>
      </c>
      <c r="P50" s="85">
        <f>P$190*Population!U$65</f>
        <v>27674.767657992565</v>
      </c>
      <c r="Q50" s="85">
        <f>Q$190*Population!V$65</f>
        <v>28840.485175202157</v>
      </c>
      <c r="R50" s="85">
        <f>R$190*Population!W$65</f>
        <v>28249.651695692024</v>
      </c>
      <c r="S50" s="85">
        <f>S$190*Population!X$65</f>
        <v>27483.860759493673</v>
      </c>
      <c r="T50" s="85">
        <f>T$190*Population!Y$65</f>
        <v>26622.614121510673</v>
      </c>
      <c r="U50" s="85">
        <f>U$190*Population!Z$65</f>
        <v>25679.89726027397</v>
      </c>
      <c r="V50" s="85">
        <f>V$190*Population!AA$65</f>
        <v>24551.430625449317</v>
      </c>
      <c r="W50" s="85">
        <f>W$190*Population!AB$65</f>
        <v>24711.735061195104</v>
      </c>
      <c r="X50" s="85">
        <f>X$190*Population!AC$65</f>
        <v>24434.159388646291</v>
      </c>
      <c r="Y50" s="85">
        <f>Y$190*Population!AD$65</f>
        <v>25346.337332392381</v>
      </c>
      <c r="Z50" s="85">
        <f>Z$190*Population!AE$65</f>
        <v>25464.500176616039</v>
      </c>
      <c r="AA50" s="85">
        <f>AA$190*Population!AF$65</f>
        <v>25773.029556650246</v>
      </c>
      <c r="AB50" s="85">
        <f>AB$190*Population!AG$65</f>
        <v>26586.482308485058</v>
      </c>
      <c r="AC50" s="85">
        <f>AC$190*Population!AH$65</f>
        <v>27188.567585743109</v>
      </c>
      <c r="AD50" s="85">
        <f>AD$190*Population!AI$65</f>
        <v>27746.567810729757</v>
      </c>
      <c r="AE50" s="85">
        <f>AE$190*Population!AJ$65</f>
        <v>28658.332788492971</v>
      </c>
      <c r="AF50" s="85">
        <f>AF$190*Population!AK$65</f>
        <v>29056.731391585763</v>
      </c>
      <c r="AG50" s="85">
        <f>AG$190*Population!AL$65</f>
        <v>29992.409562755583</v>
      </c>
      <c r="AH50" s="85">
        <f>AH$190*Population!AM$65</f>
        <v>31713.993399339932</v>
      </c>
      <c r="AI50" s="85">
        <f>AI$190*Population!AN$65</f>
        <v>32436.391419335883</v>
      </c>
      <c r="AJ50" s="85">
        <f>AJ$190*Population!AO$65</f>
        <v>34149.949494949491</v>
      </c>
      <c r="AK50" s="85">
        <f>AK$190*Population!AP$65</f>
        <v>35392.966194111235</v>
      </c>
      <c r="AL50" s="85">
        <f>AL$190*Population!AQ$65</f>
        <v>34890.32979318055</v>
      </c>
      <c r="AM50" s="85">
        <f>AM$190*Population!AR$65</f>
        <v>34743.472183393904</v>
      </c>
      <c r="AN50" s="85">
        <f>AN$190*Population!AS$65</f>
        <v>33799.843661171122</v>
      </c>
      <c r="AO50" s="85">
        <f>AO$190*Population!AT$65</f>
        <v>33456.115843270869</v>
      </c>
      <c r="AP50" s="85">
        <f>AP$190*Population!AU$65</f>
        <v>32646.841649841361</v>
      </c>
      <c r="AQ50" s="85">
        <f>AQ$190*Population!AV$65</f>
        <v>32282.701380897586</v>
      </c>
      <c r="AR50" s="85">
        <f>AR$190*Population!AW$65</f>
        <v>31210.128205128207</v>
      </c>
      <c r="AS50" s="85">
        <f>AS$190*Population!AX$65</f>
        <v>30244.022747680334</v>
      </c>
      <c r="AT50" s="85">
        <f>AT$190*Population!AY$65</f>
        <v>30773.177842565601</v>
      </c>
      <c r="AU50" s="85">
        <f>AU$190*Population!AZ$65</f>
        <v>30124.012983180881</v>
      </c>
      <c r="AV50" s="85">
        <f>AV$190*Population!BA$65</f>
        <v>28966.106870229007</v>
      </c>
      <c r="AW50" s="85">
        <f>AW$190*Population!BB$65</f>
        <v>28671.790446841296</v>
      </c>
      <c r="AX50" s="85">
        <f>AX$190*Population!BC$65</f>
        <v>29097.816858702241</v>
      </c>
      <c r="AY50" s="85">
        <f>AY$190*Population!BD$65</f>
        <v>28993.257020757021</v>
      </c>
      <c r="AZ50" s="85">
        <f>AZ$190*Population!BE$65</f>
        <v>29571.708046664673</v>
      </c>
      <c r="BA50" s="85">
        <f>BA$190*Population!BF$65</f>
        <v>30668.746389370306</v>
      </c>
      <c r="BB50" s="85">
        <f>BB$190*Population!BG$65</f>
        <v>31697.23559037493</v>
      </c>
      <c r="BC50" s="85">
        <f>BC$190*Population!BH$65</f>
        <v>31399.569160997733</v>
      </c>
      <c r="BD50" s="85">
        <f>BD$190*Population!BI$65</f>
        <v>32149.514023882253</v>
      </c>
      <c r="BE50" s="85">
        <f>BE$190*Population!BJ$65</f>
        <v>31757.258064516129</v>
      </c>
      <c r="BF50" s="85">
        <f>BF$190*Population!BK$65</f>
        <v>31368.630215827339</v>
      </c>
      <c r="BG50" s="85">
        <f>BG$190*Population!BL$65</f>
        <v>31019.18301610542</v>
      </c>
    </row>
    <row r="51" spans="3:59" x14ac:dyDescent="0.2">
      <c r="C51" s="29">
        <v>56</v>
      </c>
      <c r="F51" s="85">
        <f>F$191*Population!K$66</f>
        <v>24629.794654498044</v>
      </c>
      <c r="G51" s="85">
        <f>G$191*Population!L$66</f>
        <v>25192.308186195827</v>
      </c>
      <c r="H51" s="85">
        <f>H$191*Population!M$66</f>
        <v>26513.016262657256</v>
      </c>
      <c r="I51" s="85">
        <f>I$191*Population!N$66</f>
        <v>27166.626469701536</v>
      </c>
      <c r="J51" s="85">
        <f>J$191*Population!O$66</f>
        <v>27495.274527452744</v>
      </c>
      <c r="K51" s="85">
        <f>K$191*Population!P$66</f>
        <v>27064.774193548386</v>
      </c>
      <c r="L51" s="85">
        <f>L$191*Population!Q$66</f>
        <v>26209.952107279696</v>
      </c>
      <c r="M51" s="85">
        <f>M$191*Population!R$66</f>
        <v>26112.459755312299</v>
      </c>
      <c r="N51" s="85">
        <f>N$191*Population!S$66</f>
        <v>26678.541996830427</v>
      </c>
      <c r="O51" s="85">
        <f>O$191*Population!T$66</f>
        <v>26981.680830972615</v>
      </c>
      <c r="P51" s="85">
        <f>P$191*Population!U$66</f>
        <v>27521.388286334055</v>
      </c>
      <c r="Q51" s="85">
        <f>Q$191*Population!V$66</f>
        <v>27567.908131595283</v>
      </c>
      <c r="R51" s="85">
        <f>R$191*Population!W$66</f>
        <v>28733.469387755104</v>
      </c>
      <c r="S51" s="85">
        <f>S$191*Population!X$66</f>
        <v>28152.929292929293</v>
      </c>
      <c r="T51" s="85">
        <f>T$191*Population!Y$66</f>
        <v>27407.419150285354</v>
      </c>
      <c r="U51" s="85">
        <f>U$191*Population!Z$66</f>
        <v>26564.81737413623</v>
      </c>
      <c r="V51" s="85">
        <f>V$191*Population!AA$66</f>
        <v>25623.60205831904</v>
      </c>
      <c r="W51" s="85">
        <f>W$191*Population!AB$66</f>
        <v>24505.165586753061</v>
      </c>
      <c r="X51" s="85">
        <f>X$191*Population!AC$66</f>
        <v>24675.757029560202</v>
      </c>
      <c r="Y51" s="85">
        <f>Y$191*Population!AD$66</f>
        <v>24387.769679300291</v>
      </c>
      <c r="Z51" s="85">
        <f>Z$191*Population!AE$66</f>
        <v>25310.339222614839</v>
      </c>
      <c r="AA51" s="85">
        <f>AA$191*Population!AF$66</f>
        <v>25438.988326848248</v>
      </c>
      <c r="AB51" s="85">
        <f>AB$191*Population!AG$66</f>
        <v>25747.427766032419</v>
      </c>
      <c r="AC51" s="85">
        <f>AC$191*Population!AH$66</f>
        <v>26560.784313725489</v>
      </c>
      <c r="AD51" s="85">
        <f>AD$191*Population!AI$66</f>
        <v>27162.878787878788</v>
      </c>
      <c r="AE51" s="85">
        <f>AE$191*Population!AJ$66</f>
        <v>27720.720720720721</v>
      </c>
      <c r="AF51" s="85">
        <f>AF$191*Population!AK$66</f>
        <v>28643.292962356794</v>
      </c>
      <c r="AG51" s="85">
        <f>AG$191*Population!AL$66</f>
        <v>29050.194426441994</v>
      </c>
      <c r="AH51" s="85">
        <f>AH$191*Population!AM$66</f>
        <v>29985.886614173229</v>
      </c>
      <c r="AI51" s="85">
        <f>AI$191*Population!AN$66</f>
        <v>31698.897566836888</v>
      </c>
      <c r="AJ51" s="85">
        <f>AJ$191*Population!AO$66</f>
        <v>32421.30038246543</v>
      </c>
      <c r="AK51" s="85">
        <f>AK$191*Population!AP$66</f>
        <v>34134.831460674155</v>
      </c>
      <c r="AL51" s="85">
        <f>AL$191*Population!AQ$66</f>
        <v>35377.816593886462</v>
      </c>
      <c r="AM51" s="85">
        <f>AM$191*Population!AR$66</f>
        <v>34875.120313374369</v>
      </c>
      <c r="AN51" s="85">
        <f>AN$191*Population!AS$66</f>
        <v>34739.669745312065</v>
      </c>
      <c r="AO51" s="85">
        <f>AO$191*Population!AT$66</f>
        <v>33795.993170176436</v>
      </c>
      <c r="AP51" s="85">
        <f>AP$191*Population!AU$66</f>
        <v>33460.761796475272</v>
      </c>
      <c r="AQ51" s="85">
        <f>AQ$191*Population!AV$66</f>
        <v>32642.032332563511</v>
      </c>
      <c r="AR51" s="85">
        <f>AR$191*Population!AW$66</f>
        <v>32277.961416642673</v>
      </c>
      <c r="AS51" s="85">
        <f>AS$191*Population!AX$66</f>
        <v>31224.680664916887</v>
      </c>
      <c r="AT51" s="85">
        <f>AT$191*Population!AY$66</f>
        <v>30239.40683043739</v>
      </c>
      <c r="AU51" s="85">
        <f>AU$191*Population!AZ$66</f>
        <v>30779.107090749927</v>
      </c>
      <c r="AV51" s="85">
        <f>AV$191*Population!BA$66</f>
        <v>30138.43768458358</v>
      </c>
      <c r="AW51" s="85">
        <f>AW$191*Population!BB$66</f>
        <v>28971.652917812404</v>
      </c>
      <c r="AX51" s="85">
        <f>AX$191*Population!BC$66</f>
        <v>28686.181369524984</v>
      </c>
      <c r="AY51" s="85">
        <f>AY$191*Population!BD$66</f>
        <v>29112.206373292865</v>
      </c>
      <c r="AZ51" s="85">
        <f>AZ$191*Population!BE$66</f>
        <v>28998.802687843614</v>
      </c>
      <c r="BA51" s="85">
        <f>BA$191*Population!BF$66</f>
        <v>29577.252319664771</v>
      </c>
      <c r="BB51" s="85">
        <f>BB$191*Population!BG$66</f>
        <v>30674.289017341041</v>
      </c>
      <c r="BC51" s="85">
        <f>BC$191*Population!BH$66</f>
        <v>31701.271352562308</v>
      </c>
      <c r="BD51" s="85">
        <f>BD$191*Population!BI$66</f>
        <v>31414.002836879434</v>
      </c>
      <c r="BE51" s="85">
        <f>BE$191*Population!BJ$66</f>
        <v>32163.584328980272</v>
      </c>
      <c r="BF51" s="85">
        <f>BF$191*Population!BK$66</f>
        <v>31762.751981879956</v>
      </c>
      <c r="BG51" s="85">
        <f>BG$191*Population!BL$66</f>
        <v>31393.233515692486</v>
      </c>
    </row>
    <row r="52" spans="3:59" x14ac:dyDescent="0.2">
      <c r="C52" s="29">
        <v>57</v>
      </c>
      <c r="F52" s="85">
        <f>F$192*Population!K$67</f>
        <v>23127.906976744183</v>
      </c>
      <c r="G52" s="85">
        <f>G$192*Population!L$67</f>
        <v>24387.954323001632</v>
      </c>
      <c r="H52" s="85">
        <f>H$192*Population!M$67</f>
        <v>24971.981981981982</v>
      </c>
      <c r="I52" s="85">
        <f>I$192*Population!N$67</f>
        <v>26284.730852045523</v>
      </c>
      <c r="J52" s="85">
        <f>J$192*Population!O$67</f>
        <v>26941.963746223562</v>
      </c>
      <c r="K52" s="85">
        <f>K$192*Population!P$67</f>
        <v>27290.339849624059</v>
      </c>
      <c r="L52" s="85">
        <f>L$192*Population!Q$67</f>
        <v>26846.759002770083</v>
      </c>
      <c r="M52" s="85">
        <f>M$192*Population!R$67</f>
        <v>26023.867562380037</v>
      </c>
      <c r="N52" s="85">
        <f>N$192*Population!S$67</f>
        <v>25944.561290322581</v>
      </c>
      <c r="O52" s="85">
        <f>O$192*Population!T$67</f>
        <v>26512.340425531915</v>
      </c>
      <c r="P52" s="85">
        <f>P$192*Population!U$67</f>
        <v>26825.384615384613</v>
      </c>
      <c r="Q52" s="85">
        <f>Q$192*Population!V$67</f>
        <v>27383.644830797886</v>
      </c>
      <c r="R52" s="85">
        <f>R$192*Population!W$67</f>
        <v>27450.63432835821</v>
      </c>
      <c r="S52" s="85">
        <f>S$192*Population!X$67</f>
        <v>28625.788999098288</v>
      </c>
      <c r="T52" s="85">
        <f>T$192*Population!Y$67</f>
        <v>28055.830778663396</v>
      </c>
      <c r="U52" s="85">
        <f>U$192*Population!Z$67</f>
        <v>27320.228644013972</v>
      </c>
      <c r="V52" s="85">
        <f>V$192*Population!AA$67</f>
        <v>26489.443163097199</v>
      </c>
      <c r="W52" s="85">
        <f>W$192*Population!AB$67</f>
        <v>25566.853315012024</v>
      </c>
      <c r="X52" s="85">
        <f>X$192*Population!AC$67</f>
        <v>24458.817591925017</v>
      </c>
      <c r="Y52" s="85">
        <f>Y$192*Population!AD$67</f>
        <v>24637.624548736461</v>
      </c>
      <c r="Z52" s="85">
        <f>Z$192*Population!AE$67</f>
        <v>24361.889821233126</v>
      </c>
      <c r="AA52" s="85">
        <f>AA$192*Population!AF$67</f>
        <v>25265.341351255745</v>
      </c>
      <c r="AB52" s="85">
        <f>AB$192*Population!AG$67</f>
        <v>25412.914305949009</v>
      </c>
      <c r="AC52" s="85">
        <f>AC$192*Population!AH$67</f>
        <v>25721.199294532627</v>
      </c>
      <c r="AD52" s="85">
        <f>AD$192*Population!AI$67</f>
        <v>26545.165289256198</v>
      </c>
      <c r="AE52" s="85">
        <f>AE$192*Population!AJ$67</f>
        <v>27158.038422649141</v>
      </c>
      <c r="AF52" s="85">
        <f>AF$192*Population!AK$67</f>
        <v>27715.851703406814</v>
      </c>
      <c r="AG52" s="85">
        <f>AG$192*Population!AL$67</f>
        <v>28637.523747133968</v>
      </c>
      <c r="AH52" s="85">
        <f>AH$192*Population!AM$67</f>
        <v>29045.280570872528</v>
      </c>
      <c r="AI52" s="85">
        <f>AI$192*Population!AN$67</f>
        <v>29971.53482508667</v>
      </c>
      <c r="AJ52" s="85">
        <f>AJ$192*Population!AO$67</f>
        <v>31695.60865644725</v>
      </c>
      <c r="AK52" s="85">
        <f>AK$192*Population!AP$67</f>
        <v>32416.372202591283</v>
      </c>
      <c r="AL52" s="85">
        <f>AL$192*Population!AQ$67</f>
        <v>34129.884734326683</v>
      </c>
      <c r="AM52" s="85">
        <f>AM$192*Population!AR$67</f>
        <v>35384.168260038241</v>
      </c>
      <c r="AN52" s="85">
        <f>AN$192*Population!AS$67</f>
        <v>34880.319148936171</v>
      </c>
      <c r="AO52" s="85">
        <f>AO$192*Population!AT$67</f>
        <v>34744.889386726405</v>
      </c>
      <c r="AP52" s="85">
        <f>AP$192*Population!AU$67</f>
        <v>33801.252847380412</v>
      </c>
      <c r="AQ52" s="85">
        <f>AQ$192*Population!AV$67</f>
        <v>33466.063708759953</v>
      </c>
      <c r="AR52" s="85">
        <f>AR$192*Population!AW$67</f>
        <v>32655.909878682844</v>
      </c>
      <c r="AS52" s="85">
        <f>AS$192*Population!AX$67</f>
        <v>32283.341976375686</v>
      </c>
      <c r="AT52" s="85">
        <f>AT$192*Population!AY$67</f>
        <v>31230.131310183835</v>
      </c>
      <c r="AU52" s="85">
        <f>AU$192*Population!AZ$67</f>
        <v>30264.028776978419</v>
      </c>
      <c r="AV52" s="85">
        <f>AV$192*Population!BA$67</f>
        <v>30794.68184471687</v>
      </c>
      <c r="AW52" s="85">
        <f>AW$192*Population!BB$67</f>
        <v>30154.02658788774</v>
      </c>
      <c r="AX52" s="85">
        <f>AX$192*Population!BC$67</f>
        <v>28996.108223784773</v>
      </c>
      <c r="AY52" s="85">
        <f>AY$192*Population!BD$67</f>
        <v>28701.780314717682</v>
      </c>
      <c r="AZ52" s="85">
        <f>AZ$192*Population!BE$67</f>
        <v>29127.81420765027</v>
      </c>
      <c r="BA52" s="85">
        <f>BA$192*Population!BF$67</f>
        <v>29022.945310113046</v>
      </c>
      <c r="BB52" s="85">
        <f>BB$192*Population!BG$67</f>
        <v>29601.392215568863</v>
      </c>
      <c r="BC52" s="85">
        <f>BC$192*Population!BH$67</f>
        <v>30689.881468632553</v>
      </c>
      <c r="BD52" s="85">
        <f>BD$192*Population!BI$67</f>
        <v>31727.254901960783</v>
      </c>
      <c r="BE52" s="85">
        <f>BE$192*Population!BJ$67</f>
        <v>31438.141316685585</v>
      </c>
      <c r="BF52" s="85">
        <f>BF$192*Population!BK$67</f>
        <v>32179.166203446359</v>
      </c>
      <c r="BG52" s="85">
        <f>BG$192*Population!BL$67</f>
        <v>31797.39733786463</v>
      </c>
    </row>
    <row r="53" spans="3:59" x14ac:dyDescent="0.2">
      <c r="C53" s="29">
        <v>58</v>
      </c>
      <c r="F53" s="85">
        <f>F$193*Population!K$68</f>
        <v>22330</v>
      </c>
      <c r="G53" s="85">
        <f>G$193*Population!L$68</f>
        <v>22874.630642954857</v>
      </c>
      <c r="H53" s="85">
        <f>H$193*Population!M$68</f>
        <v>24126.446551160509</v>
      </c>
      <c r="I53" s="85">
        <f>I$193*Population!N$68</f>
        <v>24709.771041599484</v>
      </c>
      <c r="J53" s="85">
        <f>J$193*Population!O$68</f>
        <v>25998.767334360553</v>
      </c>
      <c r="K53" s="85">
        <f>K$193*Population!P$68</f>
        <v>26657.868604299121</v>
      </c>
      <c r="L53" s="85">
        <f>L$193*Population!Q$68</f>
        <v>26999.457667972281</v>
      </c>
      <c r="M53" s="85">
        <f>M$193*Population!R$68</f>
        <v>26567.493061979647</v>
      </c>
      <c r="N53" s="85">
        <f>N$193*Population!S$68</f>
        <v>25764.136494713232</v>
      </c>
      <c r="O53" s="85">
        <f>O$193*Population!T$68</f>
        <v>25696.672051696285</v>
      </c>
      <c r="P53" s="85">
        <f>P$193*Population!U$68</f>
        <v>26272.201017811705</v>
      </c>
      <c r="Q53" s="85">
        <f>Q$193*Population!V$68</f>
        <v>26587.047679191666</v>
      </c>
      <c r="R53" s="85">
        <f>R$193*Population!W$68</f>
        <v>27154.964252409078</v>
      </c>
      <c r="S53" s="85">
        <f>S$193*Population!X$68</f>
        <v>27230.062266500623</v>
      </c>
      <c r="T53" s="85">
        <f>T$193*Population!Y$68</f>
        <v>28395.817032801686</v>
      </c>
      <c r="U53" s="85">
        <f>U$193*Population!Z$68</f>
        <v>27845.058317986495</v>
      </c>
      <c r="V53" s="85">
        <f>V$193*Population!AA$68</f>
        <v>27120.34965034965</v>
      </c>
      <c r="W53" s="85">
        <f>W$193*Population!AB$68</f>
        <v>26307.605540897097</v>
      </c>
      <c r="X53" s="85">
        <f>X$193*Population!AC$68</f>
        <v>25396.387074596081</v>
      </c>
      <c r="Y53" s="85">
        <f>Y$193*Population!AD$68</f>
        <v>24306.865079365081</v>
      </c>
      <c r="Z53" s="85">
        <f>Z$193*Population!AE$68</f>
        <v>24486.697976878611</v>
      </c>
      <c r="AA53" s="85">
        <f>AA$193*Population!AF$68</f>
        <v>24219.72617743702</v>
      </c>
      <c r="AB53" s="85">
        <f>AB$193*Population!AG$68</f>
        <v>25122.520353982301</v>
      </c>
      <c r="AC53" s="85">
        <f>AC$193*Population!AH$68</f>
        <v>25251.941197307828</v>
      </c>
      <c r="AD53" s="85">
        <f>AD$193*Population!AI$68</f>
        <v>25578.228652081863</v>
      </c>
      <c r="AE53" s="85">
        <f>AE$193*Population!AJ$68</f>
        <v>26390.458146744746</v>
      </c>
      <c r="AF53" s="85">
        <f>AF$193*Population!AK$68</f>
        <v>27001.618887015175</v>
      </c>
      <c r="AG53" s="85">
        <f>AG$193*Population!AL$68</f>
        <v>27559.401937854997</v>
      </c>
      <c r="AH53" s="85">
        <f>AH$193*Population!AM$68</f>
        <v>28477.318911832186</v>
      </c>
      <c r="AI53" s="85">
        <f>AI$193*Population!AN$68</f>
        <v>28886.145360155744</v>
      </c>
      <c r="AJ53" s="85">
        <f>AJ$193*Population!AO$68</f>
        <v>29800.964691046658</v>
      </c>
      <c r="AK53" s="85">
        <f>AK$193*Population!AP$68</f>
        <v>31521.93082706767</v>
      </c>
      <c r="AL53" s="85">
        <f>AL$193*Population!AQ$68</f>
        <v>32232.927835051545</v>
      </c>
      <c r="AM53" s="85">
        <f>AM$193*Population!AR$68</f>
        <v>33945.492125984252</v>
      </c>
      <c r="AN53" s="85">
        <f>AN$193*Population!AS$68</f>
        <v>35175.874316939895</v>
      </c>
      <c r="AO53" s="85">
        <f>AO$193*Population!AT$68</f>
        <v>34692.668720246431</v>
      </c>
      <c r="AP53" s="85">
        <f>AP$193*Population!AU$68</f>
        <v>34558.005602240897</v>
      </c>
      <c r="AQ53" s="85">
        <f>AQ$193*Population!AV$68</f>
        <v>33625.001424095695</v>
      </c>
      <c r="AR53" s="85">
        <f>AR$193*Population!AW$68</f>
        <v>33291.988620199147</v>
      </c>
      <c r="AS53" s="85">
        <f>AS$193*Population!AX$68</f>
        <v>32494.608494654727</v>
      </c>
      <c r="AT53" s="85">
        <f>AT$193*Population!AY$68</f>
        <v>32133.051873198849</v>
      </c>
      <c r="AU53" s="85">
        <f>AU$193*Population!AZ$68</f>
        <v>31074.362416107386</v>
      </c>
      <c r="AV53" s="85">
        <f>AV$193*Population!BA$68</f>
        <v>30109.12769784173</v>
      </c>
      <c r="AW53" s="85">
        <f>AW$193*Population!BB$68</f>
        <v>30630.925277291299</v>
      </c>
      <c r="AX53" s="85">
        <f>AX$193*Population!BC$68</f>
        <v>30002.392909896604</v>
      </c>
      <c r="AY53" s="85">
        <f>AY$193*Population!BD$68</f>
        <v>28846.925427872862</v>
      </c>
      <c r="AZ53" s="85">
        <f>AZ$193*Population!BE$68</f>
        <v>28552.745219000615</v>
      </c>
      <c r="BA53" s="85">
        <f>BA$193*Population!BF$68</f>
        <v>28979.086494688923</v>
      </c>
      <c r="BB53" s="85">
        <f>BB$193*Population!BG$68</f>
        <v>28882.48090436908</v>
      </c>
      <c r="BC53" s="85">
        <f>BC$193*Population!BH$68</f>
        <v>29461</v>
      </c>
      <c r="BD53" s="85">
        <f>BD$193*Population!BI$68</f>
        <v>30547.441457068515</v>
      </c>
      <c r="BE53" s="85">
        <f>BE$193*Population!BJ$68</f>
        <v>31565.359843181181</v>
      </c>
      <c r="BF53" s="85">
        <f>BF$193*Population!BK$68</f>
        <v>31277.390070921985</v>
      </c>
      <c r="BG53" s="85">
        <f>BG$193*Population!BL$68</f>
        <v>32035.33073929961</v>
      </c>
    </row>
    <row r="54" spans="3:59" x14ac:dyDescent="0.2">
      <c r="C54" s="29">
        <v>59</v>
      </c>
      <c r="F54" s="85">
        <f>F$194*Population!K$69</f>
        <v>21167.557142857142</v>
      </c>
      <c r="G54" s="85">
        <f>G$194*Population!L$69</f>
        <v>22016.180555555555</v>
      </c>
      <c r="H54" s="85">
        <f>H$194*Population!M$69</f>
        <v>22545.853324194653</v>
      </c>
      <c r="I54" s="85">
        <f>I$194*Population!N$69</f>
        <v>23772.40091713069</v>
      </c>
      <c r="J54" s="85">
        <f>J$194*Population!O$69</f>
        <v>24349.1760904685</v>
      </c>
      <c r="K54" s="85">
        <f>K$194*Population!P$69</f>
        <v>25622.908305032419</v>
      </c>
      <c r="L54" s="85">
        <f>L$194*Population!Q$69</f>
        <v>26273.785259326662</v>
      </c>
      <c r="M54" s="85">
        <f>M$194*Population!R$69</f>
        <v>26600.833081798974</v>
      </c>
      <c r="N54" s="85">
        <f>N$194*Population!S$69</f>
        <v>26188.239654107474</v>
      </c>
      <c r="O54" s="85">
        <f>O$194*Population!T$69</f>
        <v>25404.223363286263</v>
      </c>
      <c r="P54" s="85">
        <f>P$194*Population!U$69</f>
        <v>25356.486573924296</v>
      </c>
      <c r="Q54" s="85">
        <f>Q$194*Population!V$69</f>
        <v>25931.273885350318</v>
      </c>
      <c r="R54" s="85">
        <f>R$194*Population!W$69</f>
        <v>26253.936136579196</v>
      </c>
      <c r="S54" s="85">
        <f>S$194*Population!X$69</f>
        <v>26821.269841269841</v>
      </c>
      <c r="T54" s="85">
        <f>T$194*Population!Y$69</f>
        <v>26898.154613466337</v>
      </c>
      <c r="U54" s="85">
        <f>U$194*Population!Z$69</f>
        <v>28051.96746007834</v>
      </c>
      <c r="V54" s="85">
        <f>V$194*Population!AA$69</f>
        <v>27522.377880184333</v>
      </c>
      <c r="W54" s="85">
        <f>W$194*Population!AB$69</f>
        <v>26814.425707922368</v>
      </c>
      <c r="X54" s="85">
        <f>X$194*Population!AC$69</f>
        <v>26012.69306930693</v>
      </c>
      <c r="Y54" s="85">
        <f>Y$194*Population!AD$69</f>
        <v>25118.954248366012</v>
      </c>
      <c r="Z54" s="85">
        <f>Z$194*Population!AE$69</f>
        <v>24041.053771201732</v>
      </c>
      <c r="AA54" s="85">
        <f>AA$194*Population!AF$69</f>
        <v>24229.562703288761</v>
      </c>
      <c r="AB54" s="85">
        <f>AB$194*Population!AG$69</f>
        <v>23963.111760409058</v>
      </c>
      <c r="AC54" s="85">
        <f>AC$194*Population!AH$69</f>
        <v>24864.730878186969</v>
      </c>
      <c r="AD54" s="85">
        <f>AD$194*Population!AI$69</f>
        <v>25001.24379872431</v>
      </c>
      <c r="AE54" s="85">
        <f>AE$194*Population!AJ$69</f>
        <v>25325.591246028944</v>
      </c>
      <c r="AF54" s="85">
        <f>AF$194*Population!AK$69</f>
        <v>26136.099241902139</v>
      </c>
      <c r="AG54" s="85">
        <f>AG$194*Population!AL$69</f>
        <v>26727.298482293423</v>
      </c>
      <c r="AH54" s="85">
        <f>AH$194*Population!AM$69</f>
        <v>27291.256684491978</v>
      </c>
      <c r="AI54" s="85">
        <f>AI$194*Population!AN$69</f>
        <v>28187.905604719763</v>
      </c>
      <c r="AJ54" s="85">
        <f>AJ$194*Population!AO$69</f>
        <v>28593.011031797534</v>
      </c>
      <c r="AK54" s="85">
        <f>AK$194*Population!AP$69</f>
        <v>29516.493219804477</v>
      </c>
      <c r="AL54" s="85">
        <f>AL$194*Population!AQ$69</f>
        <v>31203.248120300752</v>
      </c>
      <c r="AM54" s="85">
        <f>AM$194*Population!AR$69</f>
        <v>31923.238067177372</v>
      </c>
      <c r="AN54" s="85">
        <f>AN$194*Population!AS$69</f>
        <v>33603.291139240508</v>
      </c>
      <c r="AO54" s="85">
        <f>AO$194*Population!AT$69</f>
        <v>34821.868852459018</v>
      </c>
      <c r="AP54" s="85">
        <f>AP$194*Population!AU$69</f>
        <v>34343.321198543825</v>
      </c>
      <c r="AQ54" s="85">
        <f>AQ$194*Population!AV$69</f>
        <v>34210.084033613442</v>
      </c>
      <c r="AR54" s="85">
        <f>AR$194*Population!AW$69</f>
        <v>33292.25576758758</v>
      </c>
      <c r="AS54" s="85">
        <f>AS$194*Population!AX$69</f>
        <v>32953.796928327647</v>
      </c>
      <c r="AT54" s="85">
        <f>AT$194*Population!AY$69</f>
        <v>32168.910719445244</v>
      </c>
      <c r="AU54" s="85">
        <f>AU$194*Population!AZ$69</f>
        <v>31811.32814750792</v>
      </c>
      <c r="AV54" s="85">
        <f>AV$194*Population!BA$69</f>
        <v>30770.478413068846</v>
      </c>
      <c r="AW54" s="85">
        <f>AW$194*Population!BB$69</f>
        <v>29817.428828288881</v>
      </c>
      <c r="AX54" s="85">
        <f>AX$194*Population!BC$69</f>
        <v>30331.625328275462</v>
      </c>
      <c r="AY54" s="85">
        <f>AY$194*Population!BD$69</f>
        <v>29714.406379208503</v>
      </c>
      <c r="AZ54" s="85">
        <f>AZ$194*Population!BE$69</f>
        <v>28571.023525817294</v>
      </c>
      <c r="BA54" s="85">
        <f>BA$194*Population!BF$69</f>
        <v>28287.474560592043</v>
      </c>
      <c r="BB54" s="85">
        <f>BB$194*Population!BG$69</f>
        <v>28703.992718446603</v>
      </c>
      <c r="BC54" s="85">
        <f>BC$194*Population!BH$69</f>
        <v>28607.963358778627</v>
      </c>
      <c r="BD54" s="85">
        <f>BD$194*Population!BI$69</f>
        <v>29176.241771394376</v>
      </c>
      <c r="BE54" s="85">
        <f>BE$194*Population!BJ$69</f>
        <v>30251.892516613694</v>
      </c>
      <c r="BF54" s="85">
        <f>BF$194*Population!BK$69</f>
        <v>31267.838745800673</v>
      </c>
      <c r="BG54" s="85">
        <f>BG$194*Population!BL$69</f>
        <v>30980.2778565353</v>
      </c>
    </row>
    <row r="55" spans="3:59" x14ac:dyDescent="0.2">
      <c r="C55" s="29">
        <v>60</v>
      </c>
      <c r="F55" s="85">
        <f>F$195*Population!K$70</f>
        <v>19875.364238410595</v>
      </c>
      <c r="G55" s="85">
        <f>G$195*Population!L$70</f>
        <v>20734.335714285713</v>
      </c>
      <c r="H55" s="85">
        <f>H$195*Population!M$70</f>
        <v>21594.04314544189</v>
      </c>
      <c r="I55" s="85">
        <f>I$195*Population!N$70</f>
        <v>22118.097527472528</v>
      </c>
      <c r="J55" s="85">
        <f>J$195*Population!O$70</f>
        <v>23309.760420085331</v>
      </c>
      <c r="K55" s="85">
        <f>K$195*Population!P$70</f>
        <v>23880.197474910972</v>
      </c>
      <c r="L55" s="85">
        <f>L$195*Population!Q$70</f>
        <v>25119.022579647386</v>
      </c>
      <c r="M55" s="85">
        <f>M$195*Population!R$70</f>
        <v>25748.529769137305</v>
      </c>
      <c r="N55" s="85">
        <f>N$195*Population!S$70</f>
        <v>26092.503022974608</v>
      </c>
      <c r="O55" s="85">
        <f>O$195*Population!T$70</f>
        <v>25706.928549334985</v>
      </c>
      <c r="P55" s="85">
        <f>P$195*Population!U$70</f>
        <v>24962.172236503859</v>
      </c>
      <c r="Q55" s="85">
        <f>Q$195*Population!V$70</f>
        <v>24913.767411726596</v>
      </c>
      <c r="R55" s="85">
        <f>R$195*Population!W$70</f>
        <v>25487.563775510203</v>
      </c>
      <c r="S55" s="85">
        <f>S$195*Population!X$70</f>
        <v>25811.778481012658</v>
      </c>
      <c r="T55" s="85">
        <f>T$195*Population!Y$70</f>
        <v>26378.267912772586</v>
      </c>
      <c r="U55" s="85">
        <f>U$195*Population!Z$70</f>
        <v>26473.088923556945</v>
      </c>
      <c r="V55" s="85">
        <f>V$195*Population!AA$70</f>
        <v>27614.427020506635</v>
      </c>
      <c r="W55" s="85">
        <f>W$195*Population!AB$70</f>
        <v>27096.19926199262</v>
      </c>
      <c r="X55" s="85">
        <f>X$195*Population!AC$70</f>
        <v>26408.366762177648</v>
      </c>
      <c r="Y55" s="85">
        <f>Y$195*Population!AD$70</f>
        <v>25623.645970937912</v>
      </c>
      <c r="Z55" s="85">
        <f>Z$195*Population!AE$70</f>
        <v>24750.997935306263</v>
      </c>
      <c r="AA55" s="85">
        <f>AA$195*Population!AF$70</f>
        <v>23701.444043321302</v>
      </c>
      <c r="AB55" s="85">
        <f>AB$195*Population!AG$70</f>
        <v>23887.112396096858</v>
      </c>
      <c r="AC55" s="85">
        <f>AC$195*Population!AH$70</f>
        <v>23631.89189189189</v>
      </c>
      <c r="AD55" s="85">
        <f>AD$195*Population!AI$70</f>
        <v>24530.074388947927</v>
      </c>
      <c r="AE55" s="85">
        <f>AE$195*Population!AJ$70</f>
        <v>24647.888022678948</v>
      </c>
      <c r="AF55" s="85">
        <f>AF$195*Population!AK$70</f>
        <v>24977.797387927993</v>
      </c>
      <c r="AG55" s="85">
        <f>AG$195*Population!AL$70</f>
        <v>25766.953824948312</v>
      </c>
      <c r="AH55" s="85">
        <f>AH$195*Population!AM$70</f>
        <v>26366.273187183811</v>
      </c>
      <c r="AI55" s="85">
        <f>AI$195*Population!AN$70</f>
        <v>26915.387700534757</v>
      </c>
      <c r="AJ55" s="85">
        <f>AJ$195*Population!AO$70</f>
        <v>27807.25008194035</v>
      </c>
      <c r="AK55" s="85">
        <f>AK$195*Population!AP$70</f>
        <v>28210.869565217392</v>
      </c>
      <c r="AL55" s="85">
        <f>AL$195*Population!AQ$70</f>
        <v>29111.201513718068</v>
      </c>
      <c r="AM55" s="85">
        <f>AM$195*Population!AR$70</f>
        <v>30783.458646616538</v>
      </c>
      <c r="AN55" s="85">
        <f>AN$195*Population!AS$70</f>
        <v>31482.312223858615</v>
      </c>
      <c r="AO55" s="85">
        <f>AO$195*Population!AT$70</f>
        <v>33147.037974683546</v>
      </c>
      <c r="AP55" s="85">
        <f>AP$195*Population!AU$70</f>
        <v>34340</v>
      </c>
      <c r="AQ55" s="85">
        <f>AQ$195*Population!AV$70</f>
        <v>33867.628115373846</v>
      </c>
      <c r="AR55" s="85">
        <f>AR$195*Population!AW$70</f>
        <v>33738.263791654994</v>
      </c>
      <c r="AS55" s="85">
        <f>AS$195*Population!AX$70</f>
        <v>32836.930523917996</v>
      </c>
      <c r="AT55" s="85">
        <f>AT$195*Population!AY$70</f>
        <v>32521.433447098978</v>
      </c>
      <c r="AU55" s="85">
        <f>AU$195*Population!AZ$70</f>
        <v>31733.265954374823</v>
      </c>
      <c r="AV55" s="85">
        <f>AV$195*Population!BA$70</f>
        <v>31391.088709677417</v>
      </c>
      <c r="AW55" s="85">
        <f>AW$195*Population!BB$70</f>
        <v>30359.422572178479</v>
      </c>
      <c r="AX55" s="85">
        <f>AX$195*Population!BC$70</f>
        <v>29427.351707609345</v>
      </c>
      <c r="AY55" s="85">
        <f>AY$195*Population!BD$70</f>
        <v>29945.460910151691</v>
      </c>
      <c r="AZ55" s="85">
        <f>AZ$195*Population!BE$70</f>
        <v>29323.578387953941</v>
      </c>
      <c r="BA55" s="85">
        <f>BA$195*Population!BF$70</f>
        <v>28202.83969465649</v>
      </c>
      <c r="BB55" s="85">
        <f>BB$195*Population!BG$70</f>
        <v>27927.919876733435</v>
      </c>
      <c r="BC55" s="85">
        <f>BC$195*Population!BH$70</f>
        <v>28334.784718010917</v>
      </c>
      <c r="BD55" s="85">
        <f>BD$195*Population!BI$70</f>
        <v>28239.554470552335</v>
      </c>
      <c r="BE55" s="85">
        <f>BE$195*Population!BJ$70</f>
        <v>28805.92105263158</v>
      </c>
      <c r="BF55" s="85">
        <f>BF$195*Population!BK$70</f>
        <v>29862.37943979209</v>
      </c>
      <c r="BG55" s="85">
        <f>BG$195*Population!BL$70</f>
        <v>30848.352447552446</v>
      </c>
    </row>
    <row r="56" spans="3:59" x14ac:dyDescent="0.2">
      <c r="C56" s="29">
        <v>61</v>
      </c>
      <c r="F56" s="85">
        <f>F$196*Population!K$71</f>
        <v>18665.944319036869</v>
      </c>
      <c r="G56" s="85">
        <f>G$196*Population!L$71</f>
        <v>19388.149374540102</v>
      </c>
      <c r="H56" s="85">
        <f>H$196*Population!M$71</f>
        <v>20177.710196779964</v>
      </c>
      <c r="I56" s="85">
        <f>I$196*Population!N$71</f>
        <v>21010.247472987103</v>
      </c>
      <c r="J56" s="85">
        <f>J$196*Population!O$71</f>
        <v>21516.056434962145</v>
      </c>
      <c r="K56" s="85">
        <f>K$196*Population!P$71</f>
        <v>22690.891154225581</v>
      </c>
      <c r="L56" s="85">
        <f>L$196*Population!Q$71</f>
        <v>23227.405966277562</v>
      </c>
      <c r="M56" s="85">
        <f>M$196*Population!R$71</f>
        <v>24439.637434149365</v>
      </c>
      <c r="N56" s="85">
        <f>N$196*Population!S$71</f>
        <v>25066.561168594035</v>
      </c>
      <c r="O56" s="85">
        <f>O$196*Population!T$71</f>
        <v>25411.553133514986</v>
      </c>
      <c r="P56" s="85">
        <f>P$196*Population!U$71</f>
        <v>25054.724287484511</v>
      </c>
      <c r="Q56" s="85">
        <f>Q$196*Population!V$71</f>
        <v>24320.617760617759</v>
      </c>
      <c r="R56" s="85">
        <f>R$196*Population!W$71</f>
        <v>24299.289652935455</v>
      </c>
      <c r="S56" s="85">
        <f>S$196*Population!X$71</f>
        <v>24853.482285349506</v>
      </c>
      <c r="T56" s="85">
        <f>T$196*Population!Y$71</f>
        <v>25184.833702882486</v>
      </c>
      <c r="U56" s="85">
        <f>U$196*Population!Z$71</f>
        <v>25732.017461802308</v>
      </c>
      <c r="V56" s="85">
        <f>V$196*Population!AA$71</f>
        <v>25825.838276615676</v>
      </c>
      <c r="W56" s="85">
        <f>W$196*Population!AB$71</f>
        <v>26961.666163597947</v>
      </c>
      <c r="X56" s="85">
        <f>X$196*Population!AC$71</f>
        <v>26465.577100646355</v>
      </c>
      <c r="Y56" s="85">
        <f>Y$196*Population!AD$71</f>
        <v>25784.151003504299</v>
      </c>
      <c r="Z56" s="85">
        <f>Z$196*Population!AE$71</f>
        <v>25030.25768087215</v>
      </c>
      <c r="AA56" s="85">
        <f>AA$196*Population!AF$71</f>
        <v>24183.958691910499</v>
      </c>
      <c r="AB56" s="85">
        <f>AB$196*Population!AG$71</f>
        <v>23156.101083032492</v>
      </c>
      <c r="AC56" s="85">
        <f>AC$196*Population!AH$71</f>
        <v>23337.983375496926</v>
      </c>
      <c r="AD56" s="85">
        <f>AD$196*Population!AI$71</f>
        <v>23102.326515704892</v>
      </c>
      <c r="AE56" s="85">
        <f>AE$196*Population!AJ$71</f>
        <v>23968.247167138812</v>
      </c>
      <c r="AF56" s="85">
        <f>AF$196*Population!AK$71</f>
        <v>24102.746279234587</v>
      </c>
      <c r="AG56" s="85">
        <f>AG$196*Population!AL$71</f>
        <v>24417.670314154606</v>
      </c>
      <c r="AH56" s="85">
        <f>AH$196*Population!AM$71</f>
        <v>25200.620261888354</v>
      </c>
      <c r="AI56" s="85">
        <f>AI$196*Population!AN$71</f>
        <v>25780.735244519394</v>
      </c>
      <c r="AJ56" s="85">
        <f>AJ$196*Population!AO$71</f>
        <v>26314.841296358169</v>
      </c>
      <c r="AK56" s="85">
        <f>AK$196*Population!AP$71</f>
        <v>27177.188728702491</v>
      </c>
      <c r="AL56" s="85">
        <f>AL$196*Population!AQ$71</f>
        <v>27578.410638988</v>
      </c>
      <c r="AM56" s="85">
        <f>AM$196*Population!AR$71</f>
        <v>28455</v>
      </c>
      <c r="AN56" s="85">
        <f>AN$196*Population!AS$71</f>
        <v>30088.466626578473</v>
      </c>
      <c r="AO56" s="85">
        <f>AO$196*Population!AT$71</f>
        <v>30773.107511045655</v>
      </c>
      <c r="AP56" s="85">
        <f>AP$196*Population!AU$71</f>
        <v>32391.394825646792</v>
      </c>
      <c r="AQ56" s="85">
        <f>AQ$196*Population!AV$71</f>
        <v>33577.426229508194</v>
      </c>
      <c r="AR56" s="85">
        <f>AR$196*Population!AW$71</f>
        <v>33110.529115341546</v>
      </c>
      <c r="AS56" s="85">
        <f>AS$196*Population!AX$71</f>
        <v>32981.033034714448</v>
      </c>
      <c r="AT56" s="85">
        <f>AT$196*Population!AY$71</f>
        <v>32099.231426131511</v>
      </c>
      <c r="AU56" s="85">
        <f>AU$196*Population!AZ$71</f>
        <v>31782.96759522456</v>
      </c>
      <c r="AV56" s="85">
        <f>AV$196*Population!BA$71</f>
        <v>31029.907621247112</v>
      </c>
      <c r="AW56" s="85">
        <f>AW$196*Population!BB$71</f>
        <v>30680.647668393784</v>
      </c>
      <c r="AX56" s="85">
        <f>AX$196*Population!BC$71</f>
        <v>29693.424657534244</v>
      </c>
      <c r="AY56" s="85">
        <f>AY$196*Population!BD$71</f>
        <v>28777.066746483088</v>
      </c>
      <c r="AZ56" s="85">
        <f>AZ$196*Population!BE$71</f>
        <v>29278.338192419822</v>
      </c>
      <c r="BA56" s="85">
        <f>BA$196*Population!BF$71</f>
        <v>28683.144542772861</v>
      </c>
      <c r="BB56" s="85">
        <f>BB$196*Population!BG$71</f>
        <v>27595.14800122063</v>
      </c>
      <c r="BC56" s="85">
        <f>BC$196*Population!BH$71</f>
        <v>27312.473052048044</v>
      </c>
      <c r="BD56" s="85">
        <f>BD$196*Population!BI$71</f>
        <v>27720.169645561953</v>
      </c>
      <c r="BE56" s="85">
        <f>BE$196*Population!BJ$71</f>
        <v>27631.179878048781</v>
      </c>
      <c r="BF56" s="85">
        <f>BF$196*Population!BK$71</f>
        <v>28179.172393187931</v>
      </c>
      <c r="BG56" s="85">
        <f>BG$196*Population!BL$71</f>
        <v>29203.814195037507</v>
      </c>
    </row>
    <row r="57" spans="3:59" x14ac:dyDescent="0.2">
      <c r="C57" s="29">
        <v>62</v>
      </c>
      <c r="F57" s="85">
        <f>F$197*Population!K$72</f>
        <v>17199.482961222093</v>
      </c>
      <c r="G57" s="85">
        <f>G$197*Population!L$72</f>
        <v>18190.507900677203</v>
      </c>
      <c r="H57" s="85">
        <f>H$197*Population!M$72</f>
        <v>18888.274336283186</v>
      </c>
      <c r="I57" s="85">
        <f>I$197*Population!N$72</f>
        <v>19643.739691645751</v>
      </c>
      <c r="J57" s="85">
        <f>J$197*Population!O$72</f>
        <v>20450.006985679356</v>
      </c>
      <c r="K57" s="85">
        <f>K$197*Population!P$72</f>
        <v>20940.754912099273</v>
      </c>
      <c r="L57" s="85">
        <f>L$197*Population!Q$72</f>
        <v>22071.630971993411</v>
      </c>
      <c r="M57" s="85">
        <f>M$197*Population!R$72</f>
        <v>22599.928525016243</v>
      </c>
      <c r="N57" s="85">
        <f>N$197*Population!S$72</f>
        <v>23782.874883576529</v>
      </c>
      <c r="O57" s="85">
        <f>O$197*Population!T$72</f>
        <v>24399.439024390242</v>
      </c>
      <c r="P57" s="85">
        <f>P$197*Population!U$72</f>
        <v>24743.166515013647</v>
      </c>
      <c r="Q57" s="85">
        <f>Q$197*Population!V$72</f>
        <v>24394.663357120695</v>
      </c>
      <c r="R57" s="85">
        <f>R$197*Population!W$72</f>
        <v>23696.713917525773</v>
      </c>
      <c r="S57" s="85">
        <f>S$197*Population!X$72</f>
        <v>23684.404027281584</v>
      </c>
      <c r="T57" s="85">
        <f>T$197*Population!Y$72</f>
        <v>24227.114093959732</v>
      </c>
      <c r="U57" s="85">
        <f>U$197*Population!Z$72</f>
        <v>24550.079289565492</v>
      </c>
      <c r="V57" s="85">
        <f>V$197*Population!AA$72</f>
        <v>25093.361423220977</v>
      </c>
      <c r="W57" s="85">
        <f>W$197*Population!AB$72</f>
        <v>25178.78125</v>
      </c>
      <c r="X57" s="85">
        <f>X$197*Population!AC$72</f>
        <v>26290.471299093657</v>
      </c>
      <c r="Y57" s="85">
        <f>Y$197*Population!AD$72</f>
        <v>25805.968586387433</v>
      </c>
      <c r="Z57" s="85">
        <f>Z$197*Population!AE$72</f>
        <v>25151.801083838065</v>
      </c>
      <c r="AA57" s="85">
        <f>AA$197*Population!AF$72</f>
        <v>24424.092561983471</v>
      </c>
      <c r="AB57" s="85">
        <f>AB$197*Population!AG$72</f>
        <v>23606.060606060604</v>
      </c>
      <c r="AC57" s="85">
        <f>AC$197*Population!AH$72</f>
        <v>22608.432647165042</v>
      </c>
      <c r="AD57" s="85">
        <f>AD$197*Population!AI$72</f>
        <v>22786.529284164859</v>
      </c>
      <c r="AE57" s="85">
        <f>AE$197*Population!AJ$72</f>
        <v>22543.484295105914</v>
      </c>
      <c r="AF57" s="85">
        <f>AF$197*Population!AK$72</f>
        <v>23396.313739376772</v>
      </c>
      <c r="AG57" s="85">
        <f>AG$197*Population!AL$72</f>
        <v>23525.301204819276</v>
      </c>
      <c r="AH57" s="85">
        <f>AH$197*Population!AM$72</f>
        <v>23838.027522935779</v>
      </c>
      <c r="AI57" s="85">
        <f>AI$197*Population!AN$72</f>
        <v>24587.764381674129</v>
      </c>
      <c r="AJ57" s="85">
        <f>AJ$197*Population!AO$72</f>
        <v>25164.740391099123</v>
      </c>
      <c r="AK57" s="85">
        <f>AK$197*Population!AP$72</f>
        <v>25681.613226452904</v>
      </c>
      <c r="AL57" s="85">
        <f>AL$197*Population!AQ$72</f>
        <v>26533.781127129751</v>
      </c>
      <c r="AM57" s="85">
        <f>AM$197*Population!AR$72</f>
        <v>26912.752918287937</v>
      </c>
      <c r="AN57" s="85">
        <f>AN$197*Population!AS$72</f>
        <v>27776.627797037501</v>
      </c>
      <c r="AO57" s="85">
        <f>AO$197*Population!AT$72</f>
        <v>29359.939885782987</v>
      </c>
      <c r="AP57" s="85">
        <f>AP$197*Population!AU$72</f>
        <v>30032.252650176681</v>
      </c>
      <c r="AQ57" s="85">
        <f>AQ$197*Population!AV$72</f>
        <v>31602.012932246274</v>
      </c>
      <c r="AR57" s="85">
        <f>AR$197*Population!AW$72</f>
        <v>32748.839114995902</v>
      </c>
      <c r="AS57" s="85">
        <f>AS$197*Population!AX$72</f>
        <v>32307.674223341732</v>
      </c>
      <c r="AT57" s="85">
        <f>AT$197*Population!AY$72</f>
        <v>32181.349006437169</v>
      </c>
      <c r="AU57" s="85">
        <f>AU$197*Population!AZ$72</f>
        <v>31329.706970128023</v>
      </c>
      <c r="AV57" s="85">
        <f>AV$197*Population!BA$72</f>
        <v>31019.926115373688</v>
      </c>
      <c r="AW57" s="85">
        <f>AW$197*Population!BB$72</f>
        <v>30287.051356030006</v>
      </c>
      <c r="AX57" s="85">
        <f>AX$197*Population!BC$72</f>
        <v>29945.454545454544</v>
      </c>
      <c r="AY57" s="85">
        <f>AY$197*Population!BD$72</f>
        <v>28984.351878823185</v>
      </c>
      <c r="AZ57" s="85">
        <f>AZ$197*Population!BE$72</f>
        <v>28092.719114567753</v>
      </c>
      <c r="BA57" s="85">
        <f>BA$197*Population!BF$72</f>
        <v>28589.790209790212</v>
      </c>
      <c r="BB57" s="85">
        <f>BB$197*Population!BG$72</f>
        <v>28000.943396226416</v>
      </c>
      <c r="BC57" s="85">
        <f>BC$197*Population!BH$72</f>
        <v>26929.021341463413</v>
      </c>
      <c r="BD57" s="85">
        <f>BD$197*Population!BI$72</f>
        <v>26675.593846153846</v>
      </c>
      <c r="BE57" s="85">
        <f>BE$197*Population!BJ$72</f>
        <v>27055.841404358354</v>
      </c>
      <c r="BF57" s="85">
        <f>BF$197*Population!BK$72</f>
        <v>26964.672555589397</v>
      </c>
      <c r="BG57" s="85">
        <f>BG$197*Population!BL$72</f>
        <v>27510.501492537314</v>
      </c>
    </row>
    <row r="58" spans="3:59" x14ac:dyDescent="0.2">
      <c r="C58" s="29">
        <v>63</v>
      </c>
      <c r="F58" s="85">
        <f>F$198*Population!K$73</f>
        <v>15742.573940847322</v>
      </c>
      <c r="G58" s="85">
        <f>G$198*Population!L$73</f>
        <v>16231.732653861231</v>
      </c>
      <c r="H58" s="85">
        <f>H$198*Population!M$73</f>
        <v>17184.57940399849</v>
      </c>
      <c r="I58" s="85">
        <f>I$198*Population!N$73</f>
        <v>17860.033271719039</v>
      </c>
      <c r="J58" s="85">
        <f>J$198*Population!O$73</f>
        <v>18578.576563623294</v>
      </c>
      <c r="K58" s="85">
        <f>K$198*Population!P$73</f>
        <v>19337.314425770306</v>
      </c>
      <c r="L58" s="85">
        <f>L$198*Population!Q$73</f>
        <v>19799.93780234969</v>
      </c>
      <c r="M58" s="85">
        <f>M$198*Population!R$73</f>
        <v>20861.568174314954</v>
      </c>
      <c r="N58" s="85">
        <f>N$198*Population!S$73</f>
        <v>21374.739583333336</v>
      </c>
      <c r="O58" s="85">
        <f>O$198*Population!T$73</f>
        <v>22492.223950233281</v>
      </c>
      <c r="P58" s="85">
        <f>P$198*Population!U$73</f>
        <v>23088.005497861941</v>
      </c>
      <c r="Q58" s="85">
        <f>Q$198*Population!V$73</f>
        <v>23425.998176845944</v>
      </c>
      <c r="R58" s="85">
        <f>R$198*Population!W$73</f>
        <v>23097.296457426972</v>
      </c>
      <c r="S58" s="85">
        <f>S$198*Population!X$73</f>
        <v>22446.331074540176</v>
      </c>
      <c r="T58" s="85">
        <f>T$198*Population!Y$73</f>
        <v>22441.551219512196</v>
      </c>
      <c r="U58" s="85">
        <f>U$198*Population!Z$73</f>
        <v>22968.32</v>
      </c>
      <c r="V58" s="85">
        <f>V$198*Population!AA$73</f>
        <v>23279.733248650366</v>
      </c>
      <c r="W58" s="85">
        <f>W$198*Population!AB$73</f>
        <v>23792.693750000002</v>
      </c>
      <c r="X58" s="85">
        <f>X$198*Population!AC$73</f>
        <v>23891.429912390489</v>
      </c>
      <c r="Y58" s="85">
        <f>Y$198*Population!AD$73</f>
        <v>24929.59177502268</v>
      </c>
      <c r="Z58" s="85">
        <f>Z$198*Population!AE$73</f>
        <v>24486.448828606659</v>
      </c>
      <c r="AA58" s="85">
        <f>AA$198*Population!AF$73</f>
        <v>23865.709728867623</v>
      </c>
      <c r="AB58" s="85">
        <f>AB$198*Population!AG$73</f>
        <v>23166.666666666668</v>
      </c>
      <c r="AC58" s="85">
        <f>AC$198*Population!AH$73</f>
        <v>22405.642438856354</v>
      </c>
      <c r="AD58" s="85">
        <f>AD$198*Population!AI$73</f>
        <v>21457.508125677137</v>
      </c>
      <c r="AE58" s="85">
        <f>AE$198*Population!AJ$73</f>
        <v>21635.054229934925</v>
      </c>
      <c r="AF58" s="85">
        <f>AF$198*Population!AK$73</f>
        <v>21415.255661066472</v>
      </c>
      <c r="AG58" s="85">
        <f>AG$198*Population!AL$73</f>
        <v>22228.544102019128</v>
      </c>
      <c r="AH58" s="85">
        <f>AH$198*Population!AM$73</f>
        <v>22343.71367824238</v>
      </c>
      <c r="AI58" s="85">
        <f>AI$198*Population!AN$73</f>
        <v>22629.56245589273</v>
      </c>
      <c r="AJ58" s="85">
        <f>AJ$198*Population!AO$73</f>
        <v>23357.83672063383</v>
      </c>
      <c r="AK58" s="85">
        <f>AK$198*Population!AP$73</f>
        <v>23901.645313553607</v>
      </c>
      <c r="AL58" s="85">
        <f>AL$198*Population!AQ$73</f>
        <v>24383.901135604545</v>
      </c>
      <c r="AM58" s="85">
        <f>AM$198*Population!AR$73</f>
        <v>25189.452997052082</v>
      </c>
      <c r="AN58" s="85">
        <f>AN$198*Population!AS$73</f>
        <v>25561.021400778209</v>
      </c>
      <c r="AO58" s="85">
        <f>AO$198*Population!AT$73</f>
        <v>26368.935097668556</v>
      </c>
      <c r="AP58" s="85">
        <f>AP$198*Population!AU$73</f>
        <v>27882.428614367298</v>
      </c>
      <c r="AQ58" s="85">
        <f>AQ$198*Population!AV$73</f>
        <v>28510.473947600822</v>
      </c>
      <c r="AR58" s="85">
        <f>AR$198*Population!AW$73</f>
        <v>30014.028675850434</v>
      </c>
      <c r="AS58" s="85">
        <f>AS$198*Population!AX$73</f>
        <v>31105.162523900573</v>
      </c>
      <c r="AT58" s="85">
        <f>AT$198*Population!AY$73</f>
        <v>30672.825965304979</v>
      </c>
      <c r="AU58" s="85">
        <f>AU$198*Population!AZ$73</f>
        <v>30552.893116955791</v>
      </c>
      <c r="AV58" s="85">
        <f>AV$198*Population!BA$73</f>
        <v>29748.714448236635</v>
      </c>
      <c r="AW58" s="85">
        <f>AW$198*Population!BB$73</f>
        <v>29459.130928713435</v>
      </c>
      <c r="AX58" s="85">
        <f>AX$198*Population!BC$73</f>
        <v>28759.734640899911</v>
      </c>
      <c r="AY58" s="85">
        <f>AY$198*Population!BD$73</f>
        <v>28450.22720736267</v>
      </c>
      <c r="AZ58" s="85">
        <f>AZ$198*Population!BE$73</f>
        <v>27529.82823871907</v>
      </c>
      <c r="BA58" s="85">
        <f>BA$198*Population!BF$73</f>
        <v>26687.659192825115</v>
      </c>
      <c r="BB58" s="85">
        <f>BB$198*Population!BG$73</f>
        <v>27147.365356622999</v>
      </c>
      <c r="BC58" s="85">
        <f>BC$198*Population!BH$73</f>
        <v>26600.223924572776</v>
      </c>
      <c r="BD58" s="85">
        <f>BD$198*Population!BI$73</f>
        <v>25587.40176667682</v>
      </c>
      <c r="BE58" s="85">
        <f>BE$198*Population!BJ$73</f>
        <v>25345.09683369198</v>
      </c>
      <c r="BF58" s="85">
        <f>BF$198*Population!BK$73</f>
        <v>25707.408527366191</v>
      </c>
      <c r="BG58" s="85">
        <f>BG$198*Population!BL$73</f>
        <v>25622.300669507</v>
      </c>
    </row>
    <row r="59" spans="3:59" x14ac:dyDescent="0.2">
      <c r="C59" s="29">
        <v>64</v>
      </c>
      <c r="F59" s="85">
        <f>F$199*Population!K$74</f>
        <v>13590.801150369762</v>
      </c>
      <c r="G59" s="85">
        <f>G$199*Population!L$74</f>
        <v>14235.694277711083</v>
      </c>
      <c r="H59" s="85">
        <f>H$199*Population!M$74</f>
        <v>14704.217767295597</v>
      </c>
      <c r="I59" s="85">
        <f>I$199*Population!N$74</f>
        <v>15598.024971623156</v>
      </c>
      <c r="J59" s="85">
        <f>J$199*Population!O$74</f>
        <v>16222.58064516129</v>
      </c>
      <c r="K59" s="85">
        <f>K$199*Population!P$74</f>
        <v>16878.666186012979</v>
      </c>
      <c r="L59" s="85">
        <f>L$199*Population!Q$74</f>
        <v>17585.533707865168</v>
      </c>
      <c r="M59" s="85">
        <f>M$199*Population!R$74</f>
        <v>18024.160027710426</v>
      </c>
      <c r="N59" s="85">
        <f>N$199*Population!S$74</f>
        <v>19005.362462760677</v>
      </c>
      <c r="O59" s="85">
        <f>O$199*Population!T$74</f>
        <v>19495.022845953004</v>
      </c>
      <c r="P59" s="85">
        <f>P$199*Population!U$74</f>
        <v>20541.764889304646</v>
      </c>
      <c r="Q59" s="85">
        <f>Q$199*Population!V$74</f>
        <v>21089.862258953166</v>
      </c>
      <c r="R59" s="85">
        <f>R$199*Population!W$74</f>
        <v>21413.105968331303</v>
      </c>
      <c r="S59" s="85">
        <f>S$199*Population!X$74</f>
        <v>21130.261519302618</v>
      </c>
      <c r="T59" s="85">
        <f>T$199*Population!Y$74</f>
        <v>20544.434389140271</v>
      </c>
      <c r="U59" s="85">
        <f>U$199*Population!Z$74</f>
        <v>20556.205211726385</v>
      </c>
      <c r="V59" s="85">
        <f>V$199*Population!AA$74</f>
        <v>21047.641025641024</v>
      </c>
      <c r="W59" s="85">
        <f>W$199*Population!AB$74</f>
        <v>21329.742448330682</v>
      </c>
      <c r="X59" s="85">
        <f>X$199*Population!AC$74</f>
        <v>21821.987480438187</v>
      </c>
      <c r="Y59" s="85">
        <f>Y$199*Population!AD$74</f>
        <v>21914.448621553885</v>
      </c>
      <c r="Z59" s="85">
        <f>Z$199*Population!AE$74</f>
        <v>22877.329700272479</v>
      </c>
      <c r="AA59" s="85">
        <f>AA$199*Population!AF$74</f>
        <v>22479.567901234568</v>
      </c>
      <c r="AB59" s="85">
        <f>AB$199*Population!AG$74</f>
        <v>21912.592592592591</v>
      </c>
      <c r="AC59" s="85">
        <f>AC$199*Population!AH$74</f>
        <v>21285.746441575637</v>
      </c>
      <c r="AD59" s="85">
        <f>AD$199*Population!AI$74</f>
        <v>20578.57635298173</v>
      </c>
      <c r="AE59" s="85">
        <f>AE$199*Population!AJ$74</f>
        <v>19727.726779906036</v>
      </c>
      <c r="AF59" s="85">
        <f>AF$199*Population!AK$74</f>
        <v>19885.569620253165</v>
      </c>
      <c r="AG59" s="85">
        <f>AG$199*Population!AL$74</f>
        <v>19690.098648154915</v>
      </c>
      <c r="AH59" s="85">
        <f>AH$199*Population!AM$74</f>
        <v>20424.303931987248</v>
      </c>
      <c r="AI59" s="85">
        <f>AI$199*Population!AN$74</f>
        <v>20548.961361219426</v>
      </c>
      <c r="AJ59" s="85">
        <f>AJ$199*Population!AO$74</f>
        <v>20811.058574453069</v>
      </c>
      <c r="AK59" s="85">
        <f>AK$199*Population!AP$74</f>
        <v>21484.505683775405</v>
      </c>
      <c r="AL59" s="85">
        <f>AL$199*Population!AQ$74</f>
        <v>21977.073499662845</v>
      </c>
      <c r="AM59" s="85">
        <f>AM$199*Population!AR$74</f>
        <v>22435.911823647297</v>
      </c>
      <c r="AN59" s="85">
        <f>AN$199*Population!AS$74</f>
        <v>23173.599737962657</v>
      </c>
      <c r="AO59" s="85">
        <f>AO$199*Population!AT$74</f>
        <v>23515.460440985731</v>
      </c>
      <c r="AP59" s="85">
        <f>AP$199*Population!AU$74</f>
        <v>24252.536231884056</v>
      </c>
      <c r="AQ59" s="85">
        <f>AQ$199*Population!AV$74</f>
        <v>25648.079350766457</v>
      </c>
      <c r="AR59" s="85">
        <f>AR$199*Population!AW$74</f>
        <v>26228.572269649692</v>
      </c>
      <c r="AS59" s="85">
        <f>AS$199*Population!AX$74</f>
        <v>27608.265392184425</v>
      </c>
      <c r="AT59" s="85">
        <f>AT$199*Population!AY$74</f>
        <v>28608.850040972411</v>
      </c>
      <c r="AU59" s="85">
        <f>AU$199*Population!AZ$74</f>
        <v>28215.766648013432</v>
      </c>
      <c r="AV59" s="85">
        <f>AV$199*Population!BA$74</f>
        <v>28112.311135982094</v>
      </c>
      <c r="AW59" s="85">
        <f>AW$199*Population!BB$74</f>
        <v>27364.065965311347</v>
      </c>
      <c r="AX59" s="85">
        <f>AX$199*Population!BC$74</f>
        <v>27104.632206759445</v>
      </c>
      <c r="AY59" s="85">
        <f>AY$199*Population!BD$74</f>
        <v>26462.384659746254</v>
      </c>
      <c r="AZ59" s="85">
        <f>AZ$199*Population!BE$74</f>
        <v>26173.663024726855</v>
      </c>
      <c r="BA59" s="85">
        <f>BA$199*Population!BF$74</f>
        <v>25331.609429569267</v>
      </c>
      <c r="BB59" s="85">
        <f>BB$199*Population!BG$74</f>
        <v>24552.527636689574</v>
      </c>
      <c r="BC59" s="85">
        <f>BC$199*Population!BH$74</f>
        <v>24986.586146682188</v>
      </c>
      <c r="BD59" s="85">
        <f>BD$199*Population!BI$74</f>
        <v>24478.692579505299</v>
      </c>
      <c r="BE59" s="85">
        <f>BE$199*Population!BJ$74</f>
        <v>23542.946727549468</v>
      </c>
      <c r="BF59" s="85">
        <f>BF$199*Population!BK$74</f>
        <v>23329.419354838708</v>
      </c>
      <c r="BG59" s="85">
        <f>BG$199*Population!BL$74</f>
        <v>23664.823209428829</v>
      </c>
    </row>
    <row r="60" spans="3:59" x14ac:dyDescent="0.2">
      <c r="C60" s="29">
        <v>65</v>
      </c>
      <c r="F60" s="85">
        <f>F$200*Population!K$75</f>
        <v>11670.426229508197</v>
      </c>
      <c r="G60" s="85">
        <f>G$200*Population!L$75</f>
        <v>11860.226430629889</v>
      </c>
      <c r="H60" s="85">
        <f>H$200*Population!M$75</f>
        <v>12424.899598393573</v>
      </c>
      <c r="I60" s="85">
        <f>I$200*Population!N$75</f>
        <v>12860.138067061145</v>
      </c>
      <c r="J60" s="85">
        <f>J$200*Population!O$75</f>
        <v>13652.429764616551</v>
      </c>
      <c r="K60" s="85">
        <f>K$200*Population!P$75</f>
        <v>14211.688988095237</v>
      </c>
      <c r="L60" s="85">
        <f>L$200*Population!Q$75</f>
        <v>14818.556962025315</v>
      </c>
      <c r="M60" s="85">
        <f>M$200*Population!R$75</f>
        <v>15453.50475519549</v>
      </c>
      <c r="N60" s="85">
        <f>N$200*Population!S$75</f>
        <v>15861.327310632383</v>
      </c>
      <c r="O60" s="85">
        <f>O$200*Population!T$75</f>
        <v>16746.042496679944</v>
      </c>
      <c r="P60" s="85">
        <f>P$200*Population!U$75</f>
        <v>17185.582460732985</v>
      </c>
      <c r="Q60" s="85">
        <f>Q$200*Population!V$75</f>
        <v>18135.225140712948</v>
      </c>
      <c r="R60" s="85">
        <f>R$200*Population!W$75</f>
        <v>18632.437077961938</v>
      </c>
      <c r="S60" s="85">
        <f>S$200*Population!X$75</f>
        <v>18929.615384615383</v>
      </c>
      <c r="T60" s="85">
        <f>T$200*Population!Y$75</f>
        <v>18707.453183520596</v>
      </c>
      <c r="U60" s="85">
        <f>U$200*Population!Z$75</f>
        <v>18205.749919015227</v>
      </c>
      <c r="V60" s="85">
        <f>V$200*Population!AA$75</f>
        <v>18217.020234986943</v>
      </c>
      <c r="W60" s="85">
        <f>W$200*Population!AB$75</f>
        <v>18661.734104046242</v>
      </c>
      <c r="X60" s="85">
        <f>X$200*Population!AC$75</f>
        <v>18937.671232876713</v>
      </c>
      <c r="Y60" s="85">
        <f>Y$200*Population!AD$75</f>
        <v>19377.153605015676</v>
      </c>
      <c r="Z60" s="85">
        <f>Z$200*Population!AE$75</f>
        <v>19462.97458424851</v>
      </c>
      <c r="AA60" s="85">
        <f>AA$200*Population!AF$75</f>
        <v>20330.627843494083</v>
      </c>
      <c r="AB60" s="85">
        <f>AB$200*Population!AG$75</f>
        <v>19972.898640296662</v>
      </c>
      <c r="AC60" s="85">
        <f>AC$200*Population!AH$75</f>
        <v>19480.808823529413</v>
      </c>
      <c r="AD60" s="85">
        <f>AD$200*Population!AI$75</f>
        <v>18931.341948310139</v>
      </c>
      <c r="AE60" s="85">
        <f>AE$200*Population!AJ$75</f>
        <v>18313.599033816427</v>
      </c>
      <c r="AF60" s="85">
        <f>AF$200*Population!AK$75</f>
        <v>17555.696202531646</v>
      </c>
      <c r="AG60" s="85">
        <f>AG$200*Population!AL$75</f>
        <v>17698.631921824104</v>
      </c>
      <c r="AH60" s="85">
        <f>AH$200*Population!AM$75</f>
        <v>17534.361974405852</v>
      </c>
      <c r="AI60" s="85">
        <f>AI$200*Population!AN$75</f>
        <v>18195.44133286069</v>
      </c>
      <c r="AJ60" s="85">
        <f>AJ$200*Population!AO$75</f>
        <v>18302.407801418438</v>
      </c>
      <c r="AK60" s="85">
        <f>AK$200*Population!AP$75</f>
        <v>18527.426756088953</v>
      </c>
      <c r="AL60" s="85">
        <f>AL$200*Population!AQ$75</f>
        <v>19132.322536181942</v>
      </c>
      <c r="AM60" s="85">
        <f>AM$200*Population!AR$75</f>
        <v>19582.894736842107</v>
      </c>
      <c r="AN60" s="85">
        <f>AN$200*Population!AS$75</f>
        <v>19982.205145339125</v>
      </c>
      <c r="AO60" s="85">
        <f>AO$200*Population!AT$75</f>
        <v>20641.077981651375</v>
      </c>
      <c r="AP60" s="85">
        <f>AP$200*Population!AU$75</f>
        <v>20944.513618677043</v>
      </c>
      <c r="AQ60" s="85">
        <f>AQ$200*Population!AV$75</f>
        <v>21616.476520642922</v>
      </c>
      <c r="AR60" s="85">
        <f>AR$200*Population!AW$75</f>
        <v>22850.1503307276</v>
      </c>
      <c r="AS60" s="85">
        <f>AS$200*Population!AX$75</f>
        <v>23366.148409893995</v>
      </c>
      <c r="AT60" s="85">
        <f>AT$200*Population!AY$75</f>
        <v>24590.466816647917</v>
      </c>
      <c r="AU60" s="85">
        <f>AU$200*Population!AZ$75</f>
        <v>25487.704918032789</v>
      </c>
      <c r="AV60" s="85">
        <f>AV$200*Population!BA$75</f>
        <v>25142.829554995798</v>
      </c>
      <c r="AW60" s="85">
        <f>AW$200*Population!BB$75</f>
        <v>25037.439843312815</v>
      </c>
      <c r="AX60" s="85">
        <f>AX$200*Population!BC$75</f>
        <v>24380.915813424344</v>
      </c>
      <c r="AY60" s="85">
        <f>AY$200*Population!BD$75</f>
        <v>24139.56558773424</v>
      </c>
      <c r="AZ60" s="85">
        <f>AZ$200*Population!BE$75</f>
        <v>23574.292303257422</v>
      </c>
      <c r="BA60" s="85">
        <f>BA$200*Population!BF$75</f>
        <v>23320.57200344927</v>
      </c>
      <c r="BB60" s="85">
        <f>BB$200*Population!BG$75</f>
        <v>22579.266802443992</v>
      </c>
      <c r="BC60" s="85">
        <f>BC$200*Population!BH$75</f>
        <v>21887.637395459977</v>
      </c>
      <c r="BD60" s="85">
        <f>BD$200*Population!BI$75</f>
        <v>22271.731160896132</v>
      </c>
      <c r="BE60" s="85">
        <f>BE$200*Population!BJ$75</f>
        <v>21818.581100971445</v>
      </c>
      <c r="BF60" s="85">
        <f>BF$200*Population!BK$75</f>
        <v>20997.242848447961</v>
      </c>
      <c r="BG60" s="85">
        <f>BG$200*Population!BL$75</f>
        <v>20792.57906048511</v>
      </c>
    </row>
    <row r="61" spans="3:59" x14ac:dyDescent="0.2">
      <c r="C61" s="29">
        <v>66</v>
      </c>
      <c r="F61" s="85">
        <f>F$201*Population!K$76</f>
        <v>9537.9113924050635</v>
      </c>
      <c r="G61" s="85">
        <f>G$201*Population!L$76</f>
        <v>10025.215782983969</v>
      </c>
      <c r="H61" s="85">
        <f>H$201*Population!M$76</f>
        <v>10238.461538461539</v>
      </c>
      <c r="I61" s="85">
        <f>I$201*Population!N$76</f>
        <v>10744.562323517548</v>
      </c>
      <c r="J61" s="85">
        <f>J$201*Population!O$76</f>
        <v>11137.622820919176</v>
      </c>
      <c r="K61" s="85">
        <f>K$201*Population!P$76</f>
        <v>11846.282882195957</v>
      </c>
      <c r="L61" s="85">
        <f>L$201*Population!Q$76</f>
        <v>12347.766990291262</v>
      </c>
      <c r="M61" s="85">
        <f>M$201*Population!R$76</f>
        <v>12880.421052631578</v>
      </c>
      <c r="N61" s="85">
        <f>N$201*Population!S$76</f>
        <v>13459.844468009898</v>
      </c>
      <c r="O61" s="85">
        <f>O$201*Population!T$76</f>
        <v>13826.701534170154</v>
      </c>
      <c r="P61" s="85">
        <f>P$201*Population!U$76</f>
        <v>14614.603597601599</v>
      </c>
      <c r="Q61" s="85">
        <f>Q$201*Population!V$76</f>
        <v>15020.633617859488</v>
      </c>
      <c r="R61" s="85">
        <f>R$201*Population!W$76</f>
        <v>15862.7634880803</v>
      </c>
      <c r="S61" s="85">
        <f>S$201*Population!X$76</f>
        <v>16314.085591133005</v>
      </c>
      <c r="T61" s="85">
        <f>T$201*Population!Y$76</f>
        <v>16595.753214941826</v>
      </c>
      <c r="U61" s="85">
        <f>U$201*Population!Z$76</f>
        <v>16402.779342723006</v>
      </c>
      <c r="V61" s="85">
        <f>V$201*Population!AA$76</f>
        <v>15975.365378369599</v>
      </c>
      <c r="W61" s="85">
        <f>W$201*Population!AB$76</f>
        <v>15998.115183246073</v>
      </c>
      <c r="X61" s="85">
        <f>X$201*Population!AC$76</f>
        <v>16401.377534599294</v>
      </c>
      <c r="Y61" s="85">
        <f>Y$201*Population!AD$76</f>
        <v>16649.367816091955</v>
      </c>
      <c r="Z61" s="85">
        <f>Z$201*Population!AE$76</f>
        <v>17037.904492617028</v>
      </c>
      <c r="AA61" s="85">
        <f>AA$201*Population!AF$76</f>
        <v>17126.066037735851</v>
      </c>
      <c r="AB61" s="85">
        <f>AB$201*Population!AG$76</f>
        <v>17893.448799756912</v>
      </c>
      <c r="AC61" s="85">
        <f>AC$201*Population!AH$76</f>
        <v>17582.628482972133</v>
      </c>
      <c r="AD61" s="85">
        <f>AD$201*Population!AI$76</f>
        <v>17164.689301729661</v>
      </c>
      <c r="AE61" s="85">
        <f>AE$201*Population!AJ$76</f>
        <v>16679.074012612014</v>
      </c>
      <c r="AF61" s="85">
        <f>AF$201*Population!AK$76</f>
        <v>16138.908085694538</v>
      </c>
      <c r="AG61" s="85">
        <f>AG$201*Population!AL$76</f>
        <v>15470.532223026792</v>
      </c>
      <c r="AH61" s="85">
        <f>AH$201*Population!AM$76</f>
        <v>15604.521739130434</v>
      </c>
      <c r="AI61" s="85">
        <f>AI$201*Population!AN$76</f>
        <v>15458.851079399925</v>
      </c>
      <c r="AJ61" s="85">
        <f>AJ$201*Population!AO$76</f>
        <v>16042.271114265437</v>
      </c>
      <c r="AK61" s="85">
        <f>AK$201*Population!AP$76</f>
        <v>16133.463449254792</v>
      </c>
      <c r="AL61" s="85">
        <f>AL$201*Population!AQ$76</f>
        <v>16349.151943462897</v>
      </c>
      <c r="AM61" s="85">
        <f>AM$201*Population!AR$76</f>
        <v>16875.419110037943</v>
      </c>
      <c r="AN61" s="85">
        <f>AN$201*Population!AS$76</f>
        <v>17274.77380148548</v>
      </c>
      <c r="AO61" s="85">
        <f>AO$201*Population!AT$76</f>
        <v>17618.943497158143</v>
      </c>
      <c r="AP61" s="85">
        <f>AP$201*Population!AU$76</f>
        <v>18204.304918032787</v>
      </c>
      <c r="AQ61" s="85">
        <f>AQ$201*Population!AV$76</f>
        <v>18477.287475665151</v>
      </c>
      <c r="AR61" s="85">
        <f>AR$201*Population!AW$76</f>
        <v>19065.666982024599</v>
      </c>
      <c r="AS61" s="85">
        <f>AS$201*Population!AX$76</f>
        <v>20156.281588447655</v>
      </c>
      <c r="AT61" s="85">
        <f>AT$201*Population!AY$76</f>
        <v>20612.256923983499</v>
      </c>
      <c r="AU61" s="85">
        <f>AU$201*Population!AZ$76</f>
        <v>21688.643781654475</v>
      </c>
      <c r="AV61" s="85">
        <f>AV$201*Population!BA$76</f>
        <v>22487.731000546748</v>
      </c>
      <c r="AW61" s="85">
        <f>AW$201*Population!BB$76</f>
        <v>22174.734042553195</v>
      </c>
      <c r="AX61" s="85">
        <f>AX$201*Population!BC$76</f>
        <v>22093.309070548716</v>
      </c>
      <c r="AY61" s="85">
        <f>AY$201*Population!BD$76</f>
        <v>21523.092460881933</v>
      </c>
      <c r="AZ61" s="85">
        <f>AZ$201*Population!BE$76</f>
        <v>21302.683896620281</v>
      </c>
      <c r="BA61" s="85">
        <f>BA$201*Population!BF$76</f>
        <v>20806.389850057669</v>
      </c>
      <c r="BB61" s="85">
        <f>BB$201*Population!BG$76</f>
        <v>20589.991374353074</v>
      </c>
      <c r="BC61" s="85">
        <f>BC$201*Population!BH$76</f>
        <v>19925.360884749709</v>
      </c>
      <c r="BD61" s="85">
        <f>BD$201*Population!BI$76</f>
        <v>19320.322580645159</v>
      </c>
      <c r="BE61" s="85">
        <f>BE$201*Population!BJ$76</f>
        <v>19653.535059645037</v>
      </c>
      <c r="BF61" s="85">
        <f>BF$201*Population!BK$76</f>
        <v>19259.02001177163</v>
      </c>
      <c r="BG61" s="85">
        <f>BG$201*Population!BL$76</f>
        <v>18534.240949193794</v>
      </c>
    </row>
    <row r="62" spans="3:59" x14ac:dyDescent="0.2">
      <c r="C62" s="29">
        <v>67</v>
      </c>
      <c r="F62" s="85">
        <f>F$202*Population!K$77</f>
        <v>8029.9037254081195</v>
      </c>
      <c r="G62" s="85">
        <f>G$202*Population!L$77</f>
        <v>8173.0677966101694</v>
      </c>
      <c r="H62" s="85">
        <f>H$202*Population!M$77</f>
        <v>8602.8813559322025</v>
      </c>
      <c r="I62" s="85">
        <f>I$202*Population!N$77</f>
        <v>8790.9476309226939</v>
      </c>
      <c r="J62" s="85">
        <f>J$202*Population!O$77</f>
        <v>9243.5995135792455</v>
      </c>
      <c r="K62" s="85">
        <f>K$202*Population!P$77</f>
        <v>9585.2388535031841</v>
      </c>
      <c r="L62" s="85">
        <f>L$202*Population!Q$77</f>
        <v>10212.19839142091</v>
      </c>
      <c r="M62" s="85">
        <f>M$202*Population!R$77</f>
        <v>10642.790697674418</v>
      </c>
      <c r="N62" s="85">
        <f>N$202*Population!S$77</f>
        <v>11130.565280816922</v>
      </c>
      <c r="O62" s="85">
        <f>O$202*Population!T$77</f>
        <v>11630.635427760029</v>
      </c>
      <c r="P62" s="85">
        <f>P$202*Population!U$77</f>
        <v>11956.5756302521</v>
      </c>
      <c r="Q62" s="85">
        <f>Q$202*Population!V$77</f>
        <v>12647.33779264214</v>
      </c>
      <c r="R62" s="85">
        <f>R$202*Population!W$77</f>
        <v>13009.983520105472</v>
      </c>
      <c r="S62" s="85">
        <f>S$202*Population!X$77</f>
        <v>13734.27267002519</v>
      </c>
      <c r="T62" s="85">
        <f>T$202*Population!Y$77</f>
        <v>14144.211990111249</v>
      </c>
      <c r="U62" s="85">
        <f>U$202*Population!Z$77</f>
        <v>14386.00921658986</v>
      </c>
      <c r="V62" s="85">
        <f>V$202*Population!AA$77</f>
        <v>14237.101130653265</v>
      </c>
      <c r="W62" s="85">
        <f>W$202*Population!AB$77</f>
        <v>13864.086021505376</v>
      </c>
      <c r="X62" s="85">
        <f>X$202*Population!AC$77</f>
        <v>13888.198227765015</v>
      </c>
      <c r="Y62" s="85">
        <f>Y$202*Population!AD$77</f>
        <v>14235.758553905745</v>
      </c>
      <c r="Z62" s="85">
        <f>Z$202*Population!AE$77</f>
        <v>14460.288184438041</v>
      </c>
      <c r="AA62" s="85">
        <f>AA$202*Population!AF$77</f>
        <v>14808.506616257089</v>
      </c>
      <c r="AB62" s="85">
        <f>AB$202*Population!AG$77</f>
        <v>14878.288146279951</v>
      </c>
      <c r="AC62" s="85">
        <f>AC$202*Population!AH$77</f>
        <v>15546.398537477149</v>
      </c>
      <c r="AD62" s="85">
        <f>AD$202*Population!AI$77</f>
        <v>15282.160148975792</v>
      </c>
      <c r="AE62" s="85">
        <f>AE$202*Population!AJ$77</f>
        <v>14922.375601926164</v>
      </c>
      <c r="AF62" s="85">
        <f>AF$202*Population!AK$77</f>
        <v>14496.301962088461</v>
      </c>
      <c r="AG62" s="85">
        <f>AG$202*Population!AL$77</f>
        <v>14034.536011080332</v>
      </c>
      <c r="AH62" s="85">
        <f>AH$202*Population!AM$77</f>
        <v>13455.912223431267</v>
      </c>
      <c r="AI62" s="85">
        <f>AI$202*Population!AN$77</f>
        <v>13570.725952813067</v>
      </c>
      <c r="AJ62" s="85">
        <f>AJ$202*Population!AO$77</f>
        <v>13439.149871747893</v>
      </c>
      <c r="AK62" s="85">
        <f>AK$202*Population!AP$77</f>
        <v>13959.914712153519</v>
      </c>
      <c r="AL62" s="85">
        <f>AL$202*Population!AQ$77</f>
        <v>14036.211798152097</v>
      </c>
      <c r="AM62" s="85">
        <f>AM$202*Population!AR$77</f>
        <v>14220.817120622567</v>
      </c>
      <c r="AN62" s="85">
        <f>AN$202*Population!AS$77</f>
        <v>14679.547651933703</v>
      </c>
      <c r="AO62" s="85">
        <f>AO$202*Population!AT$77</f>
        <v>15023.541737073336</v>
      </c>
      <c r="AP62" s="85">
        <f>AP$202*Population!AU$77</f>
        <v>15340.033478406429</v>
      </c>
      <c r="AQ62" s="85">
        <f>AQ$202*Population!AV$77</f>
        <v>15841.910702560735</v>
      </c>
      <c r="AR62" s="85">
        <f>AR$202*Population!AW$77</f>
        <v>16068.415069827866</v>
      </c>
      <c r="AS62" s="85">
        <f>AS$202*Population!AX$77</f>
        <v>16584.444444444445</v>
      </c>
      <c r="AT62" s="85">
        <f>AT$202*Population!AY$77</f>
        <v>17532.547425474255</v>
      </c>
      <c r="AU62" s="85">
        <f>AU$202*Population!AZ$77</f>
        <v>17939.796520200533</v>
      </c>
      <c r="AV62" s="85">
        <f>AV$202*Population!BA$77</f>
        <v>18868.63981976908</v>
      </c>
      <c r="AW62" s="85">
        <f>AW$202*Population!BB$77</f>
        <v>19558.785225718195</v>
      </c>
      <c r="AX62" s="85">
        <f>AX$202*Population!BC$77</f>
        <v>19301.563463154947</v>
      </c>
      <c r="AY62" s="85">
        <f>AY$202*Population!BD$77</f>
        <v>19230.61922107033</v>
      </c>
      <c r="AZ62" s="85">
        <f>AZ$202*Population!BE$77</f>
        <v>18714.027896384858</v>
      </c>
      <c r="BA62" s="85">
        <f>BA$202*Population!BF$77</f>
        <v>18546.173962478682</v>
      </c>
      <c r="BB62" s="85">
        <f>BB$202*Population!BG$77</f>
        <v>18101.823427582229</v>
      </c>
      <c r="BC62" s="85">
        <f>BC$202*Population!BH$77</f>
        <v>17905.746333045729</v>
      </c>
      <c r="BD62" s="85">
        <f>BD$202*Population!BI$77</f>
        <v>17347.525473071324</v>
      </c>
      <c r="BE62" s="85">
        <f>BE$202*Population!BJ$77</f>
        <v>16818.783622235507</v>
      </c>
      <c r="BF62" s="85">
        <f>BF$202*Population!BK$77</f>
        <v>17110.739231664727</v>
      </c>
      <c r="BG62" s="85">
        <f>BG$202*Population!BL$77</f>
        <v>16770.135413600234</v>
      </c>
    </row>
    <row r="63" spans="3:59" x14ac:dyDescent="0.2">
      <c r="C63" s="29">
        <v>68</v>
      </c>
      <c r="F63" s="85">
        <f>F$203*Population!K$78</f>
        <v>6888.3593420497682</v>
      </c>
      <c r="G63" s="85">
        <f>G$203*Population!L$78</f>
        <v>7111.9949494949487</v>
      </c>
      <c r="H63" s="85">
        <f>H$203*Population!M$78</f>
        <v>7243.0887372013649</v>
      </c>
      <c r="I63" s="85">
        <f>I$203*Population!N$78</f>
        <v>7620</v>
      </c>
      <c r="J63" s="85">
        <f>J$203*Population!O$78</f>
        <v>7776.2275198661655</v>
      </c>
      <c r="K63" s="85">
        <f>K$203*Population!P$78</f>
        <v>8159.840946166395</v>
      </c>
      <c r="L63" s="85">
        <f>L$203*Population!Q$78</f>
        <v>8460.1481184947952</v>
      </c>
      <c r="M63" s="85">
        <f>M$203*Population!R$78</f>
        <v>9001.7141756548535</v>
      </c>
      <c r="N63" s="85">
        <f>N$203*Population!S$78</f>
        <v>9377.6084496416443</v>
      </c>
      <c r="O63" s="85">
        <f>O$203*Population!T$78</f>
        <v>9791.8658357771274</v>
      </c>
      <c r="P63" s="85">
        <f>P$203*Population!U$78</f>
        <v>10228.312522297538</v>
      </c>
      <c r="Q63" s="85">
        <f>Q$203*Population!V$78</f>
        <v>10517.100633356791</v>
      </c>
      <c r="R63" s="85">
        <f>R$203*Population!W$78</f>
        <v>11116.276881720431</v>
      </c>
      <c r="S63" s="85">
        <f>S$203*Population!X$78</f>
        <v>11429.841059602648</v>
      </c>
      <c r="T63" s="85">
        <f>T$203*Population!Y$78</f>
        <v>12075.996204933586</v>
      </c>
      <c r="U63" s="85">
        <f>U$203*Population!Z$78</f>
        <v>12424.618249534451</v>
      </c>
      <c r="V63" s="85">
        <f>V$203*Population!AA$78</f>
        <v>12632.588707189139</v>
      </c>
      <c r="W63" s="85">
        <f>W$203*Population!AB$78</f>
        <v>12490.895334174023</v>
      </c>
      <c r="X63" s="85">
        <f>X$203*Population!AC$78</f>
        <v>12163.374754741662</v>
      </c>
      <c r="Y63" s="85">
        <f>Y$203*Population!AD$78</f>
        <v>12192.424242424242</v>
      </c>
      <c r="Z63" s="85">
        <f>Z$203*Population!AE$78</f>
        <v>12495.438937479754</v>
      </c>
      <c r="AA63" s="85">
        <f>AA$203*Population!AF$78</f>
        <v>12686.889460154242</v>
      </c>
      <c r="AB63" s="85">
        <f>AB$203*Population!AG$78</f>
        <v>12976.09987357775</v>
      </c>
      <c r="AC63" s="85">
        <f>AC$203*Population!AH$78</f>
        <v>13043.627450980393</v>
      </c>
      <c r="AD63" s="85">
        <f>AD$203*Population!AI$78</f>
        <v>13633.915036674816</v>
      </c>
      <c r="AE63" s="85">
        <f>AE$203*Population!AJ$78</f>
        <v>13405.087173100872</v>
      </c>
      <c r="AF63" s="85">
        <f>AF$203*Population!AK$78</f>
        <v>13077.151593176699</v>
      </c>
      <c r="AG63" s="85">
        <f>AG$203*Population!AL$78</f>
        <v>12715.285095031677</v>
      </c>
      <c r="AH63" s="85">
        <f>AH$203*Population!AM$78</f>
        <v>12307.462686567163</v>
      </c>
      <c r="AI63" s="85">
        <f>AI$203*Population!AN$78</f>
        <v>11794.376590330789</v>
      </c>
      <c r="AJ63" s="85">
        <f>AJ$203*Population!AO$78</f>
        <v>11887.069090909092</v>
      </c>
      <c r="AK63" s="85">
        <f>AK$203*Population!AP$78</f>
        <v>11784.061696658098</v>
      </c>
      <c r="AL63" s="85">
        <f>AL$203*Population!AQ$78</f>
        <v>12229.024563901745</v>
      </c>
      <c r="AM63" s="85">
        <f>AM$203*Population!AR$78</f>
        <v>12301.688034188033</v>
      </c>
      <c r="AN63" s="85">
        <f>AN$203*Population!AS$78</f>
        <v>12463.559021623538</v>
      </c>
      <c r="AO63" s="85">
        <f>AO$203*Population!AT$78</f>
        <v>12852.742995503286</v>
      </c>
      <c r="AP63" s="85">
        <f>AP$203*Population!AU$78</f>
        <v>13163.18212593094</v>
      </c>
      <c r="AQ63" s="85">
        <f>AQ$203*Population!AV$78</f>
        <v>13427.971840429098</v>
      </c>
      <c r="AR63" s="85">
        <f>AR$203*Population!AW$78</f>
        <v>13868.865877712031</v>
      </c>
      <c r="AS63" s="85">
        <f>AS$203*Population!AX$78</f>
        <v>14075.884840598568</v>
      </c>
      <c r="AT63" s="85">
        <f>AT$203*Population!AY$78</f>
        <v>14531.666139740753</v>
      </c>
      <c r="AU63" s="85">
        <f>AU$203*Population!AZ$78</f>
        <v>15363.012665862485</v>
      </c>
      <c r="AV63" s="85">
        <f>AV$203*Population!BA$78</f>
        <v>15706.887182516244</v>
      </c>
      <c r="AW63" s="85">
        <f>AW$203*Population!BB$78</f>
        <v>16524.027072758039</v>
      </c>
      <c r="AX63" s="85">
        <f>AX$203*Population!BC$78</f>
        <v>17131.013698630137</v>
      </c>
      <c r="AY63" s="85">
        <f>AY$203*Population!BD$78</f>
        <v>16906.414141414141</v>
      </c>
      <c r="AZ63" s="85">
        <f>AZ$203*Population!BE$78</f>
        <v>16843.590462833097</v>
      </c>
      <c r="BA63" s="85">
        <f>BA$203*Population!BF$78</f>
        <v>16402.302650327729</v>
      </c>
      <c r="BB63" s="85">
        <f>BB$203*Population!BG$78</f>
        <v>16243.322901849218</v>
      </c>
      <c r="BC63" s="85">
        <f>BC$203*Population!BH$78</f>
        <v>15867.998844932141</v>
      </c>
      <c r="BD63" s="85">
        <f>BD$203*Population!BI$78</f>
        <v>15691.718480138168</v>
      </c>
      <c r="BE63" s="85">
        <f>BE$203*Population!BJ$78</f>
        <v>15194.312354312355</v>
      </c>
      <c r="BF63" s="85">
        <f>BF$203*Population!BK$78</f>
        <v>14728.579545454546</v>
      </c>
      <c r="BG63" s="85">
        <f>BG$203*Population!BL$78</f>
        <v>14996.942341292952</v>
      </c>
    </row>
    <row r="64" spans="3:59" x14ac:dyDescent="0.2">
      <c r="C64" s="29">
        <v>69</v>
      </c>
      <c r="F64" s="85">
        <f>F$204*Population!K$79</f>
        <v>4975.0100200400802</v>
      </c>
      <c r="G64" s="85">
        <f>G$204*Population!L$79</f>
        <v>6052.2802547770698</v>
      </c>
      <c r="H64" s="85">
        <f>H$204*Population!M$79</f>
        <v>6242.0449724225709</v>
      </c>
      <c r="I64" s="85">
        <f>I$204*Population!N$79</f>
        <v>6348.1736140954026</v>
      </c>
      <c r="J64" s="85">
        <f>J$204*Population!O$79</f>
        <v>6670.0000000000009</v>
      </c>
      <c r="K64" s="85">
        <f>K$204*Population!P$79</f>
        <v>6801.4357894736841</v>
      </c>
      <c r="L64" s="85">
        <f>L$204*Population!Q$79</f>
        <v>7133.3497536945815</v>
      </c>
      <c r="M64" s="85">
        <f>M$204*Population!R$79</f>
        <v>7388.9238210399035</v>
      </c>
      <c r="N64" s="85">
        <f>N$204*Population!S$79</f>
        <v>7849.3527131782948</v>
      </c>
      <c r="O64" s="85">
        <f>O$204*Population!T$79</f>
        <v>8180.7893738140419</v>
      </c>
      <c r="P64" s="85">
        <f>P$204*Population!U$79</f>
        <v>8535.5862831858394</v>
      </c>
      <c r="Q64" s="85">
        <f>Q$204*Population!V$79</f>
        <v>8908.6114101184066</v>
      </c>
      <c r="R64" s="85">
        <f>R$204*Population!W$79</f>
        <v>9166.2504421648391</v>
      </c>
      <c r="S64" s="85">
        <f>S$204*Population!X$79</f>
        <v>9681.0810810810817</v>
      </c>
      <c r="T64" s="85">
        <f>T$204*Population!Y$79</f>
        <v>9951.6478029294285</v>
      </c>
      <c r="U64" s="85">
        <f>U$204*Population!Z$79</f>
        <v>10506.115702479339</v>
      </c>
      <c r="V64" s="85">
        <f>V$204*Population!AA$79</f>
        <v>10806.877729257641</v>
      </c>
      <c r="W64" s="85">
        <f>W$204*Population!AB$79</f>
        <v>10991.301921884686</v>
      </c>
      <c r="X64" s="85">
        <f>X$204*Population!AC$79</f>
        <v>10859.268292682926</v>
      </c>
      <c r="Y64" s="85">
        <f>Y$204*Population!AD$79</f>
        <v>10577.66097240473</v>
      </c>
      <c r="Z64" s="85">
        <f>Z$204*Population!AE$79</f>
        <v>10589.34502150182</v>
      </c>
      <c r="AA64" s="85">
        <f>AA$204*Population!AF$79</f>
        <v>10858.230318802864</v>
      </c>
      <c r="AB64" s="85">
        <f>AB$204*Population!AG$79</f>
        <v>11016.667741935484</v>
      </c>
      <c r="AC64" s="85">
        <f>AC$204*Population!AH$79</f>
        <v>11272.208121827412</v>
      </c>
      <c r="AD64" s="85">
        <f>AD$204*Population!AI$79</f>
        <v>11327.390476190476</v>
      </c>
      <c r="AE64" s="85">
        <f>AE$204*Population!AJ$79</f>
        <v>11832.284575283657</v>
      </c>
      <c r="AF64" s="85">
        <f>AF$204*Population!AK$79</f>
        <v>11631.833801936895</v>
      </c>
      <c r="AG64" s="85">
        <f>AG$204*Population!AL$79</f>
        <v>11356.092993219245</v>
      </c>
      <c r="AH64" s="85">
        <f>AH$204*Population!AM$79</f>
        <v>11039.117056856188</v>
      </c>
      <c r="AI64" s="85">
        <f>AI$204*Population!AN$79</f>
        <v>10671.771667246781</v>
      </c>
      <c r="AJ64" s="85">
        <f>AJ$204*Population!AO$79</f>
        <v>10232.81079110463</v>
      </c>
      <c r="AK64" s="85">
        <f>AK$204*Population!AP$79</f>
        <v>10325.382932166302</v>
      </c>
      <c r="AL64" s="85">
        <f>AL$204*Population!AQ$79</f>
        <v>10224.60972017673</v>
      </c>
      <c r="AM64" s="85">
        <f>AM$204*Population!AR$79</f>
        <v>10609.721627408995</v>
      </c>
      <c r="AN64" s="85">
        <f>AN$204*Population!AS$79</f>
        <v>10670.503211991434</v>
      </c>
      <c r="AO64" s="85">
        <f>AO$204*Population!AT$79</f>
        <v>10813.928952042628</v>
      </c>
      <c r="AP64" s="85">
        <f>AP$204*Population!AU$79</f>
        <v>11164.649791955617</v>
      </c>
      <c r="AQ64" s="85">
        <f>AQ$204*Population!AV$79</f>
        <v>11416.491347132678</v>
      </c>
      <c r="AR64" s="85">
        <f>AR$204*Population!AW$79</f>
        <v>11652.883064516129</v>
      </c>
      <c r="AS64" s="85">
        <f>AS$204*Population!AX$79</f>
        <v>12038.840579710144</v>
      </c>
      <c r="AT64" s="85">
        <f>AT$204*Population!AY$79</f>
        <v>12213.347457627118</v>
      </c>
      <c r="AU64" s="85">
        <f>AU$204*Population!AZ$79</f>
        <v>12612.803294266709</v>
      </c>
      <c r="AV64" s="85">
        <f>AV$204*Population!BA$79</f>
        <v>13324.836858006041</v>
      </c>
      <c r="AW64" s="85">
        <f>AW$204*Population!BB$79</f>
        <v>13625.023668639053</v>
      </c>
      <c r="AX64" s="85">
        <f>AX$204*Population!BC$79</f>
        <v>14342.384180790961</v>
      </c>
      <c r="AY64" s="85">
        <f>AY$204*Population!BD$79</f>
        <v>14863.633369923162</v>
      </c>
      <c r="AZ64" s="85">
        <f>AZ$204*Population!BE$79</f>
        <v>14661.312166338859</v>
      </c>
      <c r="BA64" s="85">
        <f>BA$204*Population!BF$79</f>
        <v>14618.123595505618</v>
      </c>
      <c r="BB64" s="85">
        <f>BB$204*Population!BG$79</f>
        <v>14234.429223744291</v>
      </c>
      <c r="BC64" s="85">
        <f>BC$204*Population!BH$79</f>
        <v>14099.128205128205</v>
      </c>
      <c r="BD64" s="85">
        <f>BD$204*Population!BI$79</f>
        <v>13768.207056101794</v>
      </c>
      <c r="BE64" s="85">
        <f>BE$204*Population!BJ$79</f>
        <v>13624.32401268377</v>
      </c>
      <c r="BF64" s="85">
        <f>BF$204*Population!BK$79</f>
        <v>13189.28821470245</v>
      </c>
      <c r="BG64" s="85">
        <f>BG$204*Population!BL$79</f>
        <v>12796.811377245509</v>
      </c>
    </row>
    <row r="65" spans="1:59" x14ac:dyDescent="0.2">
      <c r="C65" s="29">
        <v>70</v>
      </c>
      <c r="F65" s="85">
        <f>F$205*Population!K$80</f>
        <v>4227.7547770700639</v>
      </c>
      <c r="G65" s="85">
        <f>G$205*Population!L$80</f>
        <v>4580.7319535588085</v>
      </c>
      <c r="H65" s="85">
        <f>H$205*Population!M$80</f>
        <v>5580</v>
      </c>
      <c r="I65" s="85">
        <f>I$205*Population!N$80</f>
        <v>5735.0898203592815</v>
      </c>
      <c r="J65" s="85">
        <f>J$205*Population!O$80</f>
        <v>5820.069324090121</v>
      </c>
      <c r="K65" s="85">
        <f>K$205*Population!P$80</f>
        <v>6102.5760135135142</v>
      </c>
      <c r="L65" s="85">
        <f>L$205*Population!Q$80</f>
        <v>6200.5048790835808</v>
      </c>
      <c r="M65" s="85">
        <f>M$205*Population!R$80</f>
        <v>6498.7593052109178</v>
      </c>
      <c r="N65" s="85">
        <f>N$205*Population!S$80</f>
        <v>6722.7272727272721</v>
      </c>
      <c r="O65" s="85">
        <f>O$205*Population!T$80</f>
        <v>7133.2552693208427</v>
      </c>
      <c r="P65" s="85">
        <f>P$205*Population!U$80</f>
        <v>7429.1176470588234</v>
      </c>
      <c r="Q65" s="85">
        <f>Q$205*Population!V$80</f>
        <v>7744.2152133580703</v>
      </c>
      <c r="R65" s="85">
        <f>R$205*Population!W$80</f>
        <v>8078.0065005417127</v>
      </c>
      <c r="S65" s="85">
        <f>S$205*Population!X$80</f>
        <v>8294.7597009611964</v>
      </c>
      <c r="T65" s="85">
        <f>T$205*Population!Y$80</f>
        <v>8760.8905506458195</v>
      </c>
      <c r="U65" s="85">
        <f>U$205*Population!Z$80</f>
        <v>8996.5048543689318</v>
      </c>
      <c r="V65" s="85">
        <f>V$205*Population!AA$80</f>
        <v>9495.2877237851662</v>
      </c>
      <c r="W65" s="85">
        <f>W$205*Population!AB$80</f>
        <v>9765.0188205771647</v>
      </c>
      <c r="X65" s="85">
        <f>X$205*Population!AC$80</f>
        <v>9917.029301745637</v>
      </c>
      <c r="Y65" s="85">
        <f>Y$205*Population!AD$80</f>
        <v>9799.3027698185288</v>
      </c>
      <c r="Z65" s="85">
        <f>Z$205*Population!AE$80</f>
        <v>9548.1016837240004</v>
      </c>
      <c r="AA65" s="85">
        <f>AA$205*Population!AF$80</f>
        <v>9554.569624459953</v>
      </c>
      <c r="AB65" s="85">
        <f>AB$205*Population!AG$80</f>
        <v>9783.4967320261439</v>
      </c>
      <c r="AC65" s="85">
        <f>AC$205*Population!AH$80</f>
        <v>9930.2527543745946</v>
      </c>
      <c r="AD65" s="85">
        <f>AD$205*Population!AI$80</f>
        <v>10153.170809432761</v>
      </c>
      <c r="AE65" s="85">
        <f>AE$205*Population!AJ$80</f>
        <v>10206.91743704176</v>
      </c>
      <c r="AF65" s="85">
        <f>AF$205*Population!AK$80</f>
        <v>10654.502617801047</v>
      </c>
      <c r="AG65" s="85">
        <f>AG$205*Population!AL$80</f>
        <v>10473.684540608341</v>
      </c>
      <c r="AH65" s="85">
        <f>AH$205*Population!AM$80</f>
        <v>10215.529983792543</v>
      </c>
      <c r="AI65" s="85">
        <f>AI$205*Population!AN$80</f>
        <v>9925.0755287009069</v>
      </c>
      <c r="AJ65" s="85">
        <f>AJ$205*Population!AO$80</f>
        <v>9604.8899755501225</v>
      </c>
      <c r="AK65" s="85">
        <f>AK$205*Population!AP$80</f>
        <v>9205.5596196049737</v>
      </c>
      <c r="AL65" s="85">
        <f>AL$205*Population!AQ$80</f>
        <v>9291.0021945866865</v>
      </c>
      <c r="AM65" s="85">
        <f>AM$205*Population!AR$80</f>
        <v>9188.6189069423926</v>
      </c>
      <c r="AN65" s="85">
        <f>AN$205*Population!AS$80</f>
        <v>9540.8270676691718</v>
      </c>
      <c r="AO65" s="85">
        <f>AO$205*Population!AT$80</f>
        <v>9596.5068002863263</v>
      </c>
      <c r="AP65" s="85">
        <f>AP$205*Population!AU$80</f>
        <v>9721.474884218027</v>
      </c>
      <c r="AQ65" s="85">
        <f>AQ$205*Population!AV$80</f>
        <v>10029.447340980187</v>
      </c>
      <c r="AR65" s="85">
        <f>AR$205*Population!AW$80</f>
        <v>10273.34693877551</v>
      </c>
      <c r="AS65" s="85">
        <f>AS$205*Population!AX$80</f>
        <v>10476.557763556753</v>
      </c>
      <c r="AT65" s="85">
        <f>AT$205*Population!AY$80</f>
        <v>10826.634742404227</v>
      </c>
      <c r="AU65" s="85">
        <f>AU$205*Population!AZ$80</f>
        <v>10985.632146357399</v>
      </c>
      <c r="AV65" s="85">
        <f>AV$205*Population!BA$80</f>
        <v>11334.190476190475</v>
      </c>
      <c r="AW65" s="85">
        <f>AW$205*Population!BB$80</f>
        <v>11980.696336663639</v>
      </c>
      <c r="AX65" s="85">
        <f>AX$205*Population!BC$80</f>
        <v>12256.483842276904</v>
      </c>
      <c r="AY65" s="85">
        <f>AY$205*Population!BD$80</f>
        <v>12903.624009060022</v>
      </c>
      <c r="AZ65" s="85">
        <f>AZ$205*Population!BE$80</f>
        <v>13366.967280725872</v>
      </c>
      <c r="BA65" s="85">
        <f>BA$205*Population!BF$80</f>
        <v>13183.930180180179</v>
      </c>
      <c r="BB65" s="85">
        <f>BB$205*Population!BG$80</f>
        <v>13146.130030959752</v>
      </c>
      <c r="BC65" s="85">
        <f>BC$205*Population!BH$80</f>
        <v>12803.43910806175</v>
      </c>
      <c r="BD65" s="85">
        <f>BD$205*Population!BI$80</f>
        <v>12683.727168949772</v>
      </c>
      <c r="BE65" s="85">
        <f>BE$205*Population!BJ$80</f>
        <v>12383.266724587316</v>
      </c>
      <c r="BF65" s="85">
        <f>BF$205*Population!BK$80</f>
        <v>12257.927251732102</v>
      </c>
      <c r="BG65" s="85">
        <f>BG$205*Population!BL$80</f>
        <v>11863.932223196027</v>
      </c>
    </row>
    <row r="66" spans="1:59" x14ac:dyDescent="0.2">
      <c r="C66" s="29">
        <v>71</v>
      </c>
      <c r="F66" s="85">
        <f>F$206*Population!K$81</f>
        <v>3286.2613636363635</v>
      </c>
      <c r="G66" s="85">
        <f>G$206*Population!L$81</f>
        <v>3606.1328334226032</v>
      </c>
      <c r="H66" s="85">
        <f>H$206*Population!M$81</f>
        <v>3904.0214067278284</v>
      </c>
      <c r="I66" s="85">
        <f>I$206*Population!N$81</f>
        <v>4740</v>
      </c>
      <c r="J66" s="85">
        <f>J$206*Population!O$81</f>
        <v>4867.8972366148528</v>
      </c>
      <c r="K66" s="85">
        <f>K$206*Population!P$81</f>
        <v>4936.4641608391612</v>
      </c>
      <c r="L66" s="85">
        <f>L$206*Population!Q$81</f>
        <v>5167.7981260647357</v>
      </c>
      <c r="M66" s="85">
        <f>M$206*Population!R$81</f>
        <v>5254.4929396662392</v>
      </c>
      <c r="N66" s="85">
        <f>N$206*Population!S$81</f>
        <v>5501.4422676115046</v>
      </c>
      <c r="O66" s="85">
        <f>O$206*Population!T$81</f>
        <v>5690</v>
      </c>
      <c r="P66" s="85">
        <f>P$206*Population!U$81</f>
        <v>6043.6728273692488</v>
      </c>
      <c r="Q66" s="85">
        <f>Q$206*Population!V$81</f>
        <v>6288.0369515011544</v>
      </c>
      <c r="R66" s="85">
        <f>R$206*Population!W$81</f>
        <v>6553.8056074766355</v>
      </c>
      <c r="S66" s="85">
        <f>S$206*Population!X$81</f>
        <v>6831.545454545454</v>
      </c>
      <c r="T66" s="85">
        <f>T$206*Population!Y$81</f>
        <v>7017.2580645161288</v>
      </c>
      <c r="U66" s="85">
        <f>U$206*Population!Z$81</f>
        <v>7407.8542094455843</v>
      </c>
      <c r="V66" s="85">
        <f>V$206*Population!AA$81</f>
        <v>7608.5916442048519</v>
      </c>
      <c r="W66" s="85">
        <f>W$206*Population!AB$81</f>
        <v>8024.0283140283145</v>
      </c>
      <c r="X66" s="85">
        <f>X$206*Population!AC$81</f>
        <v>8247.1126538340177</v>
      </c>
      <c r="Y66" s="85">
        <f>Y$206*Population!AD$81</f>
        <v>8375.758620689654</v>
      </c>
      <c r="Z66" s="85">
        <f>Z$206*Population!AE$81</f>
        <v>8277.2590457893039</v>
      </c>
      <c r="AA66" s="85">
        <f>AA$206*Population!AF$81</f>
        <v>8058.9644872220379</v>
      </c>
      <c r="AB66" s="85">
        <f>AB$206*Population!AG$81</f>
        <v>8065.5395923822252</v>
      </c>
      <c r="AC66" s="85">
        <f>AC$206*Population!AH$81</f>
        <v>8260.091984231276</v>
      </c>
      <c r="AD66" s="85">
        <f>AD$206*Population!AI$81</f>
        <v>8381.569521328558</v>
      </c>
      <c r="AE66" s="85">
        <f>AE$206*Population!AJ$81</f>
        <v>8573.6887608069155</v>
      </c>
      <c r="AF66" s="85">
        <f>AF$206*Population!AK$81</f>
        <v>8612.4879923150802</v>
      </c>
      <c r="AG66" s="85">
        <f>AG$206*Population!AL$81</f>
        <v>8989.7185276832661</v>
      </c>
      <c r="AH66" s="85">
        <f>AH$206*Population!AM$81</f>
        <v>8836.2015748031499</v>
      </c>
      <c r="AI66" s="85">
        <f>AI$206*Population!AN$81</f>
        <v>8620.1399739583339</v>
      </c>
      <c r="AJ66" s="85">
        <f>AJ$206*Population!AO$81</f>
        <v>8382.790697674418</v>
      </c>
      <c r="AK66" s="85">
        <f>AK$206*Population!AP$81</f>
        <v>8107.826086956522</v>
      </c>
      <c r="AL66" s="85">
        <f>AL$206*Population!AQ$81</f>
        <v>7770.9508076358297</v>
      </c>
      <c r="AM66" s="85">
        <f>AM$206*Population!AR$81</f>
        <v>7833.3039647577098</v>
      </c>
      <c r="AN66" s="85">
        <f>AN$206*Population!AS$81</f>
        <v>7757.3397554649873</v>
      </c>
      <c r="AO66" s="85">
        <f>AO$206*Population!AT$81</f>
        <v>8046.9827586206902</v>
      </c>
      <c r="AP66" s="85">
        <f>AP$206*Population!AU$81</f>
        <v>8098.48473967684</v>
      </c>
      <c r="AQ66" s="85">
        <f>AQ$206*Population!AV$81</f>
        <v>8209.560557341907</v>
      </c>
      <c r="AR66" s="85">
        <f>AR$206*Population!AW$81</f>
        <v>8465.4637377963736</v>
      </c>
      <c r="AS66" s="85">
        <f>AS$206*Population!AX$81</f>
        <v>8667.9631525076766</v>
      </c>
      <c r="AT66" s="85">
        <f>AT$206*Population!AY$81</f>
        <v>8841.1347517730501</v>
      </c>
      <c r="AU66" s="85">
        <f>AU$206*Population!AZ$81</f>
        <v>9138.2450331125838</v>
      </c>
      <c r="AV66" s="85">
        <f>AV$206*Population!BA$81</f>
        <v>9269.3973141172628</v>
      </c>
      <c r="AW66" s="85">
        <f>AW$206*Population!BB$81</f>
        <v>9569.4462126034377</v>
      </c>
      <c r="AX66" s="85">
        <f>AX$206*Population!BC$81</f>
        <v>10116.174863387978</v>
      </c>
      <c r="AY66" s="85">
        <f>AY$206*Population!BD$81</f>
        <v>10341.307578008917</v>
      </c>
      <c r="AZ66" s="85">
        <f>AZ$206*Population!BE$81</f>
        <v>10886.126560726447</v>
      </c>
      <c r="BA66" s="85">
        <f>BA$206*Population!BF$81</f>
        <v>11286.642778390298</v>
      </c>
      <c r="BB66" s="85">
        <f>BB$206*Population!BG$81</f>
        <v>11139.319977426636</v>
      </c>
      <c r="BC66" s="85">
        <f>BC$206*Population!BH$81</f>
        <v>11094.54314720812</v>
      </c>
      <c r="BD66" s="85">
        <f>BD$206*Population!BI$81</f>
        <v>10807.218562016613</v>
      </c>
      <c r="BE66" s="85">
        <f>BE$206*Population!BJ$81</f>
        <v>10712.118959107807</v>
      </c>
      <c r="BF66" s="85">
        <f>BF$206*Population!BK$81</f>
        <v>10462.112594312246</v>
      </c>
      <c r="BG66" s="85">
        <f>BG$206*Population!BL$81</f>
        <v>10354.538617298236</v>
      </c>
    </row>
    <row r="67" spans="1:59" x14ac:dyDescent="0.2">
      <c r="C67" s="29">
        <v>72</v>
      </c>
      <c r="F67" s="85">
        <f>F$207*Population!K$82</f>
        <v>2396.9270166453261</v>
      </c>
      <c r="G67" s="85">
        <f>G$207*Population!L$82</f>
        <v>2768.8353413654618</v>
      </c>
      <c r="H67" s="85">
        <f>H$207*Population!M$82</f>
        <v>3038.3540877097994</v>
      </c>
      <c r="I67" s="85">
        <f>I$207*Population!N$82</f>
        <v>3286.6099948480164</v>
      </c>
      <c r="J67" s="85">
        <f>J$207*Population!O$82</f>
        <v>3990.0000000000005</v>
      </c>
      <c r="K67" s="85">
        <f>K$207*Population!P$82</f>
        <v>4094.635848233755</v>
      </c>
      <c r="L67" s="85">
        <f>L$207*Population!Q$82</f>
        <v>4141.8270079435124</v>
      </c>
      <c r="M67" s="85">
        <f>M$207*Population!R$82</f>
        <v>4334.4024075666384</v>
      </c>
      <c r="N67" s="85">
        <f>N$207*Population!S$82</f>
        <v>4410</v>
      </c>
      <c r="O67" s="85">
        <f>O$207*Population!T$82</f>
        <v>4617.7576777450568</v>
      </c>
      <c r="P67" s="85">
        <f>P$207*Population!U$82</f>
        <v>4766.062732150227</v>
      </c>
      <c r="Q67" s="85">
        <f>Q$207*Population!V$82</f>
        <v>5057.9928599761997</v>
      </c>
      <c r="R67" s="85">
        <f>R$207*Population!W$82</f>
        <v>5256.4610011641444</v>
      </c>
      <c r="S67" s="85">
        <f>S$207*Population!X$82</f>
        <v>5482.8560663149965</v>
      </c>
      <c r="T67" s="85">
        <f>T$207*Population!Y$82</f>
        <v>5707.7024551117629</v>
      </c>
      <c r="U67" s="85">
        <f>U$207*Population!Z$82</f>
        <v>5862.4368231046938</v>
      </c>
      <c r="V67" s="85">
        <f>V$207*Population!AA$82</f>
        <v>6194.5191313340229</v>
      </c>
      <c r="W67" s="85">
        <f>W$207*Population!AB$82</f>
        <v>6355.5819477434679</v>
      </c>
      <c r="X67" s="85">
        <f>X$207*Population!AC$82</f>
        <v>6699.5464852607711</v>
      </c>
      <c r="Y67" s="85">
        <f>Y$207*Population!AD$82</f>
        <v>6882.0711562897077</v>
      </c>
      <c r="Z67" s="85">
        <f>Z$207*Population!AE$82</f>
        <v>6989.8769327863674</v>
      </c>
      <c r="AA67" s="85">
        <f>AA$207*Population!AF$82</f>
        <v>6905.6894329896904</v>
      </c>
      <c r="AB67" s="85">
        <f>AB$207*Population!AG$82</f>
        <v>6723.8864774624371</v>
      </c>
      <c r="AC67" s="85">
        <f>AC$207*Population!AH$82</f>
        <v>6727.7184139784949</v>
      </c>
      <c r="AD67" s="85">
        <f>AD$207*Population!AI$82</f>
        <v>6888.255698711595</v>
      </c>
      <c r="AE67" s="85">
        <f>AE$207*Population!AJ$82</f>
        <v>6990.0589390962677</v>
      </c>
      <c r="AF67" s="85">
        <f>AF$207*Population!AK$82</f>
        <v>7148.5447520927237</v>
      </c>
      <c r="AG67" s="85">
        <f>AG$207*Population!AL$82</f>
        <v>7185.9832635983266</v>
      </c>
      <c r="AH67" s="85">
        <f>AH$207*Population!AM$82</f>
        <v>7501.7718371153242</v>
      </c>
      <c r="AI67" s="85">
        <f>AI$207*Population!AN$82</f>
        <v>7361.658227848101</v>
      </c>
      <c r="AJ67" s="85">
        <f>AJ$207*Population!AO$82</f>
        <v>7188.6363636363631</v>
      </c>
      <c r="AK67" s="85">
        <f>AK$207*Population!AP$82</f>
        <v>6987.4441435341905</v>
      </c>
      <c r="AL67" s="85">
        <f>AL$207*Population!AQ$82</f>
        <v>6760.6478873239439</v>
      </c>
      <c r="AM67" s="85">
        <f>AM$207*Population!AR$82</f>
        <v>6481.0910431256907</v>
      </c>
      <c r="AN67" s="85">
        <f>AN$207*Population!AS$82</f>
        <v>6537.3239955768522</v>
      </c>
      <c r="AO67" s="85">
        <f>AO$207*Population!AT$82</f>
        <v>6473.958333333333</v>
      </c>
      <c r="AP67" s="85">
        <f>AP$207*Population!AU$82</f>
        <v>6713.0785868781541</v>
      </c>
      <c r="AQ67" s="85">
        <f>AQ$207*Population!AV$82</f>
        <v>6747.3297297297295</v>
      </c>
      <c r="AR67" s="85">
        <f>AR$207*Population!AW$82</f>
        <v>6838.2932950878449</v>
      </c>
      <c r="AS67" s="85">
        <f>AS$207*Population!AX$82</f>
        <v>7055.7872638208537</v>
      </c>
      <c r="AT67" s="85">
        <f>AT$207*Population!AY$82</f>
        <v>7219.7946611909647</v>
      </c>
      <c r="AU67" s="85">
        <f>AU$207*Population!AZ$82</f>
        <v>7370.4642494069803</v>
      </c>
      <c r="AV67" s="85">
        <f>AV$207*Population!BA$82</f>
        <v>7616.3666555961472</v>
      </c>
      <c r="AW67" s="85">
        <f>AW$207*Population!BB$82</f>
        <v>7731.2746386333765</v>
      </c>
      <c r="AX67" s="85">
        <f>AX$207*Population!BC$82</f>
        <v>7972.1672518353016</v>
      </c>
      <c r="AY67" s="85">
        <f>AY$207*Population!BD$82</f>
        <v>8427.960426179603</v>
      </c>
      <c r="AZ67" s="85">
        <f>AZ$207*Population!BE$82</f>
        <v>8631.2131147540986</v>
      </c>
      <c r="BA67" s="85">
        <f>BA$207*Population!BF$82</f>
        <v>9077.9282868525897</v>
      </c>
      <c r="BB67" s="85">
        <f>BB$207*Population!BG$82</f>
        <v>9405.1174357557338</v>
      </c>
      <c r="BC67" s="85">
        <f>BC$207*Population!BH$82</f>
        <v>9284.5289957567184</v>
      </c>
      <c r="BD67" s="85">
        <f>BD$207*Population!BI$82</f>
        <v>9249.3977947413059</v>
      </c>
      <c r="BE67" s="85">
        <f>BE$207*Population!BJ$82</f>
        <v>9017.5761056863867</v>
      </c>
      <c r="BF67" s="85">
        <f>BF$207*Population!BK$82</f>
        <v>8927.9678991114943</v>
      </c>
      <c r="BG67" s="85">
        <f>BG$207*Population!BL$82</f>
        <v>8726.5309683047399</v>
      </c>
    </row>
    <row r="68" spans="1:59" x14ac:dyDescent="0.2">
      <c r="C68" s="29">
        <v>73</v>
      </c>
      <c r="F68" s="85">
        <f>F$208*Population!K$83</f>
        <v>2164.9417249417247</v>
      </c>
      <c r="G68" s="85">
        <f>G$208*Population!L$83</f>
        <v>2026.0556994818653</v>
      </c>
      <c r="H68" s="85">
        <f>H$208*Population!M$83</f>
        <v>2331.841952353283</v>
      </c>
      <c r="I68" s="85">
        <f>I$208*Population!N$83</f>
        <v>2567.1835616438357</v>
      </c>
      <c r="J68" s="85">
        <f>J$208*Population!O$83</f>
        <v>2775.6539864512765</v>
      </c>
      <c r="K68" s="85">
        <f>K$208*Population!P$83</f>
        <v>3368.5101679929267</v>
      </c>
      <c r="L68" s="85">
        <f>L$208*Population!Q$83</f>
        <v>3453.8977072310404</v>
      </c>
      <c r="M68" s="85">
        <f>M$208*Population!R$83</f>
        <v>3498.4388938447814</v>
      </c>
      <c r="N68" s="85">
        <f>N$208*Population!S$83</f>
        <v>3662.0286707211117</v>
      </c>
      <c r="O68" s="85">
        <f>O$208*Population!T$83</f>
        <v>3716.7553423462714</v>
      </c>
      <c r="P68" s="85">
        <f>P$208*Population!U$83</f>
        <v>3893.3050127442648</v>
      </c>
      <c r="Q68" s="85">
        <f>Q$208*Population!V$83</f>
        <v>4023.2833333333333</v>
      </c>
      <c r="R68" s="85">
        <f>R$208*Population!W$83</f>
        <v>4271.937550040032</v>
      </c>
      <c r="S68" s="85">
        <f>S$208*Population!X$83</f>
        <v>4437.6272513703989</v>
      </c>
      <c r="T68" s="85">
        <f>T$208*Population!Y$83</f>
        <v>4624.4773850247057</v>
      </c>
      <c r="U68" s="85">
        <f>U$208*Population!Z$83</f>
        <v>4818.8617886178863</v>
      </c>
      <c r="V68" s="85">
        <f>V$208*Population!AA$83</f>
        <v>4951.1103021477975</v>
      </c>
      <c r="W68" s="85">
        <f>W$208*Population!AB$83</f>
        <v>5224.2633773453781</v>
      </c>
      <c r="X68" s="85">
        <f>X$208*Population!AC$83</f>
        <v>5363.6662106703152</v>
      </c>
      <c r="Y68" s="85">
        <f>Y$208*Population!AD$83</f>
        <v>5658.5182767624019</v>
      </c>
      <c r="Z68" s="85">
        <f>Z$208*Population!AE$83</f>
        <v>5812.4672</v>
      </c>
      <c r="AA68" s="85">
        <f>AA$208*Population!AF$83</f>
        <v>5905.7673975214493</v>
      </c>
      <c r="AB68" s="85">
        <f>AB$208*Population!AG$83</f>
        <v>5831.0188189487344</v>
      </c>
      <c r="AC68" s="85">
        <f>AC$208*Population!AH$83</f>
        <v>5676.4336134453788</v>
      </c>
      <c r="AD68" s="85">
        <f>AD$208*Population!AI$83</f>
        <v>5676.2394318566121</v>
      </c>
      <c r="AE68" s="85">
        <f>AE$208*Population!AJ$83</f>
        <v>5815.5917553191493</v>
      </c>
      <c r="AF68" s="85">
        <f>AF$208*Population!AK$83</f>
        <v>5901.844532279315</v>
      </c>
      <c r="AG68" s="85">
        <f>AG$208*Population!AL$83</f>
        <v>6039.4753886010367</v>
      </c>
      <c r="AH68" s="85">
        <f>AH$208*Population!AM$83</f>
        <v>6065.6523146649406</v>
      </c>
      <c r="AI68" s="85">
        <f>AI$208*Population!AN$83</f>
        <v>6326.176930290716</v>
      </c>
      <c r="AJ68" s="85">
        <f>AJ$208*Population!AO$83</f>
        <v>6219.392300349984</v>
      </c>
      <c r="AK68" s="85">
        <f>AK$208*Population!AP$83</f>
        <v>6070.6837606837607</v>
      </c>
      <c r="AL68" s="85">
        <f>AL$208*Population!AQ$83</f>
        <v>5896.4545763865262</v>
      </c>
      <c r="AM68" s="85">
        <f>AM$208*Population!AR$83</f>
        <v>5704.2073602264682</v>
      </c>
      <c r="AN68" s="85">
        <f>AN$208*Population!AS$83</f>
        <v>5466.3185185185184</v>
      </c>
      <c r="AO68" s="85">
        <f>AO$208*Population!AT$83</f>
        <v>5513.5431321732694</v>
      </c>
      <c r="AP68" s="85">
        <f>AP$208*Population!AU$83</f>
        <v>5460.2913709376162</v>
      </c>
      <c r="AQ68" s="85">
        <f>AQ$208*Population!AV$83</f>
        <v>5667.469225199131</v>
      </c>
      <c r="AR68" s="85">
        <f>AR$208*Population!AW$83</f>
        <v>5707.1226927252983</v>
      </c>
      <c r="AS68" s="85">
        <f>AS$208*Population!AX$83</f>
        <v>5778.0669546436284</v>
      </c>
      <c r="AT68" s="85">
        <f>AT$208*Population!AY$83</f>
        <v>5956.4243062873202</v>
      </c>
      <c r="AU68" s="85">
        <f>AU$208*Population!AZ$83</f>
        <v>6098.5125386465124</v>
      </c>
      <c r="AV68" s="85">
        <f>AV$208*Population!BA$83</f>
        <v>6226.8208092485547</v>
      </c>
      <c r="AW68" s="85">
        <f>AW$208*Population!BB$83</f>
        <v>6436.95</v>
      </c>
      <c r="AX68" s="85">
        <f>AX$208*Population!BC$83</f>
        <v>6525.7467853610287</v>
      </c>
      <c r="AY68" s="85">
        <f>AY$208*Population!BD$83</f>
        <v>6741.3160422670508</v>
      </c>
      <c r="AZ68" s="85">
        <f>AZ$208*Population!BE$83</f>
        <v>7120.5009163103241</v>
      </c>
      <c r="BA68" s="85">
        <f>BA$208*Population!BF$83</f>
        <v>7286.0269058295971</v>
      </c>
      <c r="BB68" s="85">
        <f>BB$208*Population!BG$83</f>
        <v>7672.2951755638023</v>
      </c>
      <c r="BC68" s="85">
        <f>BC$208*Population!BH$83</f>
        <v>7957.0731707317073</v>
      </c>
      <c r="BD68" s="85">
        <f>BD$208*Population!BI$83</f>
        <v>7844.4680851063822</v>
      </c>
      <c r="BE68" s="85">
        <f>BE$208*Population!BJ$83</f>
        <v>7826.0731499858239</v>
      </c>
      <c r="BF68" s="85">
        <f>BF$208*Population!BK$83</f>
        <v>7617.9556579326227</v>
      </c>
      <c r="BG68" s="85">
        <f>BG$208*Population!BL$83</f>
        <v>7556.8017241379312</v>
      </c>
    </row>
    <row r="69" spans="1:59" x14ac:dyDescent="0.2">
      <c r="C69" s="29">
        <v>74</v>
      </c>
      <c r="F69" s="85">
        <f>F$209*Population!K$84</f>
        <v>1784.5888754534462</v>
      </c>
      <c r="G69" s="85">
        <f>G$209*Population!L$84</f>
        <v>1899.8524203069658</v>
      </c>
      <c r="H69" s="85">
        <f>H$209*Population!M$84</f>
        <v>1775.3250164149704</v>
      </c>
      <c r="I69" s="85">
        <f>I$209*Population!N$84</f>
        <v>2041.5538552089463</v>
      </c>
      <c r="J69" s="85">
        <f>J$209*Population!O$84</f>
        <v>2237.5124930594116</v>
      </c>
      <c r="K69" s="85">
        <f>K$209*Population!P$84</f>
        <v>2413.614775725594</v>
      </c>
      <c r="L69" s="85">
        <f>L$209*Population!Q$84</f>
        <v>2926.0653536257837</v>
      </c>
      <c r="M69" s="85">
        <f>M$209*Population!R$84</f>
        <v>3000.5979473449352</v>
      </c>
      <c r="N69" s="85">
        <f>N$209*Population!S$84</f>
        <v>3035.884476534296</v>
      </c>
      <c r="O69" s="85">
        <f>O$209*Population!T$84</f>
        <v>3170.2196836555358</v>
      </c>
      <c r="P69" s="85">
        <f>P$209*Population!U$84</f>
        <v>3214.320987654321</v>
      </c>
      <c r="Q69" s="85">
        <f>Q$209*Population!V$84</f>
        <v>3360.0000000000005</v>
      </c>
      <c r="R69" s="85">
        <f>R$209*Population!W$84</f>
        <v>3471.212121212121</v>
      </c>
      <c r="S69" s="85">
        <f>S$209*Population!X$84</f>
        <v>3685.9522846744844</v>
      </c>
      <c r="T69" s="85">
        <f>T$209*Population!Y$84</f>
        <v>3831.0913404507705</v>
      </c>
      <c r="U69" s="85">
        <f>U$209*Population!Z$84</f>
        <v>3989.8042977743671</v>
      </c>
      <c r="V69" s="85">
        <f>V$209*Population!AA$84</f>
        <v>4150.7348004475944</v>
      </c>
      <c r="W69" s="85">
        <f>W$209*Population!AB$84</f>
        <v>4264.1880969875092</v>
      </c>
      <c r="X69" s="85">
        <f>X$209*Population!AC$84</f>
        <v>4496.6351209253417</v>
      </c>
      <c r="Y69" s="85">
        <f>Y$209*Population!AD$84</f>
        <v>4616.3366678164884</v>
      </c>
      <c r="Z69" s="85">
        <f>Z$209*Population!AE$84</f>
        <v>4861.797235023042</v>
      </c>
      <c r="AA69" s="85">
        <f>AA$209*Population!AF$84</f>
        <v>4993.6000000000004</v>
      </c>
      <c r="AB69" s="85">
        <f>AB$209*Population!AG$84</f>
        <v>5076.7232543241516</v>
      </c>
      <c r="AC69" s="85">
        <f>AC$209*Population!AH$84</f>
        <v>5008.2543314808763</v>
      </c>
      <c r="AD69" s="85">
        <f>AD$209*Population!AI$84</f>
        <v>4871.5204876396883</v>
      </c>
      <c r="AE69" s="85">
        <f>AE$209*Population!AJ$84</f>
        <v>4869.9420980926434</v>
      </c>
      <c r="AF69" s="85">
        <f>AF$209*Population!AK$84</f>
        <v>4995.1137884872833</v>
      </c>
      <c r="AG69" s="85">
        <f>AG$209*Population!AL$84</f>
        <v>5063.6417910447763</v>
      </c>
      <c r="AH69" s="85">
        <f>AH$209*Population!AM$84</f>
        <v>5177.0990873533246</v>
      </c>
      <c r="AI69" s="85">
        <f>AI$209*Population!AN$84</f>
        <v>5204.1446725317692</v>
      </c>
      <c r="AJ69" s="85">
        <f>AJ$209*Population!AO$84</f>
        <v>5427.4866310160423</v>
      </c>
      <c r="AK69" s="85">
        <f>AK$209*Population!AP$84</f>
        <v>5332.8745198463503</v>
      </c>
      <c r="AL69" s="85">
        <f>AL$209*Population!AQ$84</f>
        <v>5210</v>
      </c>
      <c r="AM69" s="85">
        <f>AM$209*Population!AR$84</f>
        <v>5055</v>
      </c>
      <c r="AN69" s="85">
        <f>AN$209*Population!AS$84</f>
        <v>4888.5450017787271</v>
      </c>
      <c r="AO69" s="85">
        <f>AO$209*Population!AT$84</f>
        <v>4690.5956813104985</v>
      </c>
      <c r="AP69" s="85">
        <f>AP$209*Population!AU$84</f>
        <v>4734.4622255303311</v>
      </c>
      <c r="AQ69" s="85">
        <f>AQ$209*Population!AV$84</f>
        <v>4682.6651651651655</v>
      </c>
      <c r="AR69" s="85">
        <f>AR$209*Population!AW$84</f>
        <v>4863.2229901782466</v>
      </c>
      <c r="AS69" s="85">
        <f>AS$209*Population!AX$84</f>
        <v>4886.49945474373</v>
      </c>
      <c r="AT69" s="85">
        <f>AT$209*Population!AY$84</f>
        <v>4955.4864376130199</v>
      </c>
      <c r="AU69" s="85">
        <f>AU$209*Population!AZ$84</f>
        <v>5115.950617283951</v>
      </c>
      <c r="AV69" s="85">
        <f>AV$209*Population!BA$84</f>
        <v>5238.0227743271225</v>
      </c>
      <c r="AW69" s="85">
        <f>AW$209*Population!BB$84</f>
        <v>5346.8032786885242</v>
      </c>
      <c r="AX69" s="85">
        <f>AX$209*Population!BC$84</f>
        <v>5522.336010709505</v>
      </c>
      <c r="AY69" s="85">
        <f>AY$209*Population!BD$84</f>
        <v>5607.8358702845799</v>
      </c>
      <c r="AZ69" s="85">
        <f>AZ$209*Population!BE$84</f>
        <v>5788.1356477017034</v>
      </c>
      <c r="BA69" s="85">
        <f>BA$209*Population!BF$84</f>
        <v>6113.3415082771307</v>
      </c>
      <c r="BB69" s="85">
        <f>BB$209*Population!BG$84</f>
        <v>6256.9456945694574</v>
      </c>
      <c r="BC69" s="85">
        <f>BC$209*Population!BH$84</f>
        <v>6591.3491836150106</v>
      </c>
      <c r="BD69" s="85">
        <f>BD$209*Population!BI$84</f>
        <v>6824.3937708565072</v>
      </c>
      <c r="BE69" s="85">
        <f>BE$209*Population!BJ$84</f>
        <v>6736.379163108455</v>
      </c>
      <c r="BF69" s="85">
        <f>BF$209*Population!BK$84</f>
        <v>6720.18771331058</v>
      </c>
      <c r="BG69" s="85">
        <f>BG$209*Population!BL$84</f>
        <v>6547.7100779670809</v>
      </c>
    </row>
    <row r="70" spans="1:59" x14ac:dyDescent="0.2">
      <c r="C70" s="29">
        <v>75</v>
      </c>
      <c r="F70" s="85">
        <f>F$210*Population!K$85</f>
        <v>1468.0478087649401</v>
      </c>
      <c r="G70" s="85">
        <f>G$210*Population!L$85</f>
        <v>1654.9048496009823</v>
      </c>
      <c r="H70" s="85">
        <f>H$210*Population!M$85</f>
        <v>1751.5536892621476</v>
      </c>
      <c r="I70" s="85">
        <f>I$210*Population!N$85</f>
        <v>1624.5702864756829</v>
      </c>
      <c r="J70" s="85">
        <f>J$210*Population!O$85</f>
        <v>1871.0155316606929</v>
      </c>
      <c r="K70" s="85">
        <f>K$210*Population!P$85</f>
        <v>2045.382882882883</v>
      </c>
      <c r="L70" s="85">
        <f>L$210*Population!Q$85</f>
        <v>2202.9014989293364</v>
      </c>
      <c r="M70" s="85">
        <f>M$210*Population!R$85</f>
        <v>2663.9428312159707</v>
      </c>
      <c r="N70" s="85">
        <f>N$210*Population!S$85</f>
        <v>2720.1221166892806</v>
      </c>
      <c r="O70" s="85">
        <f>O$210*Population!T$85</f>
        <v>2744.9702789208959</v>
      </c>
      <c r="P70" s="85">
        <f>P$210*Population!U$85</f>
        <v>2869.7463284379173</v>
      </c>
      <c r="Q70" s="85">
        <f>Q$210*Population!V$85</f>
        <v>2913.4821428571431</v>
      </c>
      <c r="R70" s="85">
        <f>R$210*Population!W$85</f>
        <v>3037.3588184187661</v>
      </c>
      <c r="S70" s="85">
        <f>S$210*Population!X$85</f>
        <v>3140.6090289608173</v>
      </c>
      <c r="T70" s="85">
        <f>T$210*Population!Y$85</f>
        <v>3322.714636140638</v>
      </c>
      <c r="U70" s="85">
        <f>U$210*Population!Z$85</f>
        <v>3446.4508393285369</v>
      </c>
      <c r="V70" s="85">
        <f>V$210*Population!AA$85</f>
        <v>3583.8425746413336</v>
      </c>
      <c r="W70" s="85">
        <f>W$210*Population!AB$85</f>
        <v>3735.1715039577839</v>
      </c>
      <c r="X70" s="85">
        <f>X$210*Population!AC$85</f>
        <v>3828.2003710575136</v>
      </c>
      <c r="Y70" s="85">
        <f>Y$210*Population!AD$85</f>
        <v>4042.7681415929205</v>
      </c>
      <c r="Z70" s="85">
        <f>Z$210*Population!AE$85</f>
        <v>4150.1253481894146</v>
      </c>
      <c r="AA70" s="85">
        <f>AA$210*Population!AF$85</f>
        <v>4365.9534883720935</v>
      </c>
      <c r="AB70" s="85">
        <f>AB$210*Population!AG$85</f>
        <v>4489.036458333333</v>
      </c>
      <c r="AC70" s="85">
        <f>AC$210*Population!AH$85</f>
        <v>4549.3441033925683</v>
      </c>
      <c r="AD70" s="85">
        <f>AD$210*Population!AI$85</f>
        <v>4501.351796900758</v>
      </c>
      <c r="AE70" s="85">
        <f>AE$210*Population!AJ$85</f>
        <v>4371.8026630249233</v>
      </c>
      <c r="AF70" s="85">
        <f>AF$210*Population!AK$85</f>
        <v>4370.8791208791208</v>
      </c>
      <c r="AG70" s="85">
        <f>AG$210*Population!AL$85</f>
        <v>4484.6153846153848</v>
      </c>
      <c r="AH70" s="85">
        <f>AH$210*Population!AM$85</f>
        <v>4540.6949548947541</v>
      </c>
      <c r="AI70" s="85">
        <f>AI$210*Population!AN$85</f>
        <v>4642.8430728824687</v>
      </c>
      <c r="AJ70" s="85">
        <f>AJ$210*Population!AO$85</f>
        <v>4669.212598425197</v>
      </c>
      <c r="AK70" s="85">
        <f>AK$210*Population!AP$85</f>
        <v>4870.8362369337974</v>
      </c>
      <c r="AL70" s="85">
        <f>AL$210*Population!AQ$85</f>
        <v>4787.6506606509829</v>
      </c>
      <c r="AM70" s="85">
        <f>AM$210*Population!AR$85</f>
        <v>4670.4159733777033</v>
      </c>
      <c r="AN70" s="85">
        <f>AN$210*Population!AS$85</f>
        <v>4534.0254820936643</v>
      </c>
      <c r="AO70" s="85">
        <f>AO$210*Population!AT$85</f>
        <v>4387.8024337866855</v>
      </c>
      <c r="AP70" s="85">
        <f>AP$210*Population!AU$85</f>
        <v>4208.0381879445904</v>
      </c>
      <c r="AQ70" s="85">
        <f>AQ$210*Population!AV$85</f>
        <v>4238.1362275449101</v>
      </c>
      <c r="AR70" s="85">
        <f>AR$210*Population!AW$85</f>
        <v>4197.8104945262367</v>
      </c>
      <c r="AS70" s="85">
        <f>AS$210*Population!AX$85</f>
        <v>4356.5910753474764</v>
      </c>
      <c r="AT70" s="85">
        <f>AT$210*Population!AY$85</f>
        <v>4388.1578947368416</v>
      </c>
      <c r="AU70" s="85">
        <f>AU$210*Population!AZ$85</f>
        <v>4441.2649945474368</v>
      </c>
      <c r="AV70" s="85">
        <f>AV$210*Population!BA$85</f>
        <v>4587.8660049627797</v>
      </c>
      <c r="AW70" s="85">
        <f>AW$210*Population!BB$85</f>
        <v>4697.1819757365683</v>
      </c>
      <c r="AX70" s="85">
        <f>AX$210*Population!BC$85</f>
        <v>4789.7289879931386</v>
      </c>
      <c r="AY70" s="85">
        <f>AY$210*Population!BD$85</f>
        <v>4947.7310924369749</v>
      </c>
      <c r="AZ70" s="85">
        <f>AZ$210*Population!BE$85</f>
        <v>5021.9414893617013</v>
      </c>
      <c r="BA70" s="85">
        <f>BA$210*Population!BF$85</f>
        <v>5189.7416855020992</v>
      </c>
      <c r="BB70" s="85">
        <f>BB$210*Population!BG$85</f>
        <v>5487.86703601108</v>
      </c>
      <c r="BC70" s="85">
        <f>BC$210*Population!BH$85</f>
        <v>5619.5360048207285</v>
      </c>
      <c r="BD70" s="85">
        <f>BD$210*Population!BI$85</f>
        <v>5917.1929824561412</v>
      </c>
      <c r="BE70" s="85">
        <f>BE$210*Population!BJ$85</f>
        <v>6123.6013400335005</v>
      </c>
      <c r="BF70" s="85">
        <f>BF$210*Population!BK$85</f>
        <v>6049.5714285714294</v>
      </c>
      <c r="BG70" s="85">
        <f>BG$210*Population!BL$85</f>
        <v>6026.2346560091355</v>
      </c>
    </row>
    <row r="71" spans="1:59" x14ac:dyDescent="0.2">
      <c r="C71" s="29">
        <v>76</v>
      </c>
      <c r="F71" s="85">
        <f>F$211*Population!K$86</f>
        <v>1186.4974245768947</v>
      </c>
      <c r="G71" s="85">
        <f>G$211*Population!L$86</f>
        <v>1345.4422687373396</v>
      </c>
      <c r="H71" s="85">
        <f>H$211*Population!M$86</f>
        <v>1504.3410368519674</v>
      </c>
      <c r="I71" s="85">
        <f>I$211*Population!N$86</f>
        <v>1581.2690665039659</v>
      </c>
      <c r="J71" s="85">
        <f>J$211*Population!O$86</f>
        <v>1465.020325203252</v>
      </c>
      <c r="K71" s="85">
        <f>K$211*Population!P$86</f>
        <v>1680.7650273224044</v>
      </c>
      <c r="L71" s="85">
        <f>L$211*Population!Q$86</f>
        <v>1834.7368421052631</v>
      </c>
      <c r="M71" s="85">
        <f>M$211*Population!R$86</f>
        <v>1971.3913043478262</v>
      </c>
      <c r="N71" s="85">
        <f>N$211*Population!S$86</f>
        <v>2372.3261169967759</v>
      </c>
      <c r="O71" s="85">
        <f>O$211*Population!T$86</f>
        <v>2418.8480954566317</v>
      </c>
      <c r="P71" s="85">
        <f>P$211*Population!U$86</f>
        <v>2443.181818181818</v>
      </c>
      <c r="Q71" s="85">
        <f>Q$211*Population!V$86</f>
        <v>2549.6028880866429</v>
      </c>
      <c r="R71" s="85">
        <f>R$211*Population!W$86</f>
        <v>2581.7963800904977</v>
      </c>
      <c r="S71" s="85">
        <f>S$211*Population!X$86</f>
        <v>2685.2640845070423</v>
      </c>
      <c r="T71" s="85">
        <f>T$211*Population!Y$86</f>
        <v>2769.2108667529105</v>
      </c>
      <c r="U71" s="85">
        <f>U$211*Population!Z$86</f>
        <v>2931.2132505175982</v>
      </c>
      <c r="V71" s="85">
        <f>V$211*Population!AA$86</f>
        <v>3042.2572815533981</v>
      </c>
      <c r="W71" s="85">
        <f>W$211*Population!AB$86</f>
        <v>3162.3626373626375</v>
      </c>
      <c r="X71" s="85">
        <f>X$211*Population!AC$86</f>
        <v>3291.1932901258101</v>
      </c>
      <c r="Y71" s="85">
        <f>Y$211*Population!AD$86</f>
        <v>3372.6266416510316</v>
      </c>
      <c r="Z71" s="85">
        <f>Z$211*Population!AE$86</f>
        <v>3557.7316636851519</v>
      </c>
      <c r="AA71" s="85">
        <f>AA$211*Population!AF$86</f>
        <v>3644.2012667135818</v>
      </c>
      <c r="AB71" s="85">
        <f>AB$211*Population!AG$86</f>
        <v>3840.510067114094</v>
      </c>
      <c r="AC71" s="85">
        <f>AC$211*Population!AH$86</f>
        <v>3933.1360946745563</v>
      </c>
      <c r="AD71" s="85">
        <f>AD$211*Population!AI$86</f>
        <v>3992.3001631321367</v>
      </c>
      <c r="AE71" s="85">
        <f>AE$211*Population!AJ$86</f>
        <v>3942.8286189683859</v>
      </c>
      <c r="AF71" s="85">
        <f>AF$211*Population!AK$86</f>
        <v>3833.4045485871811</v>
      </c>
      <c r="AG71" s="85">
        <f>AG$211*Population!AL$86</f>
        <v>3831.3963963963965</v>
      </c>
      <c r="AH71" s="85">
        <f>AH$211*Population!AM$86</f>
        <v>3922.0483157536573</v>
      </c>
      <c r="AI71" s="85">
        <f>AI$211*Population!AN$86</f>
        <v>3978.8409703504039</v>
      </c>
      <c r="AJ71" s="85">
        <f>AJ$211*Population!AO$86</f>
        <v>4068.2687851704736</v>
      </c>
      <c r="AK71" s="85">
        <f>AK$211*Population!AP$86</f>
        <v>4085.0314257360237</v>
      </c>
      <c r="AL71" s="85">
        <f>AL$211*Population!AQ$86</f>
        <v>4261.5703798276409</v>
      </c>
      <c r="AM71" s="85">
        <f>AM$211*Population!AR$86</f>
        <v>4189.9480519480512</v>
      </c>
      <c r="AN71" s="85">
        <f>AN$211*Population!AS$86</f>
        <v>4091.4247401944353</v>
      </c>
      <c r="AO71" s="85">
        <f>AO$211*Population!AT$86</f>
        <v>3973.4755463059314</v>
      </c>
      <c r="AP71" s="85">
        <f>AP$211*Population!AU$86</f>
        <v>3844.2486486486487</v>
      </c>
      <c r="AQ71" s="85">
        <f>AQ$211*Population!AV$86</f>
        <v>3685.6765925367508</v>
      </c>
      <c r="AR71" s="85">
        <f>AR$211*Population!AW$86</f>
        <v>3710.8210922787189</v>
      </c>
      <c r="AS71" s="85">
        <f>AS$211*Population!AX$86</f>
        <v>3683.3662613981764</v>
      </c>
      <c r="AT71" s="85">
        <f>AT$211*Population!AY$86</f>
        <v>3817.1880750828118</v>
      </c>
      <c r="AU71" s="85">
        <f>AU$211*Population!AZ$86</f>
        <v>3846.1985294117649</v>
      </c>
      <c r="AV71" s="85">
        <f>AV$211*Population!BA$86</f>
        <v>3896.892138939671</v>
      </c>
      <c r="AW71" s="85">
        <f>AW$211*Population!BB$86</f>
        <v>4017.3333333333335</v>
      </c>
      <c r="AX71" s="85">
        <f>AX$211*Population!BC$86</f>
        <v>4117.016382014639</v>
      </c>
      <c r="AY71" s="85">
        <f>AY$211*Population!BD$86</f>
        <v>4203.7357709555017</v>
      </c>
      <c r="AZ71" s="85">
        <f>AZ$211*Population!BE$86</f>
        <v>4343.798580601554</v>
      </c>
      <c r="BA71" s="85">
        <f>BA$211*Population!BF$86</f>
        <v>4403.2642833277641</v>
      </c>
      <c r="BB71" s="85">
        <f>BB$211*Population!BG$86</f>
        <v>4547.4042829331602</v>
      </c>
      <c r="BC71" s="85">
        <f>BC$211*Population!BH$86</f>
        <v>4807.2564181874413</v>
      </c>
      <c r="BD71" s="85">
        <f>BD$211*Population!BI$86</f>
        <v>4925.2118644067796</v>
      </c>
      <c r="BE71" s="85">
        <f>BE$211*Population!BJ$86</f>
        <v>5187.3215833574113</v>
      </c>
      <c r="BF71" s="85">
        <f>BF$211*Population!BK$86</f>
        <v>5376.690970274818</v>
      </c>
      <c r="BG71" s="85">
        <f>BG$211*Population!BL$86</f>
        <v>5306.4705882352937</v>
      </c>
    </row>
    <row r="72" spans="1:59" x14ac:dyDescent="0.2">
      <c r="C72" s="29">
        <v>77</v>
      </c>
      <c r="F72" s="85">
        <f>F$212*Population!K$87</f>
        <v>996.8528717545239</v>
      </c>
      <c r="G72" s="85">
        <f>G$212*Population!L$87</f>
        <v>1074.3285821455363</v>
      </c>
      <c r="H72" s="85">
        <f>H$212*Population!M$87</f>
        <v>1215.7960027567194</v>
      </c>
      <c r="I72" s="85">
        <f>I$212*Population!N$87</f>
        <v>1353.936305732484</v>
      </c>
      <c r="J72" s="85">
        <f>J$212*Population!O$87</f>
        <v>1421.1069651741293</v>
      </c>
      <c r="K72" s="85">
        <f>K$212*Population!P$87</f>
        <v>1314.5341614906831</v>
      </c>
      <c r="L72" s="85">
        <f>L$212*Population!Q$87</f>
        <v>1501.5955473098331</v>
      </c>
      <c r="M72" s="85">
        <f>M$212*Population!R$87</f>
        <v>1634.2690739662203</v>
      </c>
      <c r="N72" s="85">
        <f>N$212*Population!S$87</f>
        <v>1750.2708678828083</v>
      </c>
      <c r="O72" s="85">
        <f>O$212*Population!T$87</f>
        <v>2101.1053864168621</v>
      </c>
      <c r="P72" s="85">
        <f>P$212*Population!U$87</f>
        <v>2138.9692164179105</v>
      </c>
      <c r="Q72" s="85">
        <f>Q$212*Population!V$87</f>
        <v>2162.841658812441</v>
      </c>
      <c r="R72" s="85">
        <f>R$212*Population!W$87</f>
        <v>2247.5767292716446</v>
      </c>
      <c r="S72" s="85">
        <f>S$212*Population!X$87</f>
        <v>2271.6214974735876</v>
      </c>
      <c r="T72" s="85">
        <f>T$212*Population!Y$87</f>
        <v>2364.7074586869139</v>
      </c>
      <c r="U72" s="85">
        <f>U$212*Population!Z$87</f>
        <v>2439.2825896762906</v>
      </c>
      <c r="V72" s="85">
        <f>V$212*Population!AA$87</f>
        <v>2580</v>
      </c>
      <c r="W72" s="85">
        <f>W$212*Population!AB$87</f>
        <v>2669.8154981549815</v>
      </c>
      <c r="X72" s="85">
        <f>X$212*Population!AC$87</f>
        <v>2778.8111332007952</v>
      </c>
      <c r="Y72" s="85">
        <f>Y$212*Population!AD$87</f>
        <v>2886.6216216216217</v>
      </c>
      <c r="Z72" s="85">
        <f>Z$212*Population!AE$87</f>
        <v>2958.9893617021276</v>
      </c>
      <c r="AA72" s="85">
        <f>AA$212*Population!AF$87</f>
        <v>3114.5961608113003</v>
      </c>
      <c r="AB72" s="85">
        <f>AB$212*Population!AG$87</f>
        <v>3190.3205128205132</v>
      </c>
      <c r="AC72" s="85">
        <f>AC$212*Population!AH$87</f>
        <v>3355.8723693143247</v>
      </c>
      <c r="AD72" s="85">
        <f>AD$212*Population!AI$87</f>
        <v>3448.244680851064</v>
      </c>
      <c r="AE72" s="85">
        <f>AE$212*Population!AJ$87</f>
        <v>3497.467018469657</v>
      </c>
      <c r="AF72" s="85">
        <f>AF$212*Population!AK$87</f>
        <v>3456.8113017154392</v>
      </c>
      <c r="AG72" s="85">
        <f>AG$212*Population!AL$87</f>
        <v>3356.100278551532</v>
      </c>
      <c r="AH72" s="85">
        <f>AH$212*Population!AM$87</f>
        <v>3353.1326566328316</v>
      </c>
      <c r="AI72" s="85">
        <f>AI$212*Population!AN$87</f>
        <v>3432.536082474227</v>
      </c>
      <c r="AJ72" s="85">
        <f>AJ$212*Population!AO$87</f>
        <v>3478.455256890099</v>
      </c>
      <c r="AK72" s="85">
        <f>AK$212*Population!AP$87</f>
        <v>3556.739057801537</v>
      </c>
      <c r="AL72" s="85">
        <f>AL$212*Population!AQ$87</f>
        <v>3571.5420560747662</v>
      </c>
      <c r="AM72" s="85">
        <f>AM$212*Population!AR$87</f>
        <v>3736.3864734299518</v>
      </c>
      <c r="AN72" s="85">
        <f>AN$212*Population!AS$87</f>
        <v>3665.8860137569604</v>
      </c>
      <c r="AO72" s="85">
        <f>AO$212*Population!AT$87</f>
        <v>3574.6315077755239</v>
      </c>
      <c r="AP72" s="85">
        <f>AP$212*Population!AU$87</f>
        <v>3474.1608391608393</v>
      </c>
      <c r="AQ72" s="85">
        <f>AQ$212*Population!AV$87</f>
        <v>3364.9255357791499</v>
      </c>
      <c r="AR72" s="85">
        <f>AR$212*Population!AW$87</f>
        <v>3226.1854103343467</v>
      </c>
      <c r="AS72" s="85">
        <f>AS$212*Population!AX$87</f>
        <v>3248.31119544592</v>
      </c>
      <c r="AT72" s="85">
        <f>AT$212*Population!AY$87</f>
        <v>3221.5614236509759</v>
      </c>
      <c r="AU72" s="85">
        <f>AU$212*Population!AZ$87</f>
        <v>3342.7168272794661</v>
      </c>
      <c r="AV72" s="85">
        <f>AV$212*Population!BA$87</f>
        <v>3358.9559422436137</v>
      </c>
      <c r="AW72" s="85">
        <f>AW$212*Population!BB$87</f>
        <v>3404.8582995951415</v>
      </c>
      <c r="AX72" s="85">
        <f>AX$212*Population!BC$87</f>
        <v>3522.4398995335487</v>
      </c>
      <c r="AY72" s="85">
        <f>AY$212*Population!BD$87</f>
        <v>3600.2806032970889</v>
      </c>
      <c r="AZ72" s="85">
        <f>AZ$212*Population!BE$87</f>
        <v>3681.8153418951752</v>
      </c>
      <c r="BA72" s="85">
        <f>BA$212*Population!BF$87</f>
        <v>3804.705882352941</v>
      </c>
      <c r="BB72" s="85">
        <f>BB$212*Population!BG$87</f>
        <v>3861.0551075268818</v>
      </c>
      <c r="BC72" s="85">
        <f>BC$212*Population!BH$87</f>
        <v>3981.7292006525286</v>
      </c>
      <c r="BD72" s="85">
        <f>BD$212*Population!BI$87</f>
        <v>4215.0233281493001</v>
      </c>
      <c r="BE72" s="85">
        <f>BE$212*Population!BJ$87</f>
        <v>4311.0772976262933</v>
      </c>
      <c r="BF72" s="85">
        <f>BF$212*Population!BK$87</f>
        <v>4546.3984896892243</v>
      </c>
      <c r="BG72" s="85">
        <f>BG$212*Population!BL$87</f>
        <v>4710.6426155580612</v>
      </c>
    </row>
    <row r="73" spans="1:59" x14ac:dyDescent="0.2">
      <c r="C73" s="29">
        <v>78</v>
      </c>
      <c r="F73" s="85">
        <f>F$213*Population!K$88</f>
        <v>825.81512605042019</v>
      </c>
      <c r="G73" s="85">
        <f>G$213*Population!L$88</f>
        <v>891.31134352373294</v>
      </c>
      <c r="H73" s="85">
        <f>H$213*Population!M$88</f>
        <v>964.78894858019953</v>
      </c>
      <c r="I73" s="85">
        <f>I$213*Population!N$88</f>
        <v>1086.1592670894997</v>
      </c>
      <c r="J73" s="85">
        <f>J$213*Population!O$88</f>
        <v>1204.4856770833335</v>
      </c>
      <c r="K73" s="85">
        <f>K$213*Population!P$88</f>
        <v>1261.1245235069885</v>
      </c>
      <c r="L73" s="85">
        <f>L$213*Population!Q$88</f>
        <v>1164.2283298097252</v>
      </c>
      <c r="M73" s="85">
        <f>M$213*Population!R$88</f>
        <v>1330.7003154574131</v>
      </c>
      <c r="N73" s="85">
        <f>N$213*Population!S$88</f>
        <v>1443.1116389548692</v>
      </c>
      <c r="O73" s="85">
        <f>O$213*Population!T$88</f>
        <v>1540.394366197183</v>
      </c>
      <c r="P73" s="85">
        <f>P$213*Population!U$88</f>
        <v>1850.2385496183206</v>
      </c>
      <c r="Q73" s="85">
        <f>Q$213*Population!V$88</f>
        <v>1888.2660332541566</v>
      </c>
      <c r="R73" s="85">
        <f>R$213*Population!W$88</f>
        <v>1901.7553956834533</v>
      </c>
      <c r="S73" s="85">
        <f>S$213*Population!X$88</f>
        <v>1978.867132867133</v>
      </c>
      <c r="T73" s="85">
        <f>T$213*Population!Y$88</f>
        <v>2001.5506772536201</v>
      </c>
      <c r="U73" s="85">
        <f>U$213*Population!Z$88</f>
        <v>2073.3908306854287</v>
      </c>
      <c r="V73" s="85">
        <f>V$213*Population!AA$88</f>
        <v>2138.5333333333333</v>
      </c>
      <c r="W73" s="85">
        <f>W$213*Population!AB$88</f>
        <v>2258.0733162830352</v>
      </c>
      <c r="X73" s="85">
        <f>X$213*Population!AC$88</f>
        <v>2337.7601998334721</v>
      </c>
      <c r="Y73" s="85">
        <f>Y$213*Population!AD$88</f>
        <v>2426.8361581920904</v>
      </c>
      <c r="Z73" s="85">
        <f>Z$213*Population!AE$88</f>
        <v>2522.7810419114767</v>
      </c>
      <c r="AA73" s="85">
        <f>AA$213*Population!AF$88</f>
        <v>2584.8497688751927</v>
      </c>
      <c r="AB73" s="85">
        <f>AB$213*Population!AG$88</f>
        <v>2720.9434654919237</v>
      </c>
      <c r="AC73" s="85">
        <f>AC$213*Population!AH$88</f>
        <v>2786.9938650306749</v>
      </c>
      <c r="AD73" s="85">
        <f>AD$213*Population!AI$88</f>
        <v>2933.0536451169187</v>
      </c>
      <c r="AE73" s="85">
        <f>AE$213*Population!AJ$88</f>
        <v>3015.151515151515</v>
      </c>
      <c r="AF73" s="85">
        <f>AF$213*Population!AK$88</f>
        <v>3052.2570951585976</v>
      </c>
      <c r="AG73" s="85">
        <f>AG$213*Population!AL$88</f>
        <v>3011.453864487572</v>
      </c>
      <c r="AH73" s="85">
        <f>AH$213*Population!AM$88</f>
        <v>2928.6826347305387</v>
      </c>
      <c r="AI73" s="85">
        <f>AI$213*Population!AN$88</f>
        <v>2935.0123893805307</v>
      </c>
      <c r="AJ73" s="85">
        <f>AJ$213*Population!AO$88</f>
        <v>3004.325920778318</v>
      </c>
      <c r="AK73" s="85">
        <f>AK$213*Population!AP$88</f>
        <v>3038.411279229711</v>
      </c>
      <c r="AL73" s="85">
        <f>AL$213*Population!AQ$88</f>
        <v>3106.7342114150624</v>
      </c>
      <c r="AM73" s="85">
        <f>AM$213*Population!AR$88</f>
        <v>3119.9258260283209</v>
      </c>
      <c r="AN73" s="85">
        <f>AN$213*Population!AS$88</f>
        <v>3261.779440468445</v>
      </c>
      <c r="AO73" s="85">
        <f>AO$213*Population!AT$88</f>
        <v>3202.5396825396824</v>
      </c>
      <c r="AP73" s="85">
        <f>AP$213*Population!AU$88</f>
        <v>3118.9488054607509</v>
      </c>
      <c r="AQ73" s="85">
        <f>AQ$213*Population!AV$88</f>
        <v>3037.5229357798166</v>
      </c>
      <c r="AR73" s="85">
        <f>AR$213*Population!AW$88</f>
        <v>2936.8108504398829</v>
      </c>
      <c r="AS73" s="85">
        <f>AS$213*Population!AX$88</f>
        <v>2816.8965517241377</v>
      </c>
      <c r="AT73" s="85">
        <f>AT$213*Population!AY$88</f>
        <v>2837.4282433983926</v>
      </c>
      <c r="AU73" s="85">
        <f>AU$213*Population!AZ$88</f>
        <v>2811.3117283950619</v>
      </c>
      <c r="AV73" s="85">
        <f>AV$213*Population!BA$88</f>
        <v>2919.0026148673887</v>
      </c>
      <c r="AW73" s="85">
        <f>AW$213*Population!BB$88</f>
        <v>2934.3395522388059</v>
      </c>
      <c r="AX73" s="85">
        <f>AX$213*Population!BC$88</f>
        <v>2977.3108308605342</v>
      </c>
      <c r="AY73" s="85">
        <f>AY$213*Population!BD$88</f>
        <v>3071.9667389732467</v>
      </c>
      <c r="AZ73" s="85">
        <f>AZ$213*Population!BE$88</f>
        <v>3148.4558303886924</v>
      </c>
      <c r="BA73" s="85">
        <f>BA$213*Population!BF$88</f>
        <v>3213.4778049632996</v>
      </c>
      <c r="BB73" s="85">
        <f>BB$213*Population!BG$88</f>
        <v>3330.8216364258815</v>
      </c>
      <c r="BC73" s="85">
        <f>BC$213*Population!BH$88</f>
        <v>3375.7307171853859</v>
      </c>
      <c r="BD73" s="85">
        <f>BD$213*Population!BI$88</f>
        <v>3483.1034482758619</v>
      </c>
      <c r="BE73" s="85">
        <f>BE$213*Population!BJ$88</f>
        <v>3690.2097026604069</v>
      </c>
      <c r="BF73" s="85">
        <f>BF$213*Population!BK$88</f>
        <v>3775.4548238897396</v>
      </c>
      <c r="BG73" s="85">
        <f>BG$213*Population!BL$88</f>
        <v>3973.4482758620688</v>
      </c>
    </row>
    <row r="74" spans="1:59" x14ac:dyDescent="0.2">
      <c r="C74" s="29">
        <v>79</v>
      </c>
      <c r="F74" s="85">
        <f>F$214*Population!K$89</f>
        <v>678.1369863013698</v>
      </c>
      <c r="G74" s="85">
        <f>G$214*Population!L$89</f>
        <v>743.5344827586207</v>
      </c>
      <c r="H74" s="85">
        <f>H$214*Population!M$89</f>
        <v>792.07266721717588</v>
      </c>
      <c r="I74" s="85">
        <f>I$214*Population!N$89</f>
        <v>865.20472440944889</v>
      </c>
      <c r="J74" s="85">
        <f>J$214*Population!O$89</f>
        <v>965.09747292418763</v>
      </c>
      <c r="K74" s="85">
        <f>K$214*Population!P$89</f>
        <v>1063.58</v>
      </c>
      <c r="L74" s="85">
        <f>L$214*Population!Q$89</f>
        <v>1121.1833550065019</v>
      </c>
      <c r="M74" s="85">
        <f>M$214*Population!R$89</f>
        <v>1034.001441961067</v>
      </c>
      <c r="N74" s="85">
        <f>N$214*Population!S$89</f>
        <v>1170.8645161290322</v>
      </c>
      <c r="O74" s="85">
        <f>O$214*Population!T$89</f>
        <v>1272.2330097087377</v>
      </c>
      <c r="P74" s="85">
        <f>P$214*Population!U$89</f>
        <v>1360.5354058721935</v>
      </c>
      <c r="Q74" s="85">
        <f>Q$214*Population!V$89</f>
        <v>1631.2085769980506</v>
      </c>
      <c r="R74" s="85">
        <f>R$214*Population!W$89</f>
        <v>1658.6669898206494</v>
      </c>
      <c r="S74" s="85">
        <f>S$214*Population!X$89</f>
        <v>1661.8297455968689</v>
      </c>
      <c r="T74" s="85">
        <f>T$214*Population!Y$89</f>
        <v>1728.4220532319391</v>
      </c>
      <c r="U74" s="85">
        <f>U$214*Population!Z$89</f>
        <v>1750.7853403141362</v>
      </c>
      <c r="V74" s="85">
        <f>V$214*Population!AA$89</f>
        <v>1812.4271844660193</v>
      </c>
      <c r="W74" s="85">
        <f>W$214*Population!AB$89</f>
        <v>1868.9411764705883</v>
      </c>
      <c r="X74" s="85">
        <f>X$214*Population!AC$89</f>
        <v>1976.5639913232105</v>
      </c>
      <c r="Y74" s="85">
        <f>Y$214*Population!AD$89</f>
        <v>2045.184243964422</v>
      </c>
      <c r="Z74" s="85">
        <f>Z$214*Population!AE$89</f>
        <v>2124.3496101764467</v>
      </c>
      <c r="AA74" s="85">
        <f>AA$214*Population!AF$89</f>
        <v>2209.6337579617834</v>
      </c>
      <c r="AB74" s="85">
        <f>AB$214*Population!AG$89</f>
        <v>2261.4481409001955</v>
      </c>
      <c r="AC74" s="85">
        <f>AC$214*Population!AH$89</f>
        <v>2377.9530201342282</v>
      </c>
      <c r="AD74" s="85">
        <f>AD$214*Population!AI$89</f>
        <v>2432.4102564102564</v>
      </c>
      <c r="AE74" s="85">
        <f>AE$214*Population!AJ$89</f>
        <v>2560.6806282722514</v>
      </c>
      <c r="AF74" s="85">
        <f>AF$214*Population!AK$89</f>
        <v>2631.6325136612022</v>
      </c>
      <c r="AG74" s="85">
        <f>AG$214*Population!AL$89</f>
        <v>2668.8452421266511</v>
      </c>
      <c r="AH74" s="85">
        <f>AH$214*Population!AM$89</f>
        <v>2625.1207729468601</v>
      </c>
      <c r="AI74" s="85">
        <f>AI$214*Population!AN$89</f>
        <v>2552.3768736616703</v>
      </c>
      <c r="AJ74" s="85">
        <f>AJ$214*Population!AO$89</f>
        <v>2557.9490856937973</v>
      </c>
      <c r="AK74" s="85">
        <f>AK$214*Population!AP$89</f>
        <v>2616.1189303307528</v>
      </c>
      <c r="AL74" s="85">
        <f>AL$214*Population!AQ$89</f>
        <v>2649.7910863509746</v>
      </c>
      <c r="AM74" s="85">
        <f>AM$214*Population!AR$89</f>
        <v>2707.0574162679427</v>
      </c>
      <c r="AN74" s="85">
        <f>AN$214*Population!AS$89</f>
        <v>2720.805185943364</v>
      </c>
      <c r="AO74" s="85">
        <f>AO$214*Population!AT$89</f>
        <v>2839.0128331688056</v>
      </c>
      <c r="AP74" s="85">
        <f>AP$214*Population!AU$89</f>
        <v>2791.8662207357861</v>
      </c>
      <c r="AQ74" s="85">
        <f>AQ$214*Population!AV$89</f>
        <v>2725.6314699792961</v>
      </c>
      <c r="AR74" s="85">
        <f>AR$214*Population!AW$89</f>
        <v>2653.1241084165476</v>
      </c>
      <c r="AS74" s="85">
        <f>AS$214*Population!AX$89</f>
        <v>2561.1333333333337</v>
      </c>
      <c r="AT74" s="85">
        <f>AT$214*Population!AY$89</f>
        <v>2462.3306233062331</v>
      </c>
      <c r="AU74" s="85">
        <f>AU$214*Population!AZ$89</f>
        <v>2479.5052183996904</v>
      </c>
      <c r="AV74" s="85">
        <f>AV$214*Population!BA$89</f>
        <v>2453.946240747955</v>
      </c>
      <c r="AW74" s="85">
        <f>AW$214*Population!BB$89</f>
        <v>2549.5776772247359</v>
      </c>
      <c r="AX74" s="85">
        <f>AX$214*Population!BC$89</f>
        <v>2573.6408132530119</v>
      </c>
      <c r="AY74" s="85">
        <f>AY$214*Population!BD$89</f>
        <v>2602.4841002618782</v>
      </c>
      <c r="AZ74" s="85">
        <f>AZ$214*Population!BE$89</f>
        <v>2684.1721371261856</v>
      </c>
      <c r="BA74" s="85">
        <f>BA$214*Population!BF$89</f>
        <v>2750.6771204561655</v>
      </c>
      <c r="BB74" s="85">
        <f>BB$214*Population!BG$89</f>
        <v>2811.8434966513923</v>
      </c>
      <c r="BC74" s="85">
        <f>BC$214*Population!BH$89</f>
        <v>2912.4396135265697</v>
      </c>
      <c r="BD74" s="85">
        <f>BD$214*Population!BI$89</f>
        <v>2956.9577080491131</v>
      </c>
      <c r="BE74" s="85">
        <f>BE$214*Population!BJ$89</f>
        <v>3052.353525322741</v>
      </c>
      <c r="BF74" s="85">
        <f>BF$214*Population!BK$89</f>
        <v>3232.8918322295808</v>
      </c>
      <c r="BG74" s="85">
        <f>BG$214*Population!BL$89</f>
        <v>3305.1202961135104</v>
      </c>
    </row>
    <row r="75" spans="1:59" x14ac:dyDescent="0.2">
      <c r="C75" s="29" t="s">
        <v>1267</v>
      </c>
      <c r="F75" s="85">
        <f>F$215*SUM(Population!K$90:K$100)</f>
        <v>3174.0158289649498</v>
      </c>
      <c r="G75" s="85">
        <f>G$215*SUM(Population!L$90:L$100)</f>
        <v>3356.2261114463895</v>
      </c>
      <c r="H75" s="85">
        <f>H$215*SUM(Population!M$90:M$100)</f>
        <v>3543.5294117647059</v>
      </c>
      <c r="I75" s="85">
        <f>I$215*SUM(Population!N$90:N$100)</f>
        <v>3733.6766809728188</v>
      </c>
      <c r="J75" s="85">
        <f>J$215*SUM(Population!O$90:O$100)</f>
        <v>4022.3125982068582</v>
      </c>
      <c r="K75" s="85">
        <f>K$215*SUM(Population!P$90:P$100)</f>
        <v>4311.9295436349084</v>
      </c>
      <c r="L75" s="85">
        <f>L$215*SUM(Population!Q$90:Q$100)</f>
        <v>4602.8661336962068</v>
      </c>
      <c r="M75" s="85">
        <f>M$215*SUM(Population!R$90:R$100)</f>
        <v>4988.4180561203739</v>
      </c>
      <c r="N75" s="85">
        <f>N$215*SUM(Population!S$90:S$100)</f>
        <v>5178.974399494311</v>
      </c>
      <c r="O75" s="85">
        <f>O$215*SUM(Population!T$90:T$100)</f>
        <v>5469.3319145701907</v>
      </c>
      <c r="P75" s="85">
        <f>P$215*SUM(Population!U$90:U$100)</f>
        <v>5858.3709747923649</v>
      </c>
      <c r="Q75" s="85">
        <f>Q$215*SUM(Population!V$90:V$100)</f>
        <v>6256.3502021469403</v>
      </c>
      <c r="R75" s="85">
        <f>R$215*SUM(Population!W$90:W$100)</f>
        <v>6843.0472693896281</v>
      </c>
      <c r="S75" s="85">
        <f>S$215*SUM(Population!X$90:X$100)</f>
        <v>7329.7991071428578</v>
      </c>
      <c r="T75" s="85">
        <f>T$215*SUM(Population!Y$90:Y$100)</f>
        <v>7724.2579807635566</v>
      </c>
      <c r="U75" s="85">
        <f>U$215*SUM(Population!Z$90:Z$100)</f>
        <v>8217.0006755235318</v>
      </c>
      <c r="V75" s="85">
        <f>V$215*SUM(Population!AA$90:AA$100)</f>
        <v>8612.0489725473271</v>
      </c>
      <c r="W75" s="85">
        <f>W$215*SUM(Population!AB$90:AB$100)</f>
        <v>9003.445243391443</v>
      </c>
      <c r="X75" s="85">
        <f>X$215*SUM(Population!AC$90:AC$100)</f>
        <v>9393.3790635252008</v>
      </c>
      <c r="Y75" s="85">
        <f>Y$215*SUM(Population!AD$90:AD$100)</f>
        <v>9794.1541694526695</v>
      </c>
      <c r="Z75" s="85">
        <f>Z$215*SUM(Population!AE$90:AE$100)</f>
        <v>10292.04576785222</v>
      </c>
      <c r="AA75" s="85">
        <f>AA$215*SUM(Population!AF$90:AF$100)</f>
        <v>10695.986725663717</v>
      </c>
      <c r="AB75" s="85">
        <f>AB$215*SUM(Population!AG$90:AG$100)</f>
        <v>11199.744180097212</v>
      </c>
      <c r="AC75" s="85">
        <f>AC$215*SUM(Population!AH$90:AH$100)</f>
        <v>11601.909150757077</v>
      </c>
      <c r="AD75" s="85">
        <f>AD$215*SUM(Population!AI$90:AI$100)</f>
        <v>12102.360642729618</v>
      </c>
      <c r="AE75" s="85">
        <f>AE$215*SUM(Population!AJ$90:AJ$100)</f>
        <v>12504.39829891575</v>
      </c>
      <c r="AF75" s="85">
        <f>AF$215*SUM(Population!AK$90:AK$100)</f>
        <v>13103.472478758773</v>
      </c>
      <c r="AG75" s="85">
        <f>AG$215*SUM(Population!AL$90:AL$100)</f>
        <v>13608.517924023541</v>
      </c>
      <c r="AH75" s="85">
        <f>AH$215*SUM(Population!AM$90:AM$100)</f>
        <v>14016.691978461964</v>
      </c>
      <c r="AI75" s="85">
        <f>AI$215*SUM(Population!AN$90:AN$100)</f>
        <v>14426.021281595113</v>
      </c>
      <c r="AJ75" s="85">
        <f>AJ$215*SUM(Population!AO$90:AO$100)</f>
        <v>14733.683519369666</v>
      </c>
      <c r="AK75" s="85">
        <f>AK$215*SUM(Population!AP$90:AP$100)</f>
        <v>14952.22290184464</v>
      </c>
      <c r="AL75" s="85">
        <f>AL$215*SUM(Population!AQ$90:AQ$100)</f>
        <v>15170.494599204092</v>
      </c>
      <c r="AM75" s="85">
        <f>AM$215*SUM(Population!AR$90:AR$100)</f>
        <v>15481.503069386743</v>
      </c>
      <c r="AN75" s="85">
        <f>AN$215*SUM(Population!AS$90:AS$100)</f>
        <v>15700.898212708949</v>
      </c>
      <c r="AO75" s="85">
        <f>AO$215*SUM(Population!AT$90:AT$100)</f>
        <v>15931.921013993348</v>
      </c>
      <c r="AP75" s="85">
        <f>AP$215*SUM(Population!AU$90:AU$100)</f>
        <v>16253.954802259886</v>
      </c>
      <c r="AQ75" s="85">
        <f>AQ$215*SUM(Population!AV$90:AV$100)</f>
        <v>16481.344040819877</v>
      </c>
      <c r="AR75" s="85">
        <f>AR$215*SUM(Population!AW$90:AW$100)</f>
        <v>16707.661429062966</v>
      </c>
      <c r="AS75" s="85">
        <f>AS$215*SUM(Population!AX$90:AX$100)</f>
        <v>16737.082586044922</v>
      </c>
      <c r="AT75" s="85">
        <f>AT$215*SUM(Population!AY$90:AY$100)</f>
        <v>16765.856218792556</v>
      </c>
      <c r="AU75" s="85">
        <f>AU$215*SUM(Population!AZ$90:AZ$100)</f>
        <v>16600.275466447052</v>
      </c>
      <c r="AV75" s="85">
        <f>AV$215*SUM(Population!BA$90:BA$100)</f>
        <v>16534.261917621308</v>
      </c>
      <c r="AW75" s="85">
        <f>AW$215*SUM(Population!BB$90:BB$100)</f>
        <v>16468.108262108261</v>
      </c>
      <c r="AX75" s="85">
        <f>AX$215*SUM(Population!BC$90:BC$100)</f>
        <v>16511.344465975151</v>
      </c>
      <c r="AY75" s="85">
        <f>AY$215*SUM(Population!BD$90:BD$100)</f>
        <v>16551.819969785935</v>
      </c>
      <c r="AZ75" s="85">
        <f>AZ$215*SUM(Population!BE$90:BE$100)</f>
        <v>16608.993728620298</v>
      </c>
      <c r="BA75" s="85">
        <f>BA$215*SUM(Population!BF$90:BF$100)</f>
        <v>16666.34423897582</v>
      </c>
      <c r="BB75" s="85">
        <f>BB$215*SUM(Population!BG$90:BG$100)</f>
        <v>16825.207560001134</v>
      </c>
      <c r="BC75" s="85">
        <f>BC$215*SUM(Population!BH$90:BH$100)</f>
        <v>17102.306824591087</v>
      </c>
      <c r="BD75" s="85">
        <f>BD$215*SUM(Population!BI$90:BI$100)</f>
        <v>17288.443224469218</v>
      </c>
      <c r="BE75" s="85">
        <f>BE$215*SUM(Population!BJ$90:BJ$100)</f>
        <v>17586.220505266669</v>
      </c>
      <c r="BF75" s="85">
        <f>BF$215*SUM(Population!BK$90:BK$100)</f>
        <v>17886.379888882777</v>
      </c>
      <c r="BG75" s="85">
        <f>BG$215*SUM(Population!BL$90:BL$100)</f>
        <v>18413.311644299851</v>
      </c>
    </row>
    <row r="76" spans="1:59" x14ac:dyDescent="0.2">
      <c r="C76" s="76" t="s">
        <v>1268</v>
      </c>
      <c r="F76" s="86">
        <f t="shared" ref="F76:BG76" si="2">SUM(F$10:F$75)</f>
        <v>1183502.9656737261</v>
      </c>
      <c r="G76" s="86">
        <f t="shared" si="2"/>
        <v>1212243.7534559157</v>
      </c>
      <c r="H76" s="86">
        <f t="shared" si="2"/>
        <v>1237323.970716744</v>
      </c>
      <c r="I76" s="86">
        <f t="shared" si="2"/>
        <v>1259207.1410598801</v>
      </c>
      <c r="J76" s="86">
        <f t="shared" si="2"/>
        <v>1277963.0731417441</v>
      </c>
      <c r="K76" s="86">
        <f t="shared" si="2"/>
        <v>1293645.7434375985</v>
      </c>
      <c r="L76" s="86">
        <f t="shared" si="2"/>
        <v>1306273.2445757855</v>
      </c>
      <c r="M76" s="86">
        <f t="shared" si="2"/>
        <v>1316214.6225425187</v>
      </c>
      <c r="N76" s="86">
        <f t="shared" si="2"/>
        <v>1325919.0964895254</v>
      </c>
      <c r="O76" s="86">
        <f t="shared" si="2"/>
        <v>1335395.6978648528</v>
      </c>
      <c r="P76" s="86">
        <f t="shared" si="2"/>
        <v>1344777.5701865472</v>
      </c>
      <c r="Q76" s="86">
        <f t="shared" si="2"/>
        <v>1353799.8727774895</v>
      </c>
      <c r="R76" s="86">
        <f t="shared" si="2"/>
        <v>1362426.0425834712</v>
      </c>
      <c r="S76" s="86">
        <f t="shared" si="2"/>
        <v>1370561.8830591342</v>
      </c>
      <c r="T76" s="86">
        <f t="shared" si="2"/>
        <v>1378145.6331605909</v>
      </c>
      <c r="U76" s="86">
        <f t="shared" si="2"/>
        <v>1385303.5305430936</v>
      </c>
      <c r="V76" s="86">
        <f t="shared" si="2"/>
        <v>1391981.8564787246</v>
      </c>
      <c r="W76" s="86">
        <f t="shared" si="2"/>
        <v>1398277.1095454425</v>
      </c>
      <c r="X76" s="86">
        <f t="shared" si="2"/>
        <v>1404457.4577736321</v>
      </c>
      <c r="Y76" s="86">
        <f t="shared" si="2"/>
        <v>1410443.0334147557</v>
      </c>
      <c r="Z76" s="86">
        <f t="shared" si="2"/>
        <v>1416540.4446479415</v>
      </c>
      <c r="AA76" s="86">
        <f t="shared" si="2"/>
        <v>1422562.2698784962</v>
      </c>
      <c r="AB76" s="86">
        <f t="shared" si="2"/>
        <v>1428638.9938355526</v>
      </c>
      <c r="AC76" s="86">
        <f t="shared" si="2"/>
        <v>1434772.1022665445</v>
      </c>
      <c r="AD76" s="86">
        <f t="shared" si="2"/>
        <v>1441151.5331769595</v>
      </c>
      <c r="AE76" s="86">
        <f t="shared" si="2"/>
        <v>1447638.3378807907</v>
      </c>
      <c r="AF76" s="86">
        <f t="shared" si="2"/>
        <v>1454329.0169194427</v>
      </c>
      <c r="AG76" s="86">
        <f t="shared" si="2"/>
        <v>1460922.9232952287</v>
      </c>
      <c r="AH76" s="86">
        <f t="shared" si="2"/>
        <v>1467492.9950977997</v>
      </c>
      <c r="AI76" s="86">
        <f t="shared" si="2"/>
        <v>1473963.7660777627</v>
      </c>
      <c r="AJ76" s="86">
        <f t="shared" si="2"/>
        <v>1480353.9944674266</v>
      </c>
      <c r="AK76" s="86">
        <f t="shared" si="2"/>
        <v>1486371.0543925334</v>
      </c>
      <c r="AL76" s="86">
        <f t="shared" si="2"/>
        <v>1492096.2232077459</v>
      </c>
      <c r="AM76" s="86">
        <f t="shared" si="2"/>
        <v>1497557.9246680939</v>
      </c>
      <c r="AN76" s="86">
        <f t="shared" si="2"/>
        <v>1502318.0666684394</v>
      </c>
      <c r="AO76" s="86">
        <f t="shared" si="2"/>
        <v>1506487.5189748146</v>
      </c>
      <c r="AP76" s="86">
        <f t="shared" si="2"/>
        <v>1510188.2901552538</v>
      </c>
      <c r="AQ76" s="86">
        <f t="shared" si="2"/>
        <v>1513154.5872749598</v>
      </c>
      <c r="AR76" s="86">
        <f t="shared" si="2"/>
        <v>1515557.4086080394</v>
      </c>
      <c r="AS76" s="86">
        <f t="shared" si="2"/>
        <v>1517191.2909448799</v>
      </c>
      <c r="AT76" s="86">
        <f t="shared" si="2"/>
        <v>1518222.565437193</v>
      </c>
      <c r="AU76" s="86">
        <f t="shared" si="2"/>
        <v>1518752.4897233709</v>
      </c>
      <c r="AV76" s="86">
        <f t="shared" si="2"/>
        <v>1518869.8958414872</v>
      </c>
      <c r="AW76" s="86">
        <f t="shared" si="2"/>
        <v>1518663.9774937858</v>
      </c>
      <c r="AX76" s="86">
        <f t="shared" si="2"/>
        <v>1518446.7544926079</v>
      </c>
      <c r="AY76" s="86">
        <f t="shared" si="2"/>
        <v>1518255.3208963976</v>
      </c>
      <c r="AZ76" s="86">
        <f t="shared" si="2"/>
        <v>1517983.552713881</v>
      </c>
      <c r="BA76" s="86">
        <f t="shared" si="2"/>
        <v>1517889.5189128898</v>
      </c>
      <c r="BB76" s="86">
        <f t="shared" si="2"/>
        <v>1518055.1543222594</v>
      </c>
      <c r="BC76" s="86">
        <f t="shared" si="2"/>
        <v>1518511.7956422712</v>
      </c>
      <c r="BD76" s="86">
        <f t="shared" si="2"/>
        <v>1519146.87010386</v>
      </c>
      <c r="BE76" s="86">
        <f t="shared" si="2"/>
        <v>1520135.2305145243</v>
      </c>
      <c r="BF76" s="86">
        <f t="shared" si="2"/>
        <v>1521332.8836702867</v>
      </c>
      <c r="BG76" s="86">
        <f t="shared" si="2"/>
        <v>1522961.4584126372</v>
      </c>
    </row>
    <row r="77" spans="1:59" x14ac:dyDescent="0.2">
      <c r="C77" s="7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row>
    <row r="78" spans="1:59" x14ac:dyDescent="0.2">
      <c r="A78" s="76"/>
    </row>
    <row r="79" spans="1:59" x14ac:dyDescent="0.2">
      <c r="A79" s="76" t="s">
        <v>1269</v>
      </c>
      <c r="C79" s="76" t="s">
        <v>1266</v>
      </c>
    </row>
    <row r="80" spans="1:59" x14ac:dyDescent="0.2">
      <c r="C80" s="29">
        <v>15</v>
      </c>
      <c r="F80" s="85">
        <f>F$220*Population!K$125</f>
        <v>5907.340590979783</v>
      </c>
      <c r="G80" s="85">
        <f>G$220*Population!L$125</f>
        <v>5699.9171182658592</v>
      </c>
      <c r="H80" s="85">
        <f>H$220*Population!M$125</f>
        <v>5395.0554249244205</v>
      </c>
      <c r="I80" s="85">
        <f>I$220*Population!N$125</f>
        <v>5388.8455121788456</v>
      </c>
      <c r="J80" s="85">
        <f>J$220*Population!O$125</f>
        <v>5440.3935716628403</v>
      </c>
      <c r="K80" s="85">
        <f>K$220*Population!P$125</f>
        <v>5351.3699536730637</v>
      </c>
      <c r="L80" s="85">
        <f>L$220*Population!Q$125</f>
        <v>5400.5475880052145</v>
      </c>
      <c r="M80" s="85">
        <f>M$220*Population!R$125</f>
        <v>5632.6248836487748</v>
      </c>
      <c r="N80" s="85">
        <f>N$220*Population!S$125</f>
        <v>5802.6971326164876</v>
      </c>
      <c r="O80" s="85">
        <f>O$220*Population!T$125</f>
        <v>5809.0204808548524</v>
      </c>
      <c r="P80" s="85">
        <f>P$220*Population!U$125</f>
        <v>5795.509478672986</v>
      </c>
      <c r="Q80" s="85">
        <f>Q$220*Population!V$125</f>
        <v>5635.9183673469379</v>
      </c>
      <c r="R80" s="85">
        <f>R$220*Population!W$125</f>
        <v>5515.154894671623</v>
      </c>
      <c r="S80" s="85">
        <f>S$220*Population!X$125</f>
        <v>5432.0926567916804</v>
      </c>
      <c r="T80" s="85">
        <f>T$220*Population!Y$125</f>
        <v>5281.0662358642967</v>
      </c>
      <c r="U80" s="85">
        <f>U$220*Population!Z$125</f>
        <v>5235.9132720105126</v>
      </c>
      <c r="V80" s="85">
        <f>V$220*Population!AA$125</f>
        <v>5171.7093739863767</v>
      </c>
      <c r="W80" s="85">
        <f>W$220*Population!AB$125</f>
        <v>5217.6508344030808</v>
      </c>
      <c r="X80" s="85">
        <f>X$220*Population!AC$125</f>
        <v>5289.3129770992373</v>
      </c>
      <c r="Y80" s="85">
        <f>Y$220*Population!AD$125</f>
        <v>5349.5901639344265</v>
      </c>
      <c r="Z80" s="85">
        <f>Z$220*Population!AE$125</f>
        <v>5398.7871209753048</v>
      </c>
      <c r="AA80" s="85">
        <f>AA$220*Population!AF$125</f>
        <v>5437.3627055538318</v>
      </c>
      <c r="AB80" s="85">
        <f>AB$220*Population!AG$125</f>
        <v>5451.4673242909985</v>
      </c>
      <c r="AC80" s="85">
        <f>AC$220*Population!AH$125</f>
        <v>5466.1526670754138</v>
      </c>
      <c r="AD80" s="85">
        <f>AD$220*Population!AI$125</f>
        <v>5453.4981684981685</v>
      </c>
      <c r="AE80" s="85">
        <f>AE$220*Population!AJ$125</f>
        <v>5447.7541083384058</v>
      </c>
      <c r="AF80" s="85">
        <f>AF$220*Population!AK$125</f>
        <v>5425.3794778384945</v>
      </c>
      <c r="AG80" s="85">
        <f>AG$220*Population!AL$125</f>
        <v>5391.2947240751964</v>
      </c>
      <c r="AH80" s="85">
        <f>AH$220*Population!AM$125</f>
        <v>5354.7604608853844</v>
      </c>
      <c r="AI80" s="85">
        <f>AI$220*Population!AN$125</f>
        <v>5317.0145631067962</v>
      </c>
      <c r="AJ80" s="85">
        <f>AJ$220*Population!AO$125</f>
        <v>5270.6170212765956</v>
      </c>
      <c r="AK80" s="85">
        <f>AK$220*Population!AP$125</f>
        <v>5233.4572037770331</v>
      </c>
      <c r="AL80" s="85">
        <f>AL$220*Population!AQ$125</f>
        <v>5190.4703726328644</v>
      </c>
      <c r="AM80" s="85">
        <f>AM$220*Population!AR$125</f>
        <v>5150.554364471669</v>
      </c>
      <c r="AN80" s="85">
        <f>AN$220*Population!AS$125</f>
        <v>5122.4953959484346</v>
      </c>
      <c r="AO80" s="85">
        <f>AO$220*Population!AT$125</f>
        <v>5086.9228404549649</v>
      </c>
      <c r="AP80" s="85">
        <f>AP$220*Population!AU$125</f>
        <v>5078.0769230769229</v>
      </c>
      <c r="AQ80" s="85">
        <f>AQ$220*Population!AV$125</f>
        <v>5061.6861538461544</v>
      </c>
      <c r="AR80" s="85">
        <f>AR$220*Population!AW$125</f>
        <v>5060.129191018149</v>
      </c>
      <c r="AS80" s="85">
        <f>AS$220*Population!AX$125</f>
        <v>5071.7788018433175</v>
      </c>
      <c r="AT80" s="85">
        <f>AT$220*Population!AY$125</f>
        <v>5077.5575329855783</v>
      </c>
      <c r="AU80" s="85">
        <f>AU$220*Population!AZ$125</f>
        <v>5095.2191235059754</v>
      </c>
      <c r="AV80" s="85">
        <f>AV$220*Population!BA$125</f>
        <v>5102.4173806609551</v>
      </c>
      <c r="AW80" s="85">
        <f>AW$220*Population!BB$125</f>
        <v>5123.0867970660147</v>
      </c>
      <c r="AX80" s="85">
        <f>AX$220*Population!BC$125</f>
        <v>5133.3862595419841</v>
      </c>
      <c r="AY80" s="85">
        <f>AY$220*Population!BD$125</f>
        <v>5155.7155935306682</v>
      </c>
      <c r="AZ80" s="85">
        <f>AZ$220*Population!BE$125</f>
        <v>5166.0750228728266</v>
      </c>
      <c r="BA80" s="85">
        <f>BA$220*Population!BF$125</f>
        <v>5176.5</v>
      </c>
      <c r="BB80" s="85">
        <f>BB$220*Population!BG$125</f>
        <v>5188.4181651935387</v>
      </c>
      <c r="BC80" s="85">
        <f>BC$220*Population!BH$125</f>
        <v>5207.8099299421265</v>
      </c>
      <c r="BD80" s="85">
        <f>BD$220*Population!BI$125</f>
        <v>5215.0578210590384</v>
      </c>
      <c r="BE80" s="85">
        <f>BE$220*Population!BJ$125</f>
        <v>5231.2948328267476</v>
      </c>
      <c r="BF80" s="85">
        <f>BF$220*Population!BK$125</f>
        <v>5233.7621359223294</v>
      </c>
      <c r="BG80" s="85">
        <f>BG$220*Population!BL$125</f>
        <v>5245.321017565112</v>
      </c>
    </row>
    <row r="81" spans="3:59" x14ac:dyDescent="0.2">
      <c r="C81" s="29">
        <v>16</v>
      </c>
      <c r="F81" s="85">
        <f>F$221*Population!K$126</f>
        <v>10136.417484954069</v>
      </c>
      <c r="G81" s="85">
        <f>G$221*Population!L$126</f>
        <v>10449.892141756549</v>
      </c>
      <c r="H81" s="85">
        <f>H$221*Population!M$126</f>
        <v>10160.810639645346</v>
      </c>
      <c r="I81" s="85">
        <f>I$221*Population!N$126</f>
        <v>9702.7342447482497</v>
      </c>
      <c r="J81" s="85">
        <f>J$221*Population!O$126</f>
        <v>9756.5021530308059</v>
      </c>
      <c r="K81" s="85">
        <f>K$221*Population!P$126</f>
        <v>9906.9055374592845</v>
      </c>
      <c r="L81" s="85">
        <f>L$221*Population!Q$126</f>
        <v>9827.5188958264862</v>
      </c>
      <c r="M81" s="85">
        <f>M$221*Population!R$126</f>
        <v>9964.5581094205245</v>
      </c>
      <c r="N81" s="85">
        <f>N$221*Population!S$126</f>
        <v>10453.911837237978</v>
      </c>
      <c r="O81" s="85">
        <f>O$221*Population!T$126</f>
        <v>10824.256455921639</v>
      </c>
      <c r="P81" s="85">
        <f>P$221*Population!U$126</f>
        <v>10915.893805309734</v>
      </c>
      <c r="Q81" s="85">
        <f>Q$221*Population!V$126</f>
        <v>10948.793407886991</v>
      </c>
      <c r="R81" s="85">
        <f>R$221*Population!W$126</f>
        <v>10707.360774818402</v>
      </c>
      <c r="S81" s="85">
        <f>S$221*Population!X$126</f>
        <v>10540.766389658356</v>
      </c>
      <c r="T81" s="85">
        <f>T$221*Population!Y$126</f>
        <v>10416.694835680752</v>
      </c>
      <c r="U81" s="85">
        <f>U$221*Population!Z$126</f>
        <v>10176.657042027589</v>
      </c>
      <c r="V81" s="85">
        <f>V$221*Population!AA$126</f>
        <v>10136.790606653622</v>
      </c>
      <c r="W81" s="85">
        <f>W$221*Population!AB$126</f>
        <v>10058.695652173914</v>
      </c>
      <c r="X81" s="85">
        <f>X$221*Population!AC$126</f>
        <v>10181.472275334609</v>
      </c>
      <c r="Y81" s="85">
        <f>Y$221*Population!AD$126</f>
        <v>10353.66708780796</v>
      </c>
      <c r="Z81" s="85">
        <f>Z$221*Population!AE$126</f>
        <v>10504.34564809017</v>
      </c>
      <c r="AA81" s="85">
        <f>AA$221*Population!AF$126</f>
        <v>10633.88699161751</v>
      </c>
      <c r="AB81" s="85">
        <f>AB$221*Population!AG$126</f>
        <v>10742.989214175654</v>
      </c>
      <c r="AC81" s="85">
        <f>AC$221*Population!AH$126</f>
        <v>10803.81200244948</v>
      </c>
      <c r="AD81" s="85">
        <f>AD$221*Population!AI$126</f>
        <v>10830.386723507918</v>
      </c>
      <c r="AE81" s="85">
        <f>AE$221*Population!AJ$126</f>
        <v>10852.07701637356</v>
      </c>
      <c r="AF81" s="85">
        <f>AF$221*Population!AK$126</f>
        <v>10841.018742442564</v>
      </c>
      <c r="AG81" s="85">
        <f>AG$221*Population!AL$126</f>
        <v>10818.483112183354</v>
      </c>
      <c r="AH81" s="85">
        <f>AH$221*Population!AM$126</f>
        <v>10769.340361445782</v>
      </c>
      <c r="AI81" s="85">
        <f>AI$221*Population!AN$126</f>
        <v>10721.195783132529</v>
      </c>
      <c r="AJ81" s="85">
        <f>AJ$221*Population!AO$126</f>
        <v>10656.763110307415</v>
      </c>
      <c r="AK81" s="85">
        <f>AK$221*Population!AP$126</f>
        <v>10585.507246376812</v>
      </c>
      <c r="AL81" s="85">
        <f>AL$221*Population!AQ$126</f>
        <v>10500.862329803327</v>
      </c>
      <c r="AM81" s="85">
        <f>AM$221*Population!AR$126</f>
        <v>10425.63713592233</v>
      </c>
      <c r="AN81" s="85">
        <f>AN$221*Population!AS$126</f>
        <v>10353.293795620439</v>
      </c>
      <c r="AO81" s="85">
        <f>AO$221*Population!AT$126</f>
        <v>10300.457317073171</v>
      </c>
      <c r="AP81" s="85">
        <f>AP$221*Population!AU$126</f>
        <v>10250.213740458015</v>
      </c>
      <c r="AQ81" s="85">
        <f>AQ$221*Population!AV$126</f>
        <v>10222.163814180929</v>
      </c>
      <c r="AR81" s="85">
        <f>AR$221*Population!AW$126</f>
        <v>10210.158924205378</v>
      </c>
      <c r="AS81" s="85">
        <f>AS$221*Population!AX$126</f>
        <v>10207.039413382219</v>
      </c>
      <c r="AT81" s="85">
        <f>AT$221*Population!AY$126</f>
        <v>10219.960329569727</v>
      </c>
      <c r="AU81" s="85">
        <f>AU$221*Population!AZ$126</f>
        <v>10241.877476379153</v>
      </c>
      <c r="AV81" s="85">
        <f>AV$221*Population!BA$126</f>
        <v>10274.083992696287</v>
      </c>
      <c r="AW81" s="85">
        <f>AW$221*Population!BB$126</f>
        <v>10302</v>
      </c>
      <c r="AX81" s="85">
        <f>AX$221*Population!BC$126</f>
        <v>10332.908318154219</v>
      </c>
      <c r="AY81" s="85">
        <f>AY$221*Population!BD$126</f>
        <v>10363.952077646345</v>
      </c>
      <c r="AZ81" s="85">
        <f>AZ$221*Population!BE$126</f>
        <v>10398.150954834799</v>
      </c>
      <c r="BA81" s="85">
        <f>BA$221*Population!BF$126</f>
        <v>10418.842774916691</v>
      </c>
      <c r="BB81" s="85">
        <f>BB$221*Population!BG$126</f>
        <v>10453.219261053906</v>
      </c>
      <c r="BC81" s="85">
        <f>BC$221*Population!BH$126</f>
        <v>10470.886803874091</v>
      </c>
      <c r="BD81" s="85">
        <f>BD$221*Population!BI$126</f>
        <v>10499.116757410768</v>
      </c>
      <c r="BE81" s="85">
        <f>BE$221*Population!BJ$126</f>
        <v>10524.179510426111</v>
      </c>
      <c r="BF81" s="85">
        <f>BF$221*Population!BK$126</f>
        <v>10546.060971928766</v>
      </c>
      <c r="BG81" s="85">
        <f>BG$221*Population!BL$126</f>
        <v>10564.752863170585</v>
      </c>
    </row>
    <row r="82" spans="3:59" x14ac:dyDescent="0.2">
      <c r="C82" s="29">
        <v>17</v>
      </c>
      <c r="F82" s="85">
        <f>F$222*Population!K$127</f>
        <v>15573.646767708011</v>
      </c>
      <c r="G82" s="85">
        <f>G$222*Population!L$127</f>
        <v>15445.371589840075</v>
      </c>
      <c r="H82" s="85">
        <f>H$222*Population!M$127</f>
        <v>15949.497702909648</v>
      </c>
      <c r="I82" s="85">
        <f>I$222*Population!N$127</f>
        <v>15578.005662157912</v>
      </c>
      <c r="J82" s="85">
        <f>J$222*Population!O$127</f>
        <v>14923.335541570055</v>
      </c>
      <c r="K82" s="85">
        <f>K$222*Population!P$127</f>
        <v>15046.791707798619</v>
      </c>
      <c r="L82" s="85">
        <f>L$222*Population!Q$127</f>
        <v>15320.818505338078</v>
      </c>
      <c r="M82" s="85">
        <f>M$222*Population!R$127</f>
        <v>15219.634464751958</v>
      </c>
      <c r="N82" s="85">
        <f>N$222*Population!S$127</f>
        <v>15482.836012861737</v>
      </c>
      <c r="O82" s="85">
        <f>O$222*Population!T$127</f>
        <v>16289.911179173048</v>
      </c>
      <c r="P82" s="85">
        <f>P$222*Population!U$127</f>
        <v>16928.509884921805</v>
      </c>
      <c r="Q82" s="85">
        <f>Q$222*Population!V$127</f>
        <v>17105.118733509236</v>
      </c>
      <c r="R82" s="85">
        <f>R$222*Population!W$127</f>
        <v>17198.244587478057</v>
      </c>
      <c r="S82" s="85">
        <f>S$222*Population!X$127</f>
        <v>16872.965413533835</v>
      </c>
      <c r="T82" s="85">
        <f>T$222*Population!Y$127</f>
        <v>16636.238532110092</v>
      </c>
      <c r="U82" s="85">
        <f>U$222*Population!Z$127</f>
        <v>16491.744945567651</v>
      </c>
      <c r="V82" s="85">
        <f>V$222*Population!AA$127</f>
        <v>16144.972904048454</v>
      </c>
      <c r="W82" s="85">
        <f>W$222*Population!AB$127</f>
        <v>16101.807580174927</v>
      </c>
      <c r="X82" s="85">
        <f>X$222*Population!AC$127</f>
        <v>16023.475200000001</v>
      </c>
      <c r="Y82" s="85">
        <f>Y$222*Population!AD$127</f>
        <v>16225.71247625079</v>
      </c>
      <c r="Z82" s="85">
        <f>Z$222*Population!AE$127</f>
        <v>16519.39127706307</v>
      </c>
      <c r="AA82" s="85">
        <f>AA$222*Population!AF$127</f>
        <v>16778.625194401244</v>
      </c>
      <c r="AB82" s="85">
        <f>AB$222*Population!AG$127</f>
        <v>17009.450956199878</v>
      </c>
      <c r="AC82" s="85">
        <f>AC$222*Population!AH$127</f>
        <v>17192.308634415185</v>
      </c>
      <c r="AD82" s="85">
        <f>AD$222*Population!AI$127</f>
        <v>17306.632187404928</v>
      </c>
      <c r="AE82" s="85">
        <f>AE$222*Population!AJ$127</f>
        <v>17376.876513317191</v>
      </c>
      <c r="AF82" s="85">
        <f>AF$222*Population!AK$127</f>
        <v>17418.336347197106</v>
      </c>
      <c r="AG82" s="85">
        <f>AG$222*Population!AL$127</f>
        <v>17415.271853409431</v>
      </c>
      <c r="AH82" s="85">
        <f>AH$222*Population!AM$127</f>
        <v>17393.417266187051</v>
      </c>
      <c r="AI82" s="85">
        <f>AI$222*Population!AN$127</f>
        <v>17325.838323353295</v>
      </c>
      <c r="AJ82" s="85">
        <f>AJ$222*Population!AO$127</f>
        <v>17254.642322657888</v>
      </c>
      <c r="AK82" s="85">
        <f>AK$222*Population!AP$127</f>
        <v>17158.535050928702</v>
      </c>
      <c r="AL82" s="85">
        <f>AL$222*Population!AQ$127</f>
        <v>17041.704170417041</v>
      </c>
      <c r="AM82" s="85">
        <f>AM$222*Population!AR$127</f>
        <v>16919.711365003004</v>
      </c>
      <c r="AN82" s="85">
        <f>AN$222*Population!AS$127</f>
        <v>16807.910762737414</v>
      </c>
      <c r="AO82" s="85">
        <f>AO$222*Population!AT$127</f>
        <v>16700.634632819583</v>
      </c>
      <c r="AP82" s="85">
        <f>AP$222*Population!AU$127</f>
        <v>16618.252044834899</v>
      </c>
      <c r="AQ82" s="85">
        <f>AQ$222*Population!AV$127</f>
        <v>16539.963592233009</v>
      </c>
      <c r="AR82" s="85">
        <f>AR$222*Population!AW$127</f>
        <v>16501.357424840571</v>
      </c>
      <c r="AS82" s="85">
        <f>AS$222*Population!AX$127</f>
        <v>16482.153051928333</v>
      </c>
      <c r="AT82" s="85">
        <f>AT$222*Population!AY$127</f>
        <v>16477.14936247723</v>
      </c>
      <c r="AU82" s="85">
        <f>AU$222*Population!AZ$127</f>
        <v>16501.983020012129</v>
      </c>
      <c r="AV82" s="85">
        <f>AV$222*Population!BA$127</f>
        <v>16541.21744397335</v>
      </c>
      <c r="AW82" s="85">
        <f>AW$222*Population!BB$127</f>
        <v>16580.23888720895</v>
      </c>
      <c r="AX82" s="85">
        <f>AX$222*Population!BC$127</f>
        <v>16629.069767441859</v>
      </c>
      <c r="AY82" s="85">
        <f>AY$222*Population!BD$127</f>
        <v>16682.70286576169</v>
      </c>
      <c r="AZ82" s="85">
        <f>AZ$222*Population!BE$127</f>
        <v>16736.582278481012</v>
      </c>
      <c r="BA82" s="85">
        <f>BA$222*Population!BF$127</f>
        <v>16785.01204819277</v>
      </c>
      <c r="BB82" s="85">
        <f>BB$222*Population!BG$127</f>
        <v>16828.642384105962</v>
      </c>
      <c r="BC82" s="85">
        <f>BC$222*Population!BH$127</f>
        <v>16866.777008727055</v>
      </c>
      <c r="BD82" s="85">
        <f>BD$222*Population!BI$127</f>
        <v>16905.599999999999</v>
      </c>
      <c r="BE82" s="85">
        <f>BE$222*Population!BJ$127</f>
        <v>16944.424406372105</v>
      </c>
      <c r="BF82" s="85">
        <f>BF$222*Population!BK$127</f>
        <v>16978.150150150152</v>
      </c>
      <c r="BG82" s="85">
        <f>BG$222*Population!BL$127</f>
        <v>17017.39652069586</v>
      </c>
    </row>
    <row r="83" spans="3:59" x14ac:dyDescent="0.2">
      <c r="C83" s="29">
        <v>18</v>
      </c>
      <c r="F83" s="85">
        <f>F$223*Population!K$128</f>
        <v>19998.934550989346</v>
      </c>
      <c r="G83" s="85">
        <f>G$223*Population!L$128</f>
        <v>20224.826536822882</v>
      </c>
      <c r="H83" s="85">
        <f>H$223*Population!M$128</f>
        <v>20138.886123210952</v>
      </c>
      <c r="I83" s="85">
        <f>I$223*Population!N$128</f>
        <v>20724.870859920997</v>
      </c>
      <c r="J83" s="85">
        <f>J$223*Population!O$128</f>
        <v>20201.011235955059</v>
      </c>
      <c r="K83" s="85">
        <f>K$223*Population!P$128</f>
        <v>19316.505747126437</v>
      </c>
      <c r="L83" s="85">
        <f>L$223*Population!Q$128</f>
        <v>19430.319738988583</v>
      </c>
      <c r="M83" s="85">
        <f>M$223*Population!R$128</f>
        <v>19732.326700898589</v>
      </c>
      <c r="N83" s="85">
        <f>N$223*Population!S$128</f>
        <v>19598.530744336567</v>
      </c>
      <c r="O83" s="85">
        <f>O$223*Population!T$128</f>
        <v>19933.684210526317</v>
      </c>
      <c r="P83" s="85">
        <f>P$223*Population!U$128</f>
        <v>20962.947432391367</v>
      </c>
      <c r="Q83" s="85">
        <f>Q$223*Population!V$128</f>
        <v>21771.918008784774</v>
      </c>
      <c r="R83" s="85">
        <f>R$223*Population!W$128</f>
        <v>21999.394821064885</v>
      </c>
      <c r="S83" s="85">
        <f>S$223*Population!X$128</f>
        <v>22116.916376306621</v>
      </c>
      <c r="T83" s="85">
        <f>T$223*Population!Y$128</f>
        <v>21705.550581915846</v>
      </c>
      <c r="U83" s="85">
        <f>U$223*Population!Z$128</f>
        <v>21408.021844660194</v>
      </c>
      <c r="V83" s="85">
        <f>V$223*Population!AA$128</f>
        <v>21224.942918852204</v>
      </c>
      <c r="W83" s="85">
        <f>W$223*Population!AB$128</f>
        <v>20787.401201391083</v>
      </c>
      <c r="X83" s="85">
        <f>X$223*Population!AC$128</f>
        <v>20733.376164471571</v>
      </c>
      <c r="Y83" s="85">
        <f>Y$223*Population!AD$128</f>
        <v>20619.517766497462</v>
      </c>
      <c r="Z83" s="85">
        <f>Z$223*Population!AE$128</f>
        <v>20886.555729984299</v>
      </c>
      <c r="AA83" s="85">
        <f>AA$223*Population!AF$128</f>
        <v>21274.845938375351</v>
      </c>
      <c r="AB83" s="85">
        <f>AB$223*Population!AG$128</f>
        <v>21609.6297439062</v>
      </c>
      <c r="AC83" s="85">
        <f>AC$223*Population!AH$128</f>
        <v>21891.279069767443</v>
      </c>
      <c r="AD83" s="85">
        <f>AD$223*Population!AI$128</f>
        <v>22120.990279465368</v>
      </c>
      <c r="AE83" s="85">
        <f>AE$223*Population!AJ$128</f>
        <v>22264.581949894357</v>
      </c>
      <c r="AF83" s="85">
        <f>AF$223*Population!AK$128</f>
        <v>22356.286400480334</v>
      </c>
      <c r="AG83" s="85">
        <f>AG$223*Population!AL$128</f>
        <v>22404.005979073241</v>
      </c>
      <c r="AH83" s="85">
        <f>AH$223*Population!AM$128</f>
        <v>22408.96572280179</v>
      </c>
      <c r="AI83" s="85">
        <f>AI$223*Population!AN$128</f>
        <v>22367.505203687182</v>
      </c>
      <c r="AJ83" s="85">
        <f>AJ$223*Population!AO$128</f>
        <v>22295.559845559845</v>
      </c>
      <c r="AK83" s="85">
        <f>AK$223*Population!AP$128</f>
        <v>22202.601722601725</v>
      </c>
      <c r="AL83" s="85">
        <f>AL$223*Population!AQ$128</f>
        <v>22072.106983655278</v>
      </c>
      <c r="AM83" s="85">
        <f>AM$223*Population!AR$128</f>
        <v>21938.800238166124</v>
      </c>
      <c r="AN83" s="85">
        <f>AN$223*Population!AS$128</f>
        <v>21784.52863961814</v>
      </c>
      <c r="AO83" s="85">
        <f>AO$223*Population!AT$128</f>
        <v>21636.797248803829</v>
      </c>
      <c r="AP83" s="85">
        <f>AP$223*Population!AU$128</f>
        <v>21507.730134932532</v>
      </c>
      <c r="AQ83" s="85">
        <f>AQ$223*Population!AV$128</f>
        <v>21394.615384615387</v>
      </c>
      <c r="AR83" s="85">
        <f>AR$223*Population!AW$128</f>
        <v>21299.494280553885</v>
      </c>
      <c r="AS83" s="85">
        <f>AS$223*Population!AX$128</f>
        <v>21246.867469879518</v>
      </c>
      <c r="AT83" s="85">
        <f>AT$223*Population!AY$128</f>
        <v>21228.84001205182</v>
      </c>
      <c r="AU83" s="85">
        <f>AU$223*Population!AZ$128</f>
        <v>21226.522131887985</v>
      </c>
      <c r="AV83" s="85">
        <f>AV$223*Population!BA$128</f>
        <v>21258.814681107098</v>
      </c>
      <c r="AW83" s="85">
        <f>AW$223*Population!BB$128</f>
        <v>21296.629618504056</v>
      </c>
      <c r="AX83" s="85">
        <f>AX$223*Population!BC$128</f>
        <v>21357.425742574254</v>
      </c>
      <c r="AY83" s="85">
        <f>AY$223*Population!BD$128</f>
        <v>21424.032354703417</v>
      </c>
      <c r="AZ83" s="85">
        <f>AZ$223*Population!BE$128</f>
        <v>21480.430879712749</v>
      </c>
      <c r="BA83" s="85">
        <f>BA$223*Population!BF$128</f>
        <v>21543.252615844543</v>
      </c>
      <c r="BB83" s="85">
        <f>BB$223*Population!BG$128</f>
        <v>21612.536599940246</v>
      </c>
      <c r="BC83" s="85">
        <f>BC$223*Population!BH$128</f>
        <v>21665.153777246942</v>
      </c>
      <c r="BD83" s="85">
        <f>BD$223*Population!BI$128</f>
        <v>21713.626865671642</v>
      </c>
      <c r="BE83" s="85">
        <f>BE$223*Population!BJ$128</f>
        <v>21760.113365155132</v>
      </c>
      <c r="BF83" s="85">
        <f>BF$223*Population!BK$128</f>
        <v>21806.592128801429</v>
      </c>
      <c r="BG83" s="85">
        <f>BG$223*Population!BL$128</f>
        <v>21863.324396782842</v>
      </c>
    </row>
    <row r="84" spans="3:59" x14ac:dyDescent="0.2">
      <c r="C84" s="29">
        <v>19</v>
      </c>
      <c r="F84" s="85">
        <f>F$224*Population!K$129</f>
        <v>22354.102189781021</v>
      </c>
      <c r="G84" s="85">
        <f>G$224*Population!L$129</f>
        <v>22260.023724792409</v>
      </c>
      <c r="H84" s="85">
        <f>H$224*Population!M$129</f>
        <v>22342.331030339439</v>
      </c>
      <c r="I84" s="85">
        <f>I$224*Population!N$129</f>
        <v>22141.443045747623</v>
      </c>
      <c r="J84" s="85">
        <f>J$224*Population!O$129</f>
        <v>22656.910617876427</v>
      </c>
      <c r="K84" s="85">
        <f>K$224*Population!P$129</f>
        <v>21993.529411764706</v>
      </c>
      <c r="L84" s="85">
        <f>L$224*Population!Q$129</f>
        <v>20961.016839378237</v>
      </c>
      <c r="M84" s="85">
        <f>M$224*Population!R$129</f>
        <v>20957.622265122267</v>
      </c>
      <c r="N84" s="85">
        <f>N$224*Population!S$129</f>
        <v>21278.354430379746</v>
      </c>
      <c r="O84" s="85">
        <f>O$224*Population!T$129</f>
        <v>21136.958187041175</v>
      </c>
      <c r="P84" s="85">
        <f>P$224*Population!U$129</f>
        <v>21495.294117647059</v>
      </c>
      <c r="Q84" s="85">
        <f>Q$224*Population!V$129</f>
        <v>22589.742051589681</v>
      </c>
      <c r="R84" s="85">
        <f>R$224*Population!W$129</f>
        <v>23434.622723330442</v>
      </c>
      <c r="S84" s="85">
        <f>S$224*Population!X$129</f>
        <v>23684.827586206895</v>
      </c>
      <c r="T84" s="85">
        <f>T$224*Population!Y$129</f>
        <v>23805.914564220184</v>
      </c>
      <c r="U84" s="85">
        <f>U$224*Population!Z$129</f>
        <v>23374.681791396582</v>
      </c>
      <c r="V84" s="85">
        <f>V$224*Population!AA$129</f>
        <v>23066.199460916439</v>
      </c>
      <c r="W84" s="85">
        <f>W$224*Population!AB$129</f>
        <v>22865.016742770167</v>
      </c>
      <c r="X84" s="85">
        <f>X$224*Population!AC$129</f>
        <v>22399.906454630494</v>
      </c>
      <c r="Y84" s="85">
        <f>Y$224*Population!AD$129</f>
        <v>22359.068441064639</v>
      </c>
      <c r="Z84" s="85">
        <f>Z$224*Population!AE$129</f>
        <v>22233.427230046949</v>
      </c>
      <c r="AA84" s="85">
        <f>AA$224*Population!AF$129</f>
        <v>22514.346344485752</v>
      </c>
      <c r="AB84" s="85">
        <f>AB$224*Population!AG$129</f>
        <v>22918.108688977587</v>
      </c>
      <c r="AC84" s="85">
        <f>AC$224*Population!AH$129</f>
        <v>23272.742770167428</v>
      </c>
      <c r="AD84" s="85">
        <f>AD$224*Population!AI$129</f>
        <v>23571.705917874398</v>
      </c>
      <c r="AE84" s="85">
        <f>AE$224*Population!AJ$129</f>
        <v>23816.306954436452</v>
      </c>
      <c r="AF84" s="85">
        <f>AF$224*Population!AK$129</f>
        <v>23971.581769436998</v>
      </c>
      <c r="AG84" s="85">
        <f>AG$224*Population!AL$129</f>
        <v>24079.668049792534</v>
      </c>
      <c r="AH84" s="85">
        <f>AH$224*Population!AM$129</f>
        <v>24117.176158158749</v>
      </c>
      <c r="AI84" s="85">
        <f>AI$224*Population!AN$129</f>
        <v>24129.449838187702</v>
      </c>
      <c r="AJ84" s="85">
        <f>AJ$224*Population!AO$129</f>
        <v>24088.670384502493</v>
      </c>
      <c r="AK84" s="85">
        <f>AK$224*Population!AP$129</f>
        <v>24004.602755790089</v>
      </c>
      <c r="AL84" s="85">
        <f>AL$224*Population!AQ$129</f>
        <v>23911.908531222518</v>
      </c>
      <c r="AM84" s="85">
        <f>AM$224*Population!AR$129</f>
        <v>23768.37195658551</v>
      </c>
      <c r="AN84" s="85">
        <f>AN$224*Population!AS$129</f>
        <v>23635.47751983544</v>
      </c>
      <c r="AO84" s="85">
        <f>AO$224*Population!AT$129</f>
        <v>23468.633686690224</v>
      </c>
      <c r="AP84" s="85">
        <f>AP$224*Population!AU$129</f>
        <v>23304.557260920898</v>
      </c>
      <c r="AQ84" s="85">
        <f>AQ$224*Population!AV$129</f>
        <v>23170.938147380879</v>
      </c>
      <c r="AR84" s="85">
        <f>AR$224*Population!AW$129</f>
        <v>23043.007117437723</v>
      </c>
      <c r="AS84" s="85">
        <f>AS$224*Population!AX$129</f>
        <v>22954.894564894566</v>
      </c>
      <c r="AT84" s="85">
        <f>AT$224*Population!AY$129</f>
        <v>22889.563020214031</v>
      </c>
      <c r="AU84" s="85">
        <f>AU$224*Population!AZ$129</f>
        <v>22863.677170035673</v>
      </c>
      <c r="AV84" s="85">
        <f>AV$224*Population!BA$129</f>
        <v>22873.854383358099</v>
      </c>
      <c r="AW84" s="85">
        <f>AW$224*Population!BB$129</f>
        <v>22900.029682398337</v>
      </c>
      <c r="AX84" s="85">
        <f>AX$224*Population!BC$129</f>
        <v>22949.653127779427</v>
      </c>
      <c r="AY84" s="85">
        <f>AY$224*Population!BD$129</f>
        <v>23011.888691533451</v>
      </c>
      <c r="AZ84" s="85">
        <f>AZ$224*Population!BE$129</f>
        <v>23080.940272028387</v>
      </c>
      <c r="BA84" s="85">
        <f>BA$224*Population!BF$129</f>
        <v>23145.915534554046</v>
      </c>
      <c r="BB84" s="85">
        <f>BB$224*Population!BG$129</f>
        <v>23211.245205075244</v>
      </c>
      <c r="BC84" s="85">
        <f>BC$224*Population!BH$129</f>
        <v>23276.577240566039</v>
      </c>
      <c r="BD84" s="85">
        <f>BD$224*Population!BI$129</f>
        <v>23338.567639257297</v>
      </c>
      <c r="BE84" s="85">
        <f>BE$224*Population!BJ$129</f>
        <v>23393.681885125185</v>
      </c>
      <c r="BF84" s="85">
        <f>BF$224*Population!BK$129</f>
        <v>23449.216725559483</v>
      </c>
      <c r="BG84" s="85">
        <f>BG$224*Population!BL$129</f>
        <v>23497.848734549734</v>
      </c>
    </row>
    <row r="85" spans="3:59" x14ac:dyDescent="0.2">
      <c r="C85" s="29">
        <v>20</v>
      </c>
      <c r="F85" s="85">
        <f>F$225*Population!K$130</f>
        <v>23585.826839826837</v>
      </c>
      <c r="G85" s="85">
        <f>G$225*Population!L$130</f>
        <v>24412.006269592475</v>
      </c>
      <c r="H85" s="85">
        <f>H$225*Population!M$130</f>
        <v>24193.595077644302</v>
      </c>
      <c r="I85" s="85">
        <f>I$225*Population!N$130</f>
        <v>24139.6646884273</v>
      </c>
      <c r="J85" s="85">
        <f>J$225*Population!O$130</f>
        <v>23791.000606428141</v>
      </c>
      <c r="K85" s="85">
        <f>K$225*Population!P$130</f>
        <v>24196.408888888891</v>
      </c>
      <c r="L85" s="85">
        <f>L$225*Population!Q$130</f>
        <v>23366.889632107024</v>
      </c>
      <c r="M85" s="85">
        <f>M$225*Population!R$130</f>
        <v>22148.638977635783</v>
      </c>
      <c r="N85" s="85">
        <f>N$225*Population!S$130</f>
        <v>22164.064782470625</v>
      </c>
      <c r="O85" s="85">
        <f>O$225*Population!T$130</f>
        <v>22487.054045610748</v>
      </c>
      <c r="P85" s="85">
        <f>P$225*Population!U$130</f>
        <v>22354.36042848141</v>
      </c>
      <c r="Q85" s="85">
        <f>Q$225*Population!V$130</f>
        <v>22718.310559006211</v>
      </c>
      <c r="R85" s="85">
        <f>R$225*Population!W$130</f>
        <v>23852.48</v>
      </c>
      <c r="S85" s="85">
        <f>S$225*Population!X$130</f>
        <v>24739.542857142857</v>
      </c>
      <c r="T85" s="85">
        <f>T$225*Population!Y$130</f>
        <v>25004.615166145981</v>
      </c>
      <c r="U85" s="85">
        <f>U$225*Population!Z$130</f>
        <v>25121.847548880702</v>
      </c>
      <c r="V85" s="85">
        <f>V$225*Population!AA$130</f>
        <v>24667.013969732245</v>
      </c>
      <c r="W85" s="85">
        <f>W$225*Population!AB$130</f>
        <v>24351.020408163266</v>
      </c>
      <c r="X85" s="85">
        <f>X$225*Population!AC$130</f>
        <v>24136.190619362598</v>
      </c>
      <c r="Y85" s="85">
        <f>Y$225*Population!AD$130</f>
        <v>23663.339489073562</v>
      </c>
      <c r="Z85" s="85">
        <f>Z$225*Population!AE$130</f>
        <v>23606.941838649156</v>
      </c>
      <c r="AA85" s="85">
        <f>AA$225*Population!AF$130</f>
        <v>23482.255174544331</v>
      </c>
      <c r="AB85" s="85">
        <f>AB$225*Population!AG$130</f>
        <v>23776.238532110092</v>
      </c>
      <c r="AC85" s="85">
        <f>AC$225*Population!AH$130</f>
        <v>24192.406789936344</v>
      </c>
      <c r="AD85" s="85">
        <f>AD$225*Population!AI$130</f>
        <v>24571.36158701533</v>
      </c>
      <c r="AE85" s="85">
        <f>AE$225*Population!AJ$130</f>
        <v>24886.046511627905</v>
      </c>
      <c r="AF85" s="85">
        <f>AF$225*Population!AK$130</f>
        <v>25133.528715216104</v>
      </c>
      <c r="AG85" s="85">
        <f>AG$225*Population!AL$130</f>
        <v>25300.335392762576</v>
      </c>
      <c r="AH85" s="85">
        <f>AH$225*Population!AM$130</f>
        <v>25407.400468384072</v>
      </c>
      <c r="AI85" s="85">
        <f>AI$225*Population!AN$130</f>
        <v>25453.325561060916</v>
      </c>
      <c r="AJ85" s="85">
        <f>AJ$225*Population!AO$130</f>
        <v>25462.874164487068</v>
      </c>
      <c r="AK85" s="85">
        <f>AK$225*Population!AP$130</f>
        <v>25418.0748042911</v>
      </c>
      <c r="AL85" s="85">
        <f>AL$225*Population!AQ$130</f>
        <v>25340.437300897771</v>
      </c>
      <c r="AM85" s="85">
        <f>AM$225*Population!AR$130</f>
        <v>25225.214244354371</v>
      </c>
      <c r="AN85" s="85">
        <f>AN$225*Population!AS$130</f>
        <v>25101.385105766447</v>
      </c>
      <c r="AO85" s="85">
        <f>AO$225*Population!AT$130</f>
        <v>24939.500870574579</v>
      </c>
      <c r="AP85" s="85">
        <f>AP$225*Population!AU$130</f>
        <v>24775.122164048866</v>
      </c>
      <c r="AQ85" s="85">
        <f>AQ$225*Population!AV$130</f>
        <v>24606.813411078718</v>
      </c>
      <c r="AR85" s="85">
        <f>AR$225*Population!AW$130</f>
        <v>24462.641729982468</v>
      </c>
      <c r="AS85" s="85">
        <f>AS$225*Population!AX$130</f>
        <v>24338.676039835969</v>
      </c>
      <c r="AT85" s="85">
        <f>AT$225*Population!AY$130</f>
        <v>24237.623936638309</v>
      </c>
      <c r="AU85" s="85">
        <f>AU$225*Population!AZ$130</f>
        <v>24170.42865531415</v>
      </c>
      <c r="AV85" s="85">
        <f>AV$225*Population!BA$130</f>
        <v>24143.45273047563</v>
      </c>
      <c r="AW85" s="85">
        <f>AW$225*Population!BB$130</f>
        <v>24146.531690140848</v>
      </c>
      <c r="AX85" s="85">
        <f>AX$225*Population!BC$130</f>
        <v>24190.51890941073</v>
      </c>
      <c r="AY85" s="85">
        <f>AY$225*Population!BD$130</f>
        <v>24240.56206088993</v>
      </c>
      <c r="AZ85" s="85">
        <f>AZ$225*Population!BE$130</f>
        <v>24304.447368421053</v>
      </c>
      <c r="BA85" s="85">
        <f>BA$225*Population!BF$130</f>
        <v>24374.715328467155</v>
      </c>
      <c r="BB85" s="85">
        <f>BB$225*Population!BG$130</f>
        <v>24434.785651793525</v>
      </c>
      <c r="BC85" s="85">
        <f>BC$225*Population!BH$130</f>
        <v>24512.558275058276</v>
      </c>
      <c r="BD85" s="85">
        <f>BD$225*Population!BI$130</f>
        <v>24576.307513104253</v>
      </c>
      <c r="BE85" s="85">
        <f>BE$225*Population!BJ$130</f>
        <v>24633.297438882419</v>
      </c>
      <c r="BF85" s="85">
        <f>BF$225*Population!BK$130</f>
        <v>24697.457084666861</v>
      </c>
      <c r="BG85" s="85">
        <f>BG$225*Population!BL$130</f>
        <v>24747.688281477174</v>
      </c>
    </row>
    <row r="86" spans="3:59" x14ac:dyDescent="0.2">
      <c r="C86" s="29">
        <v>21</v>
      </c>
      <c r="F86" s="85">
        <f>F$226*Population!K$131</f>
        <v>26060.115874855157</v>
      </c>
      <c r="G86" s="85">
        <f>G$226*Population!L$131</f>
        <v>27180.390934844192</v>
      </c>
      <c r="H86" s="85">
        <f>H$226*Population!M$131</f>
        <v>28068.103741496601</v>
      </c>
      <c r="I86" s="85">
        <f>I$226*Population!N$131</f>
        <v>27681.491841491843</v>
      </c>
      <c r="J86" s="85">
        <f>J$226*Population!O$131</f>
        <v>27463.499557391562</v>
      </c>
      <c r="K86" s="85">
        <f>K$226*Population!P$131</f>
        <v>26907.905364677517</v>
      </c>
      <c r="L86" s="85">
        <f>L$226*Population!Q$131</f>
        <v>27211.025338833235</v>
      </c>
      <c r="M86" s="85">
        <f>M$226*Population!R$131</f>
        <v>26125.525997581619</v>
      </c>
      <c r="N86" s="85">
        <f>N$226*Population!S$131</f>
        <v>24770.603366147981</v>
      </c>
      <c r="O86" s="85">
        <f>O$226*Population!T$131</f>
        <v>24785.528557904705</v>
      </c>
      <c r="P86" s="85">
        <f>P$226*Population!U$131</f>
        <v>25153.008382489908</v>
      </c>
      <c r="Q86" s="85">
        <f>Q$226*Population!V$131</f>
        <v>24998.143393863491</v>
      </c>
      <c r="R86" s="85">
        <f>R$226*Population!W$131</f>
        <v>25405.45061728395</v>
      </c>
      <c r="S86" s="85">
        <f>S$226*Population!X$131</f>
        <v>26662.851251840944</v>
      </c>
      <c r="T86" s="85">
        <f>T$226*Population!Y$131</f>
        <v>27663.330491616936</v>
      </c>
      <c r="U86" s="85">
        <f>U$226*Population!Z$131</f>
        <v>27943.146003953687</v>
      </c>
      <c r="V86" s="85">
        <f>V$226*Population!AA$131</f>
        <v>28085.683291067908</v>
      </c>
      <c r="W86" s="85">
        <f>W$226*Population!AB$131</f>
        <v>27588.619392185239</v>
      </c>
      <c r="X86" s="85">
        <f>X$226*Population!AC$131</f>
        <v>27230.837988826817</v>
      </c>
      <c r="Y86" s="85">
        <f>Y$226*Population!AD$131</f>
        <v>26993.625224148236</v>
      </c>
      <c r="Z86" s="85">
        <f>Z$226*Population!AE$131</f>
        <v>26465.986540226371</v>
      </c>
      <c r="AA86" s="85">
        <f>AA$226*Population!AF$131</f>
        <v>26401.398384089494</v>
      </c>
      <c r="AB86" s="85">
        <f>AB$226*Population!AG$131</f>
        <v>26263.432606693274</v>
      </c>
      <c r="AC86" s="85">
        <f>AC$226*Population!AH$131</f>
        <v>26596.158054711246</v>
      </c>
      <c r="AD86" s="85">
        <f>AD$226*Population!AI$131</f>
        <v>27053.148538716483</v>
      </c>
      <c r="AE86" s="85">
        <f>AE$226*Population!AJ$131</f>
        <v>27465.703615177768</v>
      </c>
      <c r="AF86" s="85">
        <f>AF$226*Population!AK$131</f>
        <v>27826.484884410194</v>
      </c>
      <c r="AG86" s="85">
        <f>AG$226*Population!AL$131</f>
        <v>28104.031783402002</v>
      </c>
      <c r="AH86" s="85">
        <f>AH$226*Population!AM$131</f>
        <v>28283.269961977185</v>
      </c>
      <c r="AI86" s="85">
        <f>AI$226*Population!AN$131</f>
        <v>28401.26563863835</v>
      </c>
      <c r="AJ86" s="85">
        <f>AJ$226*Population!AO$131</f>
        <v>28448.241089539264</v>
      </c>
      <c r="AK86" s="85">
        <f>AK$226*Population!AP$131</f>
        <v>28452.97804737146</v>
      </c>
      <c r="AL86" s="85">
        <f>AL$226*Population!AQ$131</f>
        <v>28416.145863361202</v>
      </c>
      <c r="AM86" s="85">
        <f>AM$226*Population!AR$131</f>
        <v>28326.08695652174</v>
      </c>
      <c r="AN86" s="85">
        <f>AN$226*Population!AS$131</f>
        <v>28208.730569948184</v>
      </c>
      <c r="AO86" s="85">
        <f>AO$226*Population!AT$131</f>
        <v>28061.351195620857</v>
      </c>
      <c r="AP86" s="85">
        <f>AP$226*Population!AU$131</f>
        <v>27886.081938834392</v>
      </c>
      <c r="AQ86" s="85">
        <f>AQ$226*Population!AV$131</f>
        <v>27698.005203816134</v>
      </c>
      <c r="AR86" s="85">
        <f>AR$226*Population!AW$131</f>
        <v>27525.947826086958</v>
      </c>
      <c r="AS86" s="85">
        <f>AS$226*Population!AX$131</f>
        <v>27360.889018012782</v>
      </c>
      <c r="AT86" s="85">
        <f>AT$226*Population!AY$131</f>
        <v>27210.419213973801</v>
      </c>
      <c r="AU86" s="85">
        <f>AU$226*Population!AZ$131</f>
        <v>27103.167104111984</v>
      </c>
      <c r="AV86" s="85">
        <f>AV$226*Population!BA$131</f>
        <v>27030.38517653925</v>
      </c>
      <c r="AW86" s="85">
        <f>AW$226*Population!BB$131</f>
        <v>27000.376422526992</v>
      </c>
      <c r="AX86" s="85">
        <f>AX$226*Population!BC$131</f>
        <v>27021.003500583429</v>
      </c>
      <c r="AY86" s="85">
        <f>AY$226*Population!BD$131</f>
        <v>27048.004079254079</v>
      </c>
      <c r="AZ86" s="85">
        <f>AZ$226*Population!BE$131</f>
        <v>27108.015133876597</v>
      </c>
      <c r="BA86" s="85">
        <f>BA$226*Population!BF$131</f>
        <v>27178.157512351063</v>
      </c>
      <c r="BB86" s="85">
        <f>BB$226*Population!BG$131</f>
        <v>27253.178519593617</v>
      </c>
      <c r="BC86" s="85">
        <f>BC$226*Population!BH$131</f>
        <v>27335.703102348503</v>
      </c>
      <c r="BD86" s="85">
        <f>BD$226*Population!BI$131</f>
        <v>27410.724008108889</v>
      </c>
      <c r="BE86" s="85">
        <f>BE$226*Population!BJ$131</f>
        <v>27491.05354558611</v>
      </c>
      <c r="BF86" s="85">
        <f>BF$226*Population!BK$131</f>
        <v>27553.277408157359</v>
      </c>
      <c r="BG86" s="85">
        <f>BG$226*Population!BL$131</f>
        <v>27623.467322151533</v>
      </c>
    </row>
    <row r="87" spans="3:59" x14ac:dyDescent="0.2">
      <c r="C87" s="29">
        <v>22</v>
      </c>
      <c r="F87" s="85">
        <f>F$227*Population!K$132</f>
        <v>28109.559458681255</v>
      </c>
      <c r="G87" s="85">
        <f>G$227*Population!L$132</f>
        <v>28735.206611570247</v>
      </c>
      <c r="H87" s="85">
        <f>H$227*Population!M$132</f>
        <v>29979.892442683275</v>
      </c>
      <c r="I87" s="85">
        <f>I$227*Population!N$132</f>
        <v>30728.799546998867</v>
      </c>
      <c r="J87" s="85">
        <f>J$227*Population!O$132</f>
        <v>30113.294528521536</v>
      </c>
      <c r="K87" s="85">
        <f>K$227*Population!P$132</f>
        <v>29674.783377541997</v>
      </c>
      <c r="L87" s="85">
        <f>L$227*Population!Q$132</f>
        <v>28897.512797350199</v>
      </c>
      <c r="M87" s="85">
        <f>M$227*Population!R$132</f>
        <v>28995.688640376691</v>
      </c>
      <c r="N87" s="85">
        <f>N$227*Population!S$132</f>
        <v>27850.108695652172</v>
      </c>
      <c r="O87" s="85">
        <f>O$227*Population!T$132</f>
        <v>26414.843006660325</v>
      </c>
      <c r="P87" s="85">
        <f>P$227*Population!U$132</f>
        <v>26430.986448156316</v>
      </c>
      <c r="Q87" s="85">
        <f>Q$227*Population!V$132</f>
        <v>26808.790697674416</v>
      </c>
      <c r="R87" s="85">
        <f>R$227*Population!W$132</f>
        <v>26654.971857410881</v>
      </c>
      <c r="S87" s="85">
        <f>S$227*Population!X$132</f>
        <v>27086.559802712702</v>
      </c>
      <c r="T87" s="85">
        <f>T$227*Population!Y$132</f>
        <v>28430.503089143866</v>
      </c>
      <c r="U87" s="85">
        <f>U$227*Population!Z$132</f>
        <v>29486.492622020429</v>
      </c>
      <c r="V87" s="85">
        <f>V$227*Population!AA$132</f>
        <v>29792.451339915373</v>
      </c>
      <c r="W87" s="85">
        <f>W$227*Population!AB$132</f>
        <v>29932.153110047846</v>
      </c>
      <c r="X87" s="85">
        <f>X$227*Population!AC$132</f>
        <v>29400.101156069366</v>
      </c>
      <c r="Y87" s="85">
        <f>Y$227*Population!AD$132</f>
        <v>29023.999999999996</v>
      </c>
      <c r="Z87" s="85">
        <f>Z$227*Population!AE$132</f>
        <v>28767.165025365564</v>
      </c>
      <c r="AA87" s="85">
        <f>AA$227*Population!AF$132</f>
        <v>28222.108157653529</v>
      </c>
      <c r="AB87" s="85">
        <f>AB$227*Population!AG$132</f>
        <v>28138.845795842382</v>
      </c>
      <c r="AC87" s="85">
        <f>AC$227*Population!AH$132</f>
        <v>27993.329245861434</v>
      </c>
      <c r="AD87" s="85">
        <f>AD$227*Population!AI$132</f>
        <v>28351.696509863432</v>
      </c>
      <c r="AE87" s="85">
        <f>AE$227*Population!AJ$132</f>
        <v>28845.934396629553</v>
      </c>
      <c r="AF87" s="85">
        <f>AF$227*Population!AK$132</f>
        <v>29289.376305580423</v>
      </c>
      <c r="AG87" s="85">
        <f>AG$227*Population!AL$132</f>
        <v>29669.626998223801</v>
      </c>
      <c r="AH87" s="85">
        <f>AH$227*Population!AM$132</f>
        <v>29963.348030570254</v>
      </c>
      <c r="AI87" s="85">
        <f>AI$227*Population!AN$132</f>
        <v>30165.539000876426</v>
      </c>
      <c r="AJ87" s="85">
        <f>AJ$227*Population!AO$132</f>
        <v>30281.168265039232</v>
      </c>
      <c r="AK87" s="85">
        <f>AK$227*Population!AP$132</f>
        <v>30326.261574074073</v>
      </c>
      <c r="AL87" s="85">
        <f>AL$227*Population!AQ$132</f>
        <v>30345.32602423543</v>
      </c>
      <c r="AM87" s="85">
        <f>AM$227*Population!AR$132</f>
        <v>30293.080023028211</v>
      </c>
      <c r="AN87" s="85">
        <f>AN$227*Population!AS$132</f>
        <v>30195.057504312826</v>
      </c>
      <c r="AO87" s="85">
        <f>AO$227*Population!AT$132</f>
        <v>30069.387755102041</v>
      </c>
      <c r="AP87" s="85">
        <f>AP$227*Population!AU$132</f>
        <v>29913.849252013806</v>
      </c>
      <c r="AQ87" s="85">
        <f>AQ$227*Population!AV$132</f>
        <v>29729.991356957649</v>
      </c>
      <c r="AR87" s="85">
        <f>AR$227*Population!AW$132</f>
        <v>29533.856812933023</v>
      </c>
      <c r="AS87" s="85">
        <f>AS$227*Population!AX$132</f>
        <v>29344.115774240232</v>
      </c>
      <c r="AT87" s="85">
        <f>AT$227*Population!AY$132</f>
        <v>29161.879895561357</v>
      </c>
      <c r="AU87" s="85">
        <f>AU$227*Population!AZ$132</f>
        <v>29016.33430232558</v>
      </c>
      <c r="AV87" s="85">
        <f>AV$227*Population!BA$132</f>
        <v>28902.294700058239</v>
      </c>
      <c r="AW87" s="85">
        <f>AW$227*Population!BB$132</f>
        <v>28818.164335664336</v>
      </c>
      <c r="AX87" s="85">
        <f>AX$227*Population!BC$132</f>
        <v>28786.206293706295</v>
      </c>
      <c r="AY87" s="85">
        <f>AY$227*Population!BD$132</f>
        <v>28806.8045441305</v>
      </c>
      <c r="AZ87" s="85">
        <f>AZ$227*Population!BE$132</f>
        <v>28834.198428862383</v>
      </c>
      <c r="BA87" s="85">
        <f>BA$227*Population!BF$132</f>
        <v>28906.567858180762</v>
      </c>
      <c r="BB87" s="85">
        <f>BB$227*Population!BG$132</f>
        <v>28978.537434706908</v>
      </c>
      <c r="BC87" s="85">
        <f>BC$227*Population!BH$132</f>
        <v>29055.951898000578</v>
      </c>
      <c r="BD87" s="85">
        <f>BD$227*Population!BI$132</f>
        <v>29144.332850940664</v>
      </c>
      <c r="BE87" s="85">
        <f>BE$227*Population!BJ$132</f>
        <v>29228.033545401966</v>
      </c>
      <c r="BF87" s="85">
        <f>BF$227*Population!BK$132</f>
        <v>29312.196531791909</v>
      </c>
      <c r="BG87" s="85">
        <f>BG$227*Population!BL$132</f>
        <v>29377.764298093589</v>
      </c>
    </row>
    <row r="88" spans="3:59" x14ac:dyDescent="0.2">
      <c r="C88" s="29">
        <v>23</v>
      </c>
      <c r="F88" s="85">
        <f>F$228*Population!K$133</f>
        <v>28765.049218297627</v>
      </c>
      <c r="G88" s="85">
        <f>G$228*Population!L$133</f>
        <v>30198.583545377442</v>
      </c>
      <c r="H88" s="85">
        <f>H$228*Population!M$133</f>
        <v>30722.984352773827</v>
      </c>
      <c r="I88" s="85">
        <f>I$228*Population!N$133</f>
        <v>31758.753885278325</v>
      </c>
      <c r="J88" s="85">
        <f>J$228*Population!O$133</f>
        <v>32272.809496890899</v>
      </c>
      <c r="K88" s="85">
        <f>K$228*Population!P$133</f>
        <v>31395.235328297502</v>
      </c>
      <c r="L88" s="85">
        <f>L$228*Population!Q$133</f>
        <v>30690.344218887909</v>
      </c>
      <c r="M88" s="85">
        <f>M$228*Population!R$133</f>
        <v>29643.611778846152</v>
      </c>
      <c r="N88" s="85">
        <f>N$228*Population!S$133</f>
        <v>29755.593419506462</v>
      </c>
      <c r="O88" s="85">
        <f>O$228*Population!T$133</f>
        <v>28580.777576853525</v>
      </c>
      <c r="P88" s="85">
        <f>P$228*Population!U$133</f>
        <v>27100.291139240508</v>
      </c>
      <c r="Q88" s="85">
        <f>Q$228*Population!V$133</f>
        <v>27112.716981132078</v>
      </c>
      <c r="R88" s="85">
        <f>R$228*Population!W$133</f>
        <v>27518.64128752708</v>
      </c>
      <c r="S88" s="85">
        <f>S$228*Population!X$133</f>
        <v>27347.503900156007</v>
      </c>
      <c r="T88" s="85">
        <f>T$228*Population!Y$133</f>
        <v>27793.168255921253</v>
      </c>
      <c r="U88" s="85">
        <f>U$228*Population!Z$133</f>
        <v>29167.40458015267</v>
      </c>
      <c r="V88" s="85">
        <f>V$228*Population!AA$133</f>
        <v>30253.12747875354</v>
      </c>
      <c r="W88" s="85">
        <f>W$228*Population!AB$133</f>
        <v>30564.155405405407</v>
      </c>
      <c r="X88" s="85">
        <f>X$228*Population!AC$133</f>
        <v>30714.386063500984</v>
      </c>
      <c r="Y88" s="85">
        <f>Y$228*Population!AD$133</f>
        <v>30167.446624350836</v>
      </c>
      <c r="Z88" s="85">
        <f>Z$228*Population!AE$133</f>
        <v>29784.935521688159</v>
      </c>
      <c r="AA88" s="85">
        <f>AA$228*Population!AF$133</f>
        <v>29522.781417510425</v>
      </c>
      <c r="AB88" s="85">
        <f>AB$228*Population!AG$133</f>
        <v>28958.978658536587</v>
      </c>
      <c r="AC88" s="85">
        <f>AC$228*Population!AH$133</f>
        <v>28873.900928792569</v>
      </c>
      <c r="AD88" s="85">
        <f>AD$228*Population!AI$133</f>
        <v>28727.182624655859</v>
      </c>
      <c r="AE88" s="85">
        <f>AE$228*Population!AJ$133</f>
        <v>29087.244094488189</v>
      </c>
      <c r="AF88" s="85">
        <f>AF$228*Population!AK$133</f>
        <v>29606.582582582585</v>
      </c>
      <c r="AG88" s="85">
        <f>AG$228*Population!AL$133</f>
        <v>30057.829064919595</v>
      </c>
      <c r="AH88" s="85">
        <f>AH$228*Population!AM$133</f>
        <v>30432.56940342587</v>
      </c>
      <c r="AI88" s="85">
        <f>AI$228*Population!AN$133</f>
        <v>30739.381231671556</v>
      </c>
      <c r="AJ88" s="85">
        <f>AJ$228*Population!AO$133</f>
        <v>30941.941125036436</v>
      </c>
      <c r="AK88" s="85">
        <f>AK$228*Population!AP$133</f>
        <v>31076.638631090489</v>
      </c>
      <c r="AL88" s="85">
        <f>AL$228*Population!AQ$133</f>
        <v>31128.027721628645</v>
      </c>
      <c r="AM88" s="85">
        <f>AM$228*Population!AR$133</f>
        <v>31136.898934638641</v>
      </c>
      <c r="AN88" s="85">
        <f>AN$228*Population!AS$133</f>
        <v>31081.71502441827</v>
      </c>
      <c r="AO88" s="85">
        <f>AO$228*Population!AT$133</f>
        <v>30999.483500717361</v>
      </c>
      <c r="AP88" s="85">
        <f>AP$228*Population!AU$133</f>
        <v>30859.552495697077</v>
      </c>
      <c r="AQ88" s="85">
        <f>AQ$228*Population!AV$133</f>
        <v>30691.85993111366</v>
      </c>
      <c r="AR88" s="85">
        <f>AR$228*Population!AW$133</f>
        <v>30513.297872340427</v>
      </c>
      <c r="AS88" s="85">
        <f>AS$228*Population!AX$133</f>
        <v>30313.866320944973</v>
      </c>
      <c r="AT88" s="85">
        <f>AT$228*Population!AY$133</f>
        <v>30112.538261622871</v>
      </c>
      <c r="AU88" s="85">
        <f>AU$228*Population!AZ$133</f>
        <v>29936.291256514189</v>
      </c>
      <c r="AV88" s="85">
        <f>AV$228*Population!BA$133</f>
        <v>29777.8590078329</v>
      </c>
      <c r="AW88" s="85">
        <f>AW$228*Population!BB$133</f>
        <v>29656.01104009297</v>
      </c>
      <c r="AX88" s="85">
        <f>AX$228*Population!BC$133</f>
        <v>29587.100901424834</v>
      </c>
      <c r="AY88" s="85">
        <f>AY$228*Population!BD$133</f>
        <v>29554.335562663564</v>
      </c>
      <c r="AZ88" s="85">
        <f>AZ$228*Population!BE$133</f>
        <v>29566.320836965995</v>
      </c>
      <c r="BA88" s="85">
        <f>BA$228*Population!BF$133</f>
        <v>29593.886792452831</v>
      </c>
      <c r="BB88" s="85">
        <f>BB$228*Population!BG$133</f>
        <v>29667.004928964918</v>
      </c>
      <c r="BC88" s="85">
        <f>BC$228*Population!BH$133</f>
        <v>29739.719166184135</v>
      </c>
      <c r="BD88" s="85">
        <f>BD$228*Population!BI$133</f>
        <v>29837.437825332563</v>
      </c>
      <c r="BE88" s="85">
        <f>BE$228*Population!BJ$133</f>
        <v>29916.441363373771</v>
      </c>
      <c r="BF88" s="85">
        <f>BF$228*Population!BK$133</f>
        <v>30003.626658972877</v>
      </c>
      <c r="BG88" s="85">
        <f>BG$228*Population!BL$133</f>
        <v>30081.176470588234</v>
      </c>
    </row>
    <row r="89" spans="3:59" x14ac:dyDescent="0.2">
      <c r="C89" s="29">
        <v>24</v>
      </c>
      <c r="F89" s="85">
        <f>F$229*Population!K$134</f>
        <v>30079.582021185226</v>
      </c>
      <c r="G89" s="85">
        <f>G$229*Population!L$134</f>
        <v>31321.839341470339</v>
      </c>
      <c r="H89" s="85">
        <f>H$229*Population!M$134</f>
        <v>32624.121793064562</v>
      </c>
      <c r="I89" s="85">
        <f>I$229*Population!N$134</f>
        <v>32891.719148936172</v>
      </c>
      <c r="J89" s="85">
        <f>J$229*Population!O$134</f>
        <v>33695.042253521126</v>
      </c>
      <c r="K89" s="85">
        <f>K$229*Population!P$134</f>
        <v>33974.222096956037</v>
      </c>
      <c r="L89" s="85">
        <f>L$229*Population!Q$134</f>
        <v>32790.54735013032</v>
      </c>
      <c r="M89" s="85">
        <f>M$229*Population!R$134</f>
        <v>31812</v>
      </c>
      <c r="N89" s="85">
        <f>N$229*Population!S$134</f>
        <v>30727.12103055722</v>
      </c>
      <c r="O89" s="85">
        <f>O$229*Population!T$134</f>
        <v>30842.612005856514</v>
      </c>
      <c r="P89" s="85">
        <f>P$229*Population!U$134</f>
        <v>29620.723941123459</v>
      </c>
      <c r="Q89" s="85">
        <f>Q$229*Population!V$134</f>
        <v>28103.018927444795</v>
      </c>
      <c r="R89" s="85">
        <f>R$229*Population!W$134</f>
        <v>28120.344827586207</v>
      </c>
      <c r="S89" s="85">
        <f>S$229*Population!X$134</f>
        <v>28534.855027760641</v>
      </c>
      <c r="T89" s="85">
        <f>T$229*Population!Y$134</f>
        <v>28346.893656716416</v>
      </c>
      <c r="U89" s="85">
        <f>U$229*Population!Z$134</f>
        <v>28813.206621704478</v>
      </c>
      <c r="V89" s="85">
        <f>V$229*Population!AA$134</f>
        <v>30242.1018735363</v>
      </c>
      <c r="W89" s="85">
        <f>W$229*Population!AB$134</f>
        <v>31361.462863597855</v>
      </c>
      <c r="X89" s="85">
        <f>X$229*Population!AC$134</f>
        <v>31685.727119595733</v>
      </c>
      <c r="Y89" s="85">
        <f>Y$229*Population!AD$134</f>
        <v>31849.131652661064</v>
      </c>
      <c r="Z89" s="85">
        <f>Z$229*Population!AE$134</f>
        <v>31279.585849870578</v>
      </c>
      <c r="AA89" s="85">
        <f>AA$229*Population!AF$134</f>
        <v>30878.828513000291</v>
      </c>
      <c r="AB89" s="85">
        <f>AB$229*Population!AG$134</f>
        <v>30613.742950430395</v>
      </c>
      <c r="AC89" s="85">
        <f>AC$229*Population!AH$134</f>
        <v>30013.214828319658</v>
      </c>
      <c r="AD89" s="85">
        <f>AD$229*Population!AI$134</f>
        <v>29949.765504473929</v>
      </c>
      <c r="AE89" s="85">
        <f>AE$229*Population!AJ$134</f>
        <v>29796.237804878048</v>
      </c>
      <c r="AF89" s="85">
        <f>AF$229*Population!AK$134</f>
        <v>30169.544219740419</v>
      </c>
      <c r="AG89" s="85">
        <f>AG$229*Population!AL$134</f>
        <v>30689.649805447469</v>
      </c>
      <c r="AH89" s="85">
        <f>AH$229*Population!AM$134</f>
        <v>31158.13649851632</v>
      </c>
      <c r="AI89" s="85">
        <f>AI$229*Population!AN$134</f>
        <v>31557.848101265823</v>
      </c>
      <c r="AJ89" s="85">
        <f>AJ$229*Population!AO$134</f>
        <v>31867.752119263376</v>
      </c>
      <c r="AK89" s="85">
        <f>AK$229*Population!AP$134</f>
        <v>32081.862289366647</v>
      </c>
      <c r="AL89" s="85">
        <f>AL$229*Population!AQ$134</f>
        <v>32206.161849710981</v>
      </c>
      <c r="AM89" s="85">
        <f>AM$229*Population!AR$134</f>
        <v>32275.405872193438</v>
      </c>
      <c r="AN89" s="85">
        <f>AN$229*Population!AS$134</f>
        <v>32282.743185078911</v>
      </c>
      <c r="AO89" s="85">
        <f>AO$229*Population!AT$134</f>
        <v>32232.531500572739</v>
      </c>
      <c r="AP89" s="85">
        <f>AP$229*Population!AU$134</f>
        <v>32125.779239348012</v>
      </c>
      <c r="AQ89" s="85">
        <f>AQ$229*Population!AV$134</f>
        <v>32000.909350872178</v>
      </c>
      <c r="AR89" s="85">
        <f>AR$229*Population!AW$134</f>
        <v>31828.017167381971</v>
      </c>
      <c r="AS89" s="85">
        <f>AS$229*Population!AX$134</f>
        <v>31635.530085959883</v>
      </c>
      <c r="AT89" s="85">
        <f>AT$229*Population!AY$134</f>
        <v>31431.306345104796</v>
      </c>
      <c r="AU89" s="85">
        <f>AU$229*Population!AZ$134</f>
        <v>31234.467472654</v>
      </c>
      <c r="AV89" s="85">
        <f>AV$229*Population!BA$134</f>
        <v>31035.025966532026</v>
      </c>
      <c r="AW89" s="85">
        <f>AW$229*Population!BB$134</f>
        <v>30873.23793003758</v>
      </c>
      <c r="AX89" s="85">
        <f>AX$229*Population!BC$134</f>
        <v>30757.044006948465</v>
      </c>
      <c r="AY89" s="85">
        <f>AY$229*Population!BD$134</f>
        <v>30677.945523036804</v>
      </c>
      <c r="AZ89" s="85">
        <f>AZ$229*Population!BE$134</f>
        <v>30652.500724427704</v>
      </c>
      <c r="BA89" s="85">
        <f>BA$229*Population!BF$134</f>
        <v>30645.212858384017</v>
      </c>
      <c r="BB89" s="85">
        <f>BB$229*Population!BG$134</f>
        <v>30692.387152777777</v>
      </c>
      <c r="BC89" s="85">
        <f>BC$229*Population!BH$134</f>
        <v>30757.714533371858</v>
      </c>
      <c r="BD89" s="85">
        <f>BD$229*Population!BI$134</f>
        <v>30839.997114829777</v>
      </c>
      <c r="BE89" s="85">
        <f>BE$229*Population!BJ$134</f>
        <v>30931.184438040345</v>
      </c>
      <c r="BF89" s="85">
        <f>BF$229*Population!BK$134</f>
        <v>31020.345423143353</v>
      </c>
      <c r="BG89" s="85">
        <f>BG$229*Population!BL$134</f>
        <v>31109.956859361519</v>
      </c>
    </row>
    <row r="90" spans="3:59" x14ac:dyDescent="0.2">
      <c r="C90" s="29">
        <v>25</v>
      </c>
      <c r="F90" s="85">
        <f>F$230*Population!K$135</f>
        <v>29434.350940017906</v>
      </c>
      <c r="G90" s="85">
        <f>G$230*Population!L$135</f>
        <v>32279.309376754631</v>
      </c>
      <c r="H90" s="85">
        <f>H$230*Population!M$135</f>
        <v>33369.705882352944</v>
      </c>
      <c r="I90" s="85">
        <f>I$230*Population!N$135</f>
        <v>34447.556179775282</v>
      </c>
      <c r="J90" s="85">
        <f>J$230*Population!O$135</f>
        <v>34474.59016393443</v>
      </c>
      <c r="K90" s="85">
        <f>K$230*Population!P$135</f>
        <v>35030.754981756945</v>
      </c>
      <c r="L90" s="85">
        <f>L$230*Population!Q$135</f>
        <v>35065.122156697558</v>
      </c>
      <c r="M90" s="85">
        <f>M$230*Population!R$135</f>
        <v>33592.336987882285</v>
      </c>
      <c r="N90" s="85">
        <f>N$230*Population!S$135</f>
        <v>32597.984224364594</v>
      </c>
      <c r="O90" s="85">
        <f>O$230*Population!T$135</f>
        <v>31483.090692124104</v>
      </c>
      <c r="P90" s="85">
        <f>P$230*Population!U$135</f>
        <v>31596.581096849473</v>
      </c>
      <c r="Q90" s="85">
        <f>Q$230*Population!V$135</f>
        <v>30353.275501046963</v>
      </c>
      <c r="R90" s="85">
        <f>R$230*Population!W$135</f>
        <v>28792.45525902669</v>
      </c>
      <c r="S90" s="85">
        <f>S$230*Population!X$135</f>
        <v>28806.177847113882</v>
      </c>
      <c r="T90" s="85">
        <f>T$230*Population!Y$135</f>
        <v>29230.420761670761</v>
      </c>
      <c r="U90" s="85">
        <f>U$230*Population!Z$135</f>
        <v>29052.315789473683</v>
      </c>
      <c r="V90" s="85">
        <f>V$230*Population!AA$135</f>
        <v>29530.427350427351</v>
      </c>
      <c r="W90" s="85">
        <f>W$230*Population!AB$135</f>
        <v>30983.013698630137</v>
      </c>
      <c r="X90" s="85">
        <f>X$230*Population!AC$135</f>
        <v>32132.590717299579</v>
      </c>
      <c r="Y90" s="85">
        <f>Y$230*Population!AD$135</f>
        <v>32470.430648769576</v>
      </c>
      <c r="Z90" s="85">
        <f>Z$230*Population!AE$135</f>
        <v>32635.909598214286</v>
      </c>
      <c r="AA90" s="85">
        <f>AA$230*Population!AF$135</f>
        <v>32042.170675830472</v>
      </c>
      <c r="AB90" s="85">
        <f>AB$230*Population!AG$135</f>
        <v>31641.995926680243</v>
      </c>
      <c r="AC90" s="85">
        <f>AC$230*Population!AH$135</f>
        <v>31371.445462607157</v>
      </c>
      <c r="AD90" s="85">
        <f>AD$230*Population!AI$135</f>
        <v>30762.032667876589</v>
      </c>
      <c r="AE90" s="85">
        <f>AE$230*Population!AJ$135</f>
        <v>30686.599078341016</v>
      </c>
      <c r="AF90" s="85">
        <f>AF$230*Population!AK$135</f>
        <v>30532.185792349726</v>
      </c>
      <c r="AG90" s="85">
        <f>AG$230*Population!AL$135</f>
        <v>30917.886985272016</v>
      </c>
      <c r="AH90" s="85">
        <f>AH$230*Population!AM$135</f>
        <v>31443.310488676994</v>
      </c>
      <c r="AI90" s="85">
        <f>AI$230*Population!AN$135</f>
        <v>31928.132387706857</v>
      </c>
      <c r="AJ90" s="85">
        <f>AJ$230*Population!AO$135</f>
        <v>32331.260627381998</v>
      </c>
      <c r="AK90" s="85">
        <f>AK$230*Population!AP$135</f>
        <v>32654.206695778747</v>
      </c>
      <c r="AL90" s="85">
        <f>AL$230*Population!AQ$135</f>
        <v>32879.661458333336</v>
      </c>
      <c r="AM90" s="85">
        <f>AM$230*Population!AR$135</f>
        <v>33003.039723661481</v>
      </c>
      <c r="AN90" s="85">
        <f>AN$230*Population!AS$135</f>
        <v>33072.295786758383</v>
      </c>
      <c r="AO90" s="85">
        <f>AO$230*Population!AT$135</f>
        <v>33066.377142857142</v>
      </c>
      <c r="AP90" s="85">
        <f>AP$230*Population!AU$135</f>
        <v>33033.079555175362</v>
      </c>
      <c r="AQ90" s="85">
        <f>AQ$230*Population!AV$135</f>
        <v>32923.867843919106</v>
      </c>
      <c r="AR90" s="85">
        <f>AR$230*Population!AW$135</f>
        <v>32786.483485193625</v>
      </c>
      <c r="AS90" s="85">
        <f>AS$230*Population!AX$135</f>
        <v>32610.128205128207</v>
      </c>
      <c r="AT90" s="85">
        <f>AT$230*Population!AY$135</f>
        <v>32403.537803138373</v>
      </c>
      <c r="AU90" s="85">
        <f>AU$230*Population!AZ$135</f>
        <v>32205.34172147555</v>
      </c>
      <c r="AV90" s="85">
        <f>AV$230*Population!BA$135</f>
        <v>31996.491831470335</v>
      </c>
      <c r="AW90" s="85">
        <f>AW$230*Population!BB$135</f>
        <v>31804.998563631139</v>
      </c>
      <c r="AX90" s="85">
        <f>AX$230*Population!BC$135</f>
        <v>31649.602763385144</v>
      </c>
      <c r="AY90" s="85">
        <f>AY$230*Population!BD$135</f>
        <v>31512.530988757564</v>
      </c>
      <c r="AZ90" s="85">
        <f>AZ$230*Population!BE$135</f>
        <v>31440.761684939411</v>
      </c>
      <c r="BA90" s="85">
        <f>BA$230*Population!BF$135</f>
        <v>31406.058857472588</v>
      </c>
      <c r="BB90" s="85">
        <f>BB$230*Population!BG$135</f>
        <v>31407.058823529413</v>
      </c>
      <c r="BC90" s="85">
        <f>BC$230*Population!BH$135</f>
        <v>31454.583693460096</v>
      </c>
      <c r="BD90" s="85">
        <f>BD$230*Population!BI$135</f>
        <v>31520.454545454544</v>
      </c>
      <c r="BE90" s="85">
        <f>BE$230*Population!BJ$135</f>
        <v>31605.458201666184</v>
      </c>
      <c r="BF90" s="85">
        <f>BF$230*Population!BK$135</f>
        <v>31706.44476327116</v>
      </c>
      <c r="BG90" s="85">
        <f>BG$230*Population!BL$135</f>
        <v>31788.271711092002</v>
      </c>
    </row>
    <row r="91" spans="3:59" x14ac:dyDescent="0.2">
      <c r="C91" s="29">
        <v>26</v>
      </c>
      <c r="F91" s="85">
        <f>F$231*Population!K$136</f>
        <v>28549.454658772203</v>
      </c>
      <c r="G91" s="85">
        <f>G$231*Population!L$136</f>
        <v>31442.281368821292</v>
      </c>
      <c r="H91" s="85">
        <f>H$231*Population!M$136</f>
        <v>34036.786711334447</v>
      </c>
      <c r="I91" s="85">
        <f>I$231*Population!N$136</f>
        <v>34920.933633295841</v>
      </c>
      <c r="J91" s="85">
        <f>J$231*Population!O$136</f>
        <v>35792.737430167595</v>
      </c>
      <c r="K91" s="85">
        <f>K$231*Population!P$136</f>
        <v>35584.467547063781</v>
      </c>
      <c r="L91" s="85">
        <f>L$231*Population!Q$136</f>
        <v>35937.965392129503</v>
      </c>
      <c r="M91" s="85">
        <f>M$231*Population!R$136</f>
        <v>35724.773869346733</v>
      </c>
      <c r="N91" s="85">
        <f>N$231*Population!S$136</f>
        <v>34231.385144823631</v>
      </c>
      <c r="O91" s="85">
        <f>O$231*Population!T$136</f>
        <v>33215.795586527296</v>
      </c>
      <c r="P91" s="85">
        <f>P$231*Population!U$136</f>
        <v>32091.2303587311</v>
      </c>
      <c r="Q91" s="85">
        <f>Q$231*Population!V$136</f>
        <v>32205.149318643085</v>
      </c>
      <c r="R91" s="85">
        <f>R$231*Population!W$136</f>
        <v>30952.465060957478</v>
      </c>
      <c r="S91" s="85">
        <f>S$231*Population!X$136</f>
        <v>29358.046801872075</v>
      </c>
      <c r="T91" s="85">
        <f>T$231*Population!Y$136</f>
        <v>29379.274418604651</v>
      </c>
      <c r="U91" s="85">
        <f>U$231*Population!Z$136</f>
        <v>29812.819652120841</v>
      </c>
      <c r="V91" s="85">
        <f>V$231*Population!AA$136</f>
        <v>29616.622577668411</v>
      </c>
      <c r="W91" s="85">
        <f>W$231*Population!AB$136</f>
        <v>30106.187443130115</v>
      </c>
      <c r="X91" s="85">
        <f>X$231*Population!AC$136</f>
        <v>31589.782671689365</v>
      </c>
      <c r="Y91" s="85">
        <f>Y$231*Population!AD$136</f>
        <v>32751.442953020134</v>
      </c>
      <c r="Z91" s="85">
        <f>Z$231*Population!AE$136</f>
        <v>33091.673616902975</v>
      </c>
      <c r="AA91" s="85">
        <f>AA$231*Population!AF$136</f>
        <v>33258.740638002775</v>
      </c>
      <c r="AB91" s="85">
        <f>AB$231*Population!AG$136</f>
        <v>32658.980927981782</v>
      </c>
      <c r="AC91" s="85">
        <f>AC$231*Population!AH$136</f>
        <v>32249.878542510123</v>
      </c>
      <c r="AD91" s="85">
        <f>AD$231*Population!AI$136</f>
        <v>31983.299059929497</v>
      </c>
      <c r="AE91" s="85">
        <f>AE$231*Population!AJ$136</f>
        <v>31354.397354974451</v>
      </c>
      <c r="AF91" s="85">
        <f>AF$231*Population!AK$136</f>
        <v>31285.138846505954</v>
      </c>
      <c r="AG91" s="85">
        <f>AG$231*Population!AL$136</f>
        <v>31123.648974668275</v>
      </c>
      <c r="AH91" s="85">
        <f>AH$231*Population!AM$136</f>
        <v>31519.486413854884</v>
      </c>
      <c r="AI91" s="85">
        <f>AI$231*Population!AN$136</f>
        <v>32060.977198697066</v>
      </c>
      <c r="AJ91" s="85">
        <f>AJ$231*Population!AO$136</f>
        <v>32539.994128009395</v>
      </c>
      <c r="AK91" s="85">
        <f>AK$231*Population!AP$136</f>
        <v>32965.482085639385</v>
      </c>
      <c r="AL91" s="85">
        <f>AL$231*Population!AQ$136</f>
        <v>33290.054960948801</v>
      </c>
      <c r="AM91" s="85">
        <f>AM$231*Population!AR$136</f>
        <v>33515.78493387004</v>
      </c>
      <c r="AN91" s="85">
        <f>AN$231*Population!AS$136</f>
        <v>33649.40503432494</v>
      </c>
      <c r="AO91" s="85">
        <f>AO$231*Population!AT$136</f>
        <v>33716.125356125354</v>
      </c>
      <c r="AP91" s="85">
        <f>AP$231*Population!AU$136</f>
        <v>33719.284294234589</v>
      </c>
      <c r="AQ91" s="85">
        <f>AQ$231*Population!AV$136</f>
        <v>33654.848398979884</v>
      </c>
      <c r="AR91" s="85">
        <f>AR$231*Population!AW$136</f>
        <v>33562.847438437588</v>
      </c>
      <c r="AS91" s="85">
        <f>AS$231*Population!AX$136</f>
        <v>33422.900396151665</v>
      </c>
      <c r="AT91" s="85">
        <f>AT$231*Population!AY$136</f>
        <v>33253.296516567549</v>
      </c>
      <c r="AU91" s="85">
        <f>AU$231*Population!AZ$136</f>
        <v>33044.038570618264</v>
      </c>
      <c r="AV91" s="85">
        <f>AV$231*Population!BA$136</f>
        <v>32834.100596760443</v>
      </c>
      <c r="AW91" s="85">
        <f>AW$231*Population!BB$136</f>
        <v>32622.910851609231</v>
      </c>
      <c r="AX91" s="85">
        <f>AX$231*Population!BC$136</f>
        <v>32428.138206739008</v>
      </c>
      <c r="AY91" s="85">
        <f>AY$231*Population!BD$136</f>
        <v>32271.130185979971</v>
      </c>
      <c r="AZ91" s="85">
        <f>AZ$231*Population!BE$136</f>
        <v>32143.040114613177</v>
      </c>
      <c r="BA91" s="85">
        <f>BA$231*Population!BF$136</f>
        <v>32050.733944954129</v>
      </c>
      <c r="BB91" s="85">
        <f>BB$231*Population!BG$136</f>
        <v>32015.435779816515</v>
      </c>
      <c r="BC91" s="85">
        <f>BC$231*Population!BH$136</f>
        <v>32035.884207509316</v>
      </c>
      <c r="BD91" s="85">
        <f>BD$231*Population!BI$136</f>
        <v>32074.497566561695</v>
      </c>
      <c r="BE91" s="85">
        <f>BE$231*Population!BJ$136</f>
        <v>32140.806174957117</v>
      </c>
      <c r="BF91" s="85">
        <f>BF$231*Population!BK$136</f>
        <v>32225.131353512279</v>
      </c>
      <c r="BG91" s="85">
        <f>BG$231*Population!BL$136</f>
        <v>32317.907043056744</v>
      </c>
    </row>
    <row r="92" spans="3:59" x14ac:dyDescent="0.2">
      <c r="C92" s="29">
        <v>27</v>
      </c>
      <c r="F92" s="85">
        <f>F$232*Population!K$137</f>
        <v>27529.288524590163</v>
      </c>
      <c r="G92" s="85">
        <f>G$232*Population!L$137</f>
        <v>30179.990828492817</v>
      </c>
      <c r="H92" s="85">
        <f>H$232*Population!M$137</f>
        <v>32959.058413251965</v>
      </c>
      <c r="I92" s="85">
        <f>I$232*Population!N$137</f>
        <v>35392.55897862892</v>
      </c>
      <c r="J92" s="85">
        <f>J$232*Population!O$137</f>
        <v>36065.786972323178</v>
      </c>
      <c r="K92" s="85">
        <f>K$232*Population!P$137</f>
        <v>36741.254858411994</v>
      </c>
      <c r="L92" s="85">
        <f>L$232*Population!Q$137</f>
        <v>36326.256983240222</v>
      </c>
      <c r="M92" s="85">
        <f>M$232*Population!R$137</f>
        <v>36476.671289875172</v>
      </c>
      <c r="N92" s="85">
        <f>N$232*Population!S$137</f>
        <v>36268.656674993064</v>
      </c>
      <c r="O92" s="85">
        <f>O$232*Population!T$137</f>
        <v>34757.035347776509</v>
      </c>
      <c r="P92" s="85">
        <f>P$232*Population!U$137</f>
        <v>33733.777777777774</v>
      </c>
      <c r="Q92" s="85">
        <f>Q$232*Population!V$137</f>
        <v>32594.505008839129</v>
      </c>
      <c r="R92" s="85">
        <f>R$232*Population!W$137</f>
        <v>32710.679919331604</v>
      </c>
      <c r="S92" s="85">
        <f>S$232*Population!X$137</f>
        <v>31431.06646971935</v>
      </c>
      <c r="T92" s="85">
        <f>T$232*Population!Y$137</f>
        <v>29824.480942051439</v>
      </c>
      <c r="U92" s="85">
        <f>U$232*Population!Z$137</f>
        <v>29843.591007083462</v>
      </c>
      <c r="V92" s="85">
        <f>V$232*Population!AA$137</f>
        <v>30276.638375265233</v>
      </c>
      <c r="W92" s="85">
        <f>W$232*Population!AB$137</f>
        <v>30091.402383134737</v>
      </c>
      <c r="X92" s="85">
        <f>X$232*Population!AC$137</f>
        <v>30591.039783001808</v>
      </c>
      <c r="Y92" s="85">
        <f>Y$232*Population!AD$137</f>
        <v>32087.086092715232</v>
      </c>
      <c r="Z92" s="85">
        <f>Z$232*Population!AE$137</f>
        <v>33259.410783768762</v>
      </c>
      <c r="AA92" s="85">
        <f>AA$232*Population!AF$137</f>
        <v>33611.83752417795</v>
      </c>
      <c r="AB92" s="85">
        <f>AB$232*Population!AG$137</f>
        <v>33780.132340777505</v>
      </c>
      <c r="AC92" s="85">
        <f>AC$232*Population!AH$137</f>
        <v>33182.682512733445</v>
      </c>
      <c r="AD92" s="85">
        <f>AD$232*Population!AI$137</f>
        <v>32754.896551724138</v>
      </c>
      <c r="AE92" s="85">
        <f>AE$232*Population!AJ$137</f>
        <v>32480.674255691767</v>
      </c>
      <c r="AF92" s="85">
        <f>AF$232*Population!AK$137</f>
        <v>31853.156166019708</v>
      </c>
      <c r="AG92" s="85">
        <f>AG$232*Population!AL$137</f>
        <v>31778.402546226131</v>
      </c>
      <c r="AH92" s="85">
        <f>AH$232*Population!AM$137</f>
        <v>31618.957459556623</v>
      </c>
      <c r="AI92" s="85">
        <f>AI$232*Population!AN$137</f>
        <v>32017.603085137944</v>
      </c>
      <c r="AJ92" s="85">
        <f>AJ$232*Population!AO$137</f>
        <v>32562.630185348633</v>
      </c>
      <c r="AK92" s="85">
        <f>AK$232*Population!AP$137</f>
        <v>33053.302217036173</v>
      </c>
      <c r="AL92" s="85">
        <f>AL$232*Population!AQ$137</f>
        <v>33482.793053545589</v>
      </c>
      <c r="AM92" s="85">
        <f>AM$232*Population!AR$137</f>
        <v>33808.623167576887</v>
      </c>
      <c r="AN92" s="85">
        <f>AN$232*Population!AS$137</f>
        <v>34034.58</v>
      </c>
      <c r="AO92" s="85">
        <f>AO$232*Population!AT$137</f>
        <v>34167.680500284252</v>
      </c>
      <c r="AP92" s="85">
        <f>AP$232*Population!AU$137</f>
        <v>34244.450736126841</v>
      </c>
      <c r="AQ92" s="85">
        <f>AQ$232*Population!AV$137</f>
        <v>34255.173581710413</v>
      </c>
      <c r="AR92" s="85">
        <f>AR$232*Population!AW$137</f>
        <v>34199.873275133767</v>
      </c>
      <c r="AS92" s="85">
        <f>AS$232*Population!AX$137</f>
        <v>34086.396624472574</v>
      </c>
      <c r="AT92" s="85">
        <f>AT$232*Population!AY$137</f>
        <v>33944.496625421823</v>
      </c>
      <c r="AU92" s="85">
        <f>AU$232*Population!AZ$137</f>
        <v>33763.446820483965</v>
      </c>
      <c r="AV92" s="85">
        <f>AV$232*Population!BA$137</f>
        <v>33561.172161172166</v>
      </c>
      <c r="AW92" s="85">
        <f>AW$232*Population!BB$137</f>
        <v>33358.785653770123</v>
      </c>
      <c r="AX92" s="85">
        <f>AX$232*Population!BC$137</f>
        <v>33145.805264647606</v>
      </c>
      <c r="AY92" s="85">
        <f>AY$232*Population!BD$137</f>
        <v>32940.241134751777</v>
      </c>
      <c r="AZ92" s="85">
        <f>AZ$232*Population!BE$137</f>
        <v>32773.08129619102</v>
      </c>
      <c r="BA92" s="85">
        <f>BA$232*Population!BF$137</f>
        <v>32642.413891261029</v>
      </c>
      <c r="BB92" s="85">
        <f>BB$232*Population!BG$137</f>
        <v>32569.042735042738</v>
      </c>
      <c r="BC92" s="85">
        <f>BC$232*Population!BH$137</f>
        <v>32533.282051282054</v>
      </c>
      <c r="BD92" s="85">
        <f>BD$232*Population!BI$137</f>
        <v>32544.419134396358</v>
      </c>
      <c r="BE92" s="85">
        <f>BE$232*Population!BJ$137</f>
        <v>32583.148464163824</v>
      </c>
      <c r="BF92" s="85">
        <f>BF$232*Population!BK$137</f>
        <v>32659.065340909092</v>
      </c>
      <c r="BG92" s="85">
        <f>BG$232*Population!BL$137</f>
        <v>32734.643971631209</v>
      </c>
    </row>
    <row r="93" spans="3:59" x14ac:dyDescent="0.2">
      <c r="C93" s="29">
        <v>28</v>
      </c>
      <c r="F93" s="85">
        <f>F$233*Population!K$138</f>
        <v>26765.632458233893</v>
      </c>
      <c r="G93" s="85">
        <f>G$233*Population!L$138</f>
        <v>29007.770639254737</v>
      </c>
      <c r="H93" s="85">
        <f>H$233*Population!M$138</f>
        <v>31534.49969678593</v>
      </c>
      <c r="I93" s="85">
        <f>I$233*Population!N$138</f>
        <v>34174.222670897034</v>
      </c>
      <c r="J93" s="85">
        <f>J$233*Population!O$138</f>
        <v>36454.852576467347</v>
      </c>
      <c r="K93" s="85">
        <f>K$233*Population!P$138</f>
        <v>36954.772475027748</v>
      </c>
      <c r="L93" s="85">
        <f>L$233*Population!Q$138</f>
        <v>37454.8401323043</v>
      </c>
      <c r="M93" s="85">
        <f>M$233*Population!R$138</f>
        <v>36866.821963394344</v>
      </c>
      <c r="N93" s="85">
        <f>N$233*Population!S$138</f>
        <v>37016.24896722666</v>
      </c>
      <c r="O93" s="85">
        <f>O$233*Population!T$138</f>
        <v>36796.454545454544</v>
      </c>
      <c r="P93" s="85">
        <f>P$233*Population!U$138</f>
        <v>35279.932107496461</v>
      </c>
      <c r="Q93" s="85">
        <f>Q$233*Population!V$138</f>
        <v>34249.432989690722</v>
      </c>
      <c r="R93" s="85">
        <f>R$233*Population!W$138</f>
        <v>33095.439929845073</v>
      </c>
      <c r="S93" s="85">
        <f>S$233*Population!X$138</f>
        <v>33226.582785244493</v>
      </c>
      <c r="T93" s="85">
        <f>T$233*Population!Y$138</f>
        <v>31933.344079718638</v>
      </c>
      <c r="U93" s="85">
        <f>U$233*Population!Z$138</f>
        <v>30315.104486785494</v>
      </c>
      <c r="V93" s="85">
        <f>V$233*Population!AA$138</f>
        <v>30332.73976786805</v>
      </c>
      <c r="W93" s="85">
        <f>W$233*Population!AB$138</f>
        <v>30765.447985568251</v>
      </c>
      <c r="X93" s="85">
        <f>X$233*Population!AC$138</f>
        <v>30580.654545454545</v>
      </c>
      <c r="Y93" s="85">
        <f>Y$233*Population!AD$138</f>
        <v>31071.673640167366</v>
      </c>
      <c r="Z93" s="85">
        <f>Z$233*Population!AE$138</f>
        <v>32598.280000000002</v>
      </c>
      <c r="AA93" s="85">
        <f>AA$233*Population!AF$138</f>
        <v>33781.169655172416</v>
      </c>
      <c r="AB93" s="85">
        <f>AB$233*Population!AG$138</f>
        <v>34124.498080087767</v>
      </c>
      <c r="AC93" s="85">
        <f>AC$233*Population!AH$138</f>
        <v>34293.609742747678</v>
      </c>
      <c r="AD93" s="85">
        <f>AD$233*Population!AI$138</f>
        <v>33689.028635597977</v>
      </c>
      <c r="AE93" s="85">
        <f>AE$233*Population!AJ$138</f>
        <v>33271.477045908185</v>
      </c>
      <c r="AF93" s="85">
        <f>AF$233*Population!AK$138</f>
        <v>32988.740225890528</v>
      </c>
      <c r="AG93" s="85">
        <f>AG$233*Population!AL$138</f>
        <v>32371.164099526068</v>
      </c>
      <c r="AH93" s="85">
        <f>AH$233*Population!AM$138</f>
        <v>32291.040288634995</v>
      </c>
      <c r="AI93" s="85">
        <f>AI$233*Population!AN$138</f>
        <v>32126.805349182763</v>
      </c>
      <c r="AJ93" s="85">
        <f>AJ$233*Population!AO$138</f>
        <v>32526.162448499115</v>
      </c>
      <c r="AK93" s="85">
        <f>AK$233*Population!AP$138</f>
        <v>33073.008462211852</v>
      </c>
      <c r="AL93" s="85">
        <f>AL$233*Population!AQ$138</f>
        <v>33577.041968162084</v>
      </c>
      <c r="AM93" s="85">
        <f>AM$233*Population!AR$138</f>
        <v>33997.128087306141</v>
      </c>
      <c r="AN93" s="85">
        <f>AN$233*Population!AS$138</f>
        <v>34333.892215568863</v>
      </c>
      <c r="AO93" s="85">
        <f>AO$233*Population!AT$138</f>
        <v>34560.014172335599</v>
      </c>
      <c r="AP93" s="85">
        <f>AP$233*Population!AU$138</f>
        <v>34692.769317540893</v>
      </c>
      <c r="AQ93" s="85">
        <f>AQ$233*Population!AV$138</f>
        <v>34768.988764044945</v>
      </c>
      <c r="AR93" s="85">
        <f>AR$233*Population!AW$138</f>
        <v>34769.868384206107</v>
      </c>
      <c r="AS93" s="85">
        <f>AS$233*Population!AX$138</f>
        <v>34713.467449008102</v>
      </c>
      <c r="AT93" s="85">
        <f>AT$233*Population!AY$138</f>
        <v>34618.50125593078</v>
      </c>
      <c r="AU93" s="85">
        <f>AU$233*Population!AZ$138</f>
        <v>34475.267857142855</v>
      </c>
      <c r="AV93" s="85">
        <f>AV$233*Population!BA$138</f>
        <v>34302.401563808991</v>
      </c>
      <c r="AW93" s="85">
        <f>AW$233*Population!BB$138</f>
        <v>34089.765100671138</v>
      </c>
      <c r="AX93" s="85">
        <f>AX$233*Population!BC$138</f>
        <v>33876.61529840291</v>
      </c>
      <c r="AY93" s="85">
        <f>AY$233*Population!BD$138</f>
        <v>33660.946363381074</v>
      </c>
      <c r="AZ93" s="85">
        <f>AZ$233*Population!BE$138</f>
        <v>33464.801576132842</v>
      </c>
      <c r="BA93" s="85">
        <f>BA$233*Population!BF$138</f>
        <v>33286.305696559502</v>
      </c>
      <c r="BB93" s="85">
        <f>BB$233*Population!BG$138</f>
        <v>33165.360067777459</v>
      </c>
      <c r="BC93" s="85">
        <f>BC$233*Population!BH$138</f>
        <v>33091.517806670439</v>
      </c>
      <c r="BD93" s="85">
        <f>BD$233*Population!BI$138</f>
        <v>33055.440927077449</v>
      </c>
      <c r="BE93" s="85">
        <f>BE$233*Population!BJ$138</f>
        <v>33056.135593220337</v>
      </c>
      <c r="BF93" s="85">
        <f>BF$233*Population!BK$138</f>
        <v>33105.293453724604</v>
      </c>
      <c r="BG93" s="85">
        <f>BG$233*Population!BL$138</f>
        <v>33181.510710259303</v>
      </c>
    </row>
    <row r="94" spans="3:59" x14ac:dyDescent="0.2">
      <c r="C94" s="29">
        <v>29</v>
      </c>
      <c r="F94" s="85">
        <f>F$234*Population!K$139</f>
        <v>26069</v>
      </c>
      <c r="G94" s="85">
        <f>G$234*Population!L$139</f>
        <v>28108.660892738175</v>
      </c>
      <c r="H94" s="85">
        <f>H$234*Population!M$139</f>
        <v>30154.177777777779</v>
      </c>
      <c r="I94" s="85">
        <f>I$234*Population!N$139</f>
        <v>32538.434782608696</v>
      </c>
      <c r="J94" s="85">
        <f>J$234*Population!O$139</f>
        <v>35045.305365296801</v>
      </c>
      <c r="K94" s="85">
        <f>K$234*Population!P$139</f>
        <v>37185.15002727769</v>
      </c>
      <c r="L94" s="85">
        <f>L$234*Population!Q$139</f>
        <v>37551.595715462783</v>
      </c>
      <c r="M94" s="85">
        <f>M$234*Population!R$139</f>
        <v>37916.725784447473</v>
      </c>
      <c r="N94" s="85">
        <f>N$234*Population!S$139</f>
        <v>37327.655778204775</v>
      </c>
      <c r="O94" s="85">
        <f>O$234*Population!T$139</f>
        <v>37476.755725190837</v>
      </c>
      <c r="P94" s="85">
        <f>P$234*Population!U$139</f>
        <v>37267.630215434961</v>
      </c>
      <c r="Q94" s="85">
        <f>Q$234*Population!V$139</f>
        <v>35738.188689809635</v>
      </c>
      <c r="R94" s="85">
        <f>R$234*Population!W$139</f>
        <v>34696.831963729106</v>
      </c>
      <c r="S94" s="85">
        <f>S$234*Population!X$139</f>
        <v>33550.468478889532</v>
      </c>
      <c r="T94" s="85">
        <f>T$234*Population!Y$139</f>
        <v>33670.243281471005</v>
      </c>
      <c r="U94" s="85">
        <f>U$234*Population!Z$139</f>
        <v>32385.039141780224</v>
      </c>
      <c r="V94" s="85">
        <f>V$234*Population!AA$139</f>
        <v>30746.65856622114</v>
      </c>
      <c r="W94" s="85">
        <f>W$234*Population!AB$139</f>
        <v>30774.130434782608</v>
      </c>
      <c r="X94" s="85">
        <f>X$234*Population!AC$139</f>
        <v>31206.724137931033</v>
      </c>
      <c r="Y94" s="85">
        <f>Y$234*Population!AD$139</f>
        <v>31040.422535211266</v>
      </c>
      <c r="Z94" s="85">
        <f>Z$234*Population!AE$139</f>
        <v>31522.613065326634</v>
      </c>
      <c r="AA94" s="85">
        <f>AA$234*Population!AF$139</f>
        <v>33040.135669869982</v>
      </c>
      <c r="AB94" s="85">
        <f>AB$234*Population!AG$139</f>
        <v>34232.441288913164</v>
      </c>
      <c r="AC94" s="85">
        <f>AC$234*Population!AH$139</f>
        <v>34577.187839305101</v>
      </c>
      <c r="AD94" s="85">
        <f>AD$234*Population!AI$139</f>
        <v>34746.581798483203</v>
      </c>
      <c r="AE94" s="85">
        <f>AE$234*Population!AJ$139</f>
        <v>34141.775493192552</v>
      </c>
      <c r="AF94" s="85">
        <f>AF$234*Population!AK$139</f>
        <v>33734.564174894214</v>
      </c>
      <c r="AG94" s="85">
        <f>AG$234*Population!AL$139</f>
        <v>33452.546548266975</v>
      </c>
      <c r="AH94" s="85">
        <f>AH$234*Population!AM$139</f>
        <v>32815.653192735794</v>
      </c>
      <c r="AI94" s="85">
        <f>AI$234*Population!AN$139</f>
        <v>32745.719381688465</v>
      </c>
      <c r="AJ94" s="85">
        <f>AJ$234*Population!AO$139</f>
        <v>32579.94710549515</v>
      </c>
      <c r="AK94" s="85">
        <f>AK$234*Population!AP$139</f>
        <v>32979.534342258441</v>
      </c>
      <c r="AL94" s="85">
        <f>AL$234*Population!AQ$139</f>
        <v>33528.825396825392</v>
      </c>
      <c r="AM94" s="85">
        <f>AM$234*Population!AR$139</f>
        <v>34031.826510163184</v>
      </c>
      <c r="AN94" s="85">
        <f>AN$234*Population!AS$139</f>
        <v>34463.181818181816</v>
      </c>
      <c r="AO94" s="85">
        <f>AO$234*Population!AT$139</f>
        <v>34791.204513399156</v>
      </c>
      <c r="AP94" s="85">
        <f>AP$234*Population!AU$139</f>
        <v>35017.386427369602</v>
      </c>
      <c r="AQ94" s="85">
        <f>AQ$234*Population!AV$139</f>
        <v>35150.01953125</v>
      </c>
      <c r="AR94" s="85">
        <f>AR$234*Population!AW$139</f>
        <v>35226.04224569205</v>
      </c>
      <c r="AS94" s="85">
        <f>AS$234*Population!AX$139</f>
        <v>35235.644222776391</v>
      </c>
      <c r="AT94" s="85">
        <f>AT$234*Population!AY$139</f>
        <v>35178.849875587504</v>
      </c>
      <c r="AU94" s="85">
        <f>AU$234*Population!AZ$139</f>
        <v>35083.471416735709</v>
      </c>
      <c r="AV94" s="85">
        <f>AV$234*Population!BA$139</f>
        <v>34939.77912755384</v>
      </c>
      <c r="AW94" s="85">
        <f>AW$234*Population!BB$139</f>
        <v>34756.85635359116</v>
      </c>
      <c r="AX94" s="85">
        <f>AX$234*Population!BC$139</f>
        <v>34553.348090758162</v>
      </c>
      <c r="AY94" s="85">
        <f>AY$234*Population!BD$139</f>
        <v>34339.750485167729</v>
      </c>
      <c r="AZ94" s="85">
        <f>AZ$234*Population!BE$139</f>
        <v>34123.687135315369</v>
      </c>
      <c r="BA94" s="85">
        <f>BA$234*Population!BF$139</f>
        <v>33927.17348927875</v>
      </c>
      <c r="BB94" s="85">
        <f>BB$234*Population!BG$139</f>
        <v>33758.772321428572</v>
      </c>
      <c r="BC94" s="85">
        <f>BC$234*Population!BH$139</f>
        <v>33627.175188600166</v>
      </c>
      <c r="BD94" s="85">
        <f>BD$234*Population!BI$139</f>
        <v>33544.127516778521</v>
      </c>
      <c r="BE94" s="85">
        <f>BE$234*Population!BJ$139</f>
        <v>33516.988255033561</v>
      </c>
      <c r="BF94" s="85">
        <f>BF$234*Population!BK$139</f>
        <v>33528.010061486864</v>
      </c>
      <c r="BG94" s="85">
        <f>BG$234*Population!BL$139</f>
        <v>33566.834170854272</v>
      </c>
    </row>
    <row r="95" spans="3:59" x14ac:dyDescent="0.2">
      <c r="C95" s="29">
        <v>30</v>
      </c>
      <c r="F95" s="85">
        <f>F$235*Population!K$140</f>
        <v>25578.962566844923</v>
      </c>
      <c r="G95" s="85">
        <f>G$235*Population!L$140</f>
        <v>27327.226202661208</v>
      </c>
      <c r="H95" s="85">
        <f>H$235*Population!M$140</f>
        <v>29211.326329612606</v>
      </c>
      <c r="I95" s="85">
        <f>I$235*Population!N$140</f>
        <v>31133.688165309955</v>
      </c>
      <c r="J95" s="85">
        <f>J$235*Population!O$140</f>
        <v>33403.882805563779</v>
      </c>
      <c r="K95" s="85">
        <f>K$235*Population!P$140</f>
        <v>35768.714768883881</v>
      </c>
      <c r="L95" s="85">
        <f>L$235*Population!Q$140</f>
        <v>37783.331536388141</v>
      </c>
      <c r="M95" s="85">
        <f>M$235*Population!R$140</f>
        <v>38027.267299864317</v>
      </c>
      <c r="N95" s="85">
        <f>N$235*Population!S$140</f>
        <v>38381.439741170128</v>
      </c>
      <c r="O95" s="85">
        <f>O$235*Population!T$140</f>
        <v>37802.343368592352</v>
      </c>
      <c r="P95" s="85">
        <f>P$235*Population!U$140</f>
        <v>37950.994073275862</v>
      </c>
      <c r="Q95" s="85">
        <f>Q$235*Population!V$140</f>
        <v>37729.894907033144</v>
      </c>
      <c r="R95" s="85">
        <f>R$235*Population!W$140</f>
        <v>36198.343473451328</v>
      </c>
      <c r="S95" s="85">
        <f>S$235*Population!X$140</f>
        <v>35174.601175482785</v>
      </c>
      <c r="T95" s="85">
        <f>T$235*Population!Y$140</f>
        <v>34006.567675613936</v>
      </c>
      <c r="U95" s="85">
        <f>U$235*Population!Z$140</f>
        <v>34124.031852472763</v>
      </c>
      <c r="V95" s="85">
        <f>V$235*Population!AA$140</f>
        <v>32836.965359290007</v>
      </c>
      <c r="W95" s="85">
        <f>W$235*Population!AB$140</f>
        <v>31207.053357314151</v>
      </c>
      <c r="X95" s="85">
        <f>X$235*Population!AC$140</f>
        <v>31223.578665077475</v>
      </c>
      <c r="Y95" s="85">
        <f>Y$235*Population!AD$140</f>
        <v>31666.291079812207</v>
      </c>
      <c r="Z95" s="85">
        <f>Z$235*Population!AE$140</f>
        <v>31481.836191602601</v>
      </c>
      <c r="AA95" s="85">
        <f>AA$235*Population!AF$140</f>
        <v>31973.34889148191</v>
      </c>
      <c r="AB95" s="85">
        <f>AB$235*Population!AG$140</f>
        <v>33500.502512562816</v>
      </c>
      <c r="AC95" s="85">
        <f>AC$235*Population!AH$140</f>
        <v>34703.264975715058</v>
      </c>
      <c r="AD95" s="85">
        <f>AD$235*Population!AI$140</f>
        <v>35048.551502145921</v>
      </c>
      <c r="AE95" s="85">
        <f>AE$235*Population!AJ$140</f>
        <v>35218.329764453963</v>
      </c>
      <c r="AF95" s="85">
        <f>AF$235*Population!AK$140</f>
        <v>34605.093304061469</v>
      </c>
      <c r="AG95" s="85">
        <f>AG$235*Population!AL$140</f>
        <v>34187.727019498605</v>
      </c>
      <c r="AH95" s="85">
        <f>AH$235*Population!AM$140</f>
        <v>33906.532805429866</v>
      </c>
      <c r="AI95" s="85">
        <f>AI$235*Population!AN$140</f>
        <v>33270.020237062738</v>
      </c>
      <c r="AJ95" s="85">
        <f>AJ$235*Population!AO$140</f>
        <v>33201.569375183339</v>
      </c>
      <c r="AK95" s="85">
        <f>AK$235*Population!AP$140</f>
        <v>33033.845707656612</v>
      </c>
      <c r="AL95" s="85">
        <f>AL$235*Population!AQ$140</f>
        <v>33433.725940821605</v>
      </c>
      <c r="AM95" s="85">
        <f>AM$235*Population!AR$140</f>
        <v>34004.354516956395</v>
      </c>
      <c r="AN95" s="85">
        <f>AN$235*Population!AS$140</f>
        <v>34498.586772187678</v>
      </c>
      <c r="AO95" s="85">
        <f>AO$235*Population!AT$140</f>
        <v>34930.544179523138</v>
      </c>
      <c r="AP95" s="85">
        <f>AP$235*Population!AU$140</f>
        <v>35268.754527723599</v>
      </c>
      <c r="AQ95" s="85">
        <f>AQ$235*Population!AV$140</f>
        <v>35495.019390581721</v>
      </c>
      <c r="AR95" s="85">
        <f>AR$235*Population!AW$140</f>
        <v>35627.497243660422</v>
      </c>
      <c r="AS95" s="85">
        <f>AS$235*Population!AX$140</f>
        <v>35704.243755146854</v>
      </c>
      <c r="AT95" s="85">
        <f>AT$235*Population!AY$140</f>
        <v>35702.684729064036</v>
      </c>
      <c r="AU95" s="85">
        <f>AU$235*Population!AZ$140</f>
        <v>35655.143403441682</v>
      </c>
      <c r="AV95" s="85">
        <f>AV$235*Population!BA$140</f>
        <v>35549.503546099288</v>
      </c>
      <c r="AW95" s="85">
        <f>AW$235*Population!BB$140</f>
        <v>35405.235887646581</v>
      </c>
      <c r="AX95" s="85">
        <f>AX$235*Population!BC$140</f>
        <v>35231.331877729259</v>
      </c>
      <c r="AY95" s="85">
        <f>AY$235*Population!BD$140</f>
        <v>35028.179830554793</v>
      </c>
      <c r="AZ95" s="85">
        <f>AZ$235*Population!BE$140</f>
        <v>34812.552026286969</v>
      </c>
      <c r="BA95" s="85">
        <f>BA$235*Population!BF$140</f>
        <v>34597.39297475302</v>
      </c>
      <c r="BB95" s="85">
        <f>BB$235*Population!BG$140</f>
        <v>34389.955995599565</v>
      </c>
      <c r="BC95" s="85">
        <f>BC$235*Population!BH$140</f>
        <v>34221.149076880683</v>
      </c>
      <c r="BD95" s="85">
        <f>BD$235*Population!BI$140</f>
        <v>34089.266004415011</v>
      </c>
      <c r="BE95" s="85">
        <f>BE$235*Population!BJ$140</f>
        <v>34015.045567522786</v>
      </c>
      <c r="BF95" s="85">
        <f>BF$235*Population!BK$140</f>
        <v>33978.724109362054</v>
      </c>
      <c r="BG95" s="85">
        <f>BG$235*Population!BL$140</f>
        <v>33989.704664642559</v>
      </c>
    </row>
    <row r="96" spans="3:59" x14ac:dyDescent="0.2">
      <c r="C96" s="29">
        <v>31</v>
      </c>
      <c r="F96" s="85">
        <f>F$236*Population!K$141</f>
        <v>25662.104136947219</v>
      </c>
      <c r="G96" s="85">
        <f>G$236*Population!L$141</f>
        <v>26652.552301255233</v>
      </c>
      <c r="H96" s="85">
        <f>H$236*Population!M$141</f>
        <v>28331.81818181818</v>
      </c>
      <c r="I96" s="85">
        <f>I$236*Population!N$141</f>
        <v>30101.134521880067</v>
      </c>
      <c r="J96" s="85">
        <f>J$236*Population!O$141</f>
        <v>31908.908134859263</v>
      </c>
      <c r="K96" s="85">
        <f>K$236*Population!P$141</f>
        <v>34053.522527794034</v>
      </c>
      <c r="L96" s="85">
        <f>L$236*Population!Q$141</f>
        <v>36314.000557569001</v>
      </c>
      <c r="M96" s="85">
        <f>M$236*Population!R$141</f>
        <v>38213.870365430783</v>
      </c>
      <c r="N96" s="85">
        <f>N$236*Population!S$141</f>
        <v>38459.186140209509</v>
      </c>
      <c r="O96" s="85">
        <f>O$236*Population!T$141</f>
        <v>38814.95464247599</v>
      </c>
      <c r="P96" s="85">
        <f>P$236*Population!U$141</f>
        <v>38222.78582930757</v>
      </c>
      <c r="Q96" s="85">
        <f>Q$236*Population!V$141</f>
        <v>38370.919754732073</v>
      </c>
      <c r="R96" s="85">
        <f>R$236*Population!W$141</f>
        <v>38160.114666666668</v>
      </c>
      <c r="S96" s="85">
        <f>S$236*Population!X$141</f>
        <v>36634.815321477428</v>
      </c>
      <c r="T96" s="85">
        <f>T$236*Population!Y$141</f>
        <v>35587.31248270136</v>
      </c>
      <c r="U96" s="85">
        <f>U$236*Population!Z$141</f>
        <v>34417.17391304348</v>
      </c>
      <c r="V96" s="85">
        <f>V$236*Population!AA$141</f>
        <v>34551.926478717527</v>
      </c>
      <c r="W96" s="85">
        <f>W$236*Population!AB$141</f>
        <v>33251.726577979054</v>
      </c>
      <c r="X96" s="85">
        <f>X$236*Population!AC$141</f>
        <v>31621.333333333336</v>
      </c>
      <c r="Y96" s="85">
        <f>Y$236*Population!AD$141</f>
        <v>31627.697290930508</v>
      </c>
      <c r="Z96" s="85">
        <f>Z$236*Population!AE$141</f>
        <v>32079.547432550044</v>
      </c>
      <c r="AA96" s="85">
        <f>AA$236*Population!AF$141</f>
        <v>31894.229757380883</v>
      </c>
      <c r="AB96" s="85">
        <f>AB$236*Population!AG$141</f>
        <v>32396.34554369772</v>
      </c>
      <c r="AC96" s="85">
        <f>AC$236*Population!AH$141</f>
        <v>33924.837106570958</v>
      </c>
      <c r="AD96" s="85">
        <f>AD$236*Population!AI$141</f>
        <v>35118.659903897489</v>
      </c>
      <c r="AE96" s="85">
        <f>AE$236*Population!AJ$141</f>
        <v>35474.000530926467</v>
      </c>
      <c r="AF96" s="85">
        <f>AF$236*Population!AK$141</f>
        <v>35645.166843220337</v>
      </c>
      <c r="AG96" s="85">
        <f>AG$236*Population!AL$141</f>
        <v>35041.43361390171</v>
      </c>
      <c r="AH96" s="85">
        <f>AH$236*Population!AM$141</f>
        <v>34615.414714797465</v>
      </c>
      <c r="AI96" s="85">
        <f>AI$236*Population!AN$141</f>
        <v>34335.401398601403</v>
      </c>
      <c r="AJ96" s="85">
        <f>AJ$236*Population!AO$141</f>
        <v>33708.542024013725</v>
      </c>
      <c r="AK96" s="85">
        <f>AK$236*Population!AP$141</f>
        <v>33622.418793503479</v>
      </c>
      <c r="AL96" s="85">
        <f>AL$236*Population!AQ$141</f>
        <v>33462.558072841988</v>
      </c>
      <c r="AM96" s="85">
        <f>AM$236*Population!AR$141</f>
        <v>33862.380005680207</v>
      </c>
      <c r="AN96" s="85">
        <f>AN$236*Population!AS$141</f>
        <v>34423.708086785009</v>
      </c>
      <c r="AO96" s="85">
        <f>AO$236*Population!AT$141</f>
        <v>34920.60368921185</v>
      </c>
      <c r="AP96" s="85">
        <f>AP$236*Population!AU$141</f>
        <v>35362.452149791956</v>
      </c>
      <c r="AQ96" s="85">
        <f>AQ$236*Population!AV$141</f>
        <v>35701.138054560484</v>
      </c>
      <c r="AR96" s="85">
        <f>AR$236*Population!AW$141</f>
        <v>35927.506849315068</v>
      </c>
      <c r="AS96" s="85">
        <f>AS$236*Population!AX$141</f>
        <v>36070.58615049073</v>
      </c>
      <c r="AT96" s="85">
        <f>AT$236*Population!AY$141</f>
        <v>36136.193320662504</v>
      </c>
      <c r="AU96" s="85">
        <f>AU$236*Population!AZ$141</f>
        <v>36144.937736870597</v>
      </c>
      <c r="AV96" s="85">
        <f>AV$236*Population!BA$141</f>
        <v>36096.763037017023</v>
      </c>
      <c r="AW96" s="85">
        <f>AW$236*Population!BB$141</f>
        <v>35990.407447382626</v>
      </c>
      <c r="AX96" s="85">
        <f>AX$236*Population!BC$141</f>
        <v>35845.368222282166</v>
      </c>
      <c r="AY96" s="85">
        <f>AY$236*Population!BD$141</f>
        <v>35670.680345572357</v>
      </c>
      <c r="AZ96" s="85">
        <f>AZ$236*Population!BE$141</f>
        <v>35456.204379562041</v>
      </c>
      <c r="BA96" s="85">
        <f>BA$236*Population!BF$141</f>
        <v>35250.398158179843</v>
      </c>
      <c r="BB96" s="85">
        <f>BB$236*Population!BG$141</f>
        <v>35024.101520086864</v>
      </c>
      <c r="BC96" s="85">
        <f>BC$236*Population!BH$141</f>
        <v>34826.490750816105</v>
      </c>
      <c r="BD96" s="85">
        <f>BD$236*Population!BI$141</f>
        <v>34646.786590351592</v>
      </c>
      <c r="BE96" s="85">
        <f>BE$236*Population!BJ$141</f>
        <v>34524.868995633187</v>
      </c>
      <c r="BF96" s="85">
        <f>BF$236*Population!BK$141</f>
        <v>34440.947569634081</v>
      </c>
      <c r="BG96" s="85">
        <f>BG$236*Population!BL$141</f>
        <v>34404.453850354999</v>
      </c>
    </row>
    <row r="97" spans="3:59" x14ac:dyDescent="0.2">
      <c r="C97" s="29">
        <v>32</v>
      </c>
      <c r="F97" s="85">
        <f>F$237*Population!K$142</f>
        <v>25757.692583303477</v>
      </c>
      <c r="G97" s="85">
        <f>G$237*Population!L$142</f>
        <v>26642.29525483304</v>
      </c>
      <c r="H97" s="85">
        <f>H$237*Population!M$142</f>
        <v>27483.86292834891</v>
      </c>
      <c r="I97" s="85">
        <f>I$237*Population!N$142</f>
        <v>29056.938502673795</v>
      </c>
      <c r="J97" s="85">
        <f>J$237*Population!O$142</f>
        <v>30740.499034127497</v>
      </c>
      <c r="K97" s="85">
        <f>K$237*Population!P$142</f>
        <v>32458.61094038107</v>
      </c>
      <c r="L97" s="85">
        <f>L$237*Population!Q$142</f>
        <v>34516.778133178246</v>
      </c>
      <c r="M97" s="85">
        <f>M$237*Population!R$142</f>
        <v>36690.864745011088</v>
      </c>
      <c r="N97" s="85">
        <f>N$237*Population!S$142</f>
        <v>38602.547094720088</v>
      </c>
      <c r="O97" s="85">
        <f>O$237*Population!T$142</f>
        <v>38840.670405982906</v>
      </c>
      <c r="P97" s="85">
        <f>P$237*Population!U$142</f>
        <v>39197.105332979569</v>
      </c>
      <c r="Q97" s="85">
        <f>Q$237*Population!V$142</f>
        <v>38613.931144915936</v>
      </c>
      <c r="R97" s="85">
        <f>R$237*Population!W$142</f>
        <v>38761.362672322379</v>
      </c>
      <c r="S97" s="85">
        <f>S$237*Population!X$142</f>
        <v>38538.156987536466</v>
      </c>
      <c r="T97" s="85">
        <f>T$237*Population!Y$142</f>
        <v>37009.317192600654</v>
      </c>
      <c r="U97" s="85">
        <f>U$237*Population!Z$142</f>
        <v>35957.930654925702</v>
      </c>
      <c r="V97" s="85">
        <f>V$237*Population!AA$142</f>
        <v>34793.965759191691</v>
      </c>
      <c r="W97" s="85">
        <f>W$237*Population!AB$142</f>
        <v>34915.69936795823</v>
      </c>
      <c r="X97" s="85">
        <f>X$237*Population!AC$142</f>
        <v>33612.388857625214</v>
      </c>
      <c r="Y97" s="85">
        <f>Y$237*Population!AD$142</f>
        <v>31951.009714453929</v>
      </c>
      <c r="Z97" s="85">
        <f>Z$237*Population!AE$142</f>
        <v>31985.098039215685</v>
      </c>
      <c r="AA97" s="85">
        <f>AA$237*Population!AF$142</f>
        <v>32418.241568175268</v>
      </c>
      <c r="AB97" s="85">
        <f>AB$237*Population!AG$142</f>
        <v>32233.284925936681</v>
      </c>
      <c r="AC97" s="85">
        <f>AC$237*Population!AH$142</f>
        <v>32735.838349097161</v>
      </c>
      <c r="AD97" s="85">
        <f>AD$237*Population!AI$142</f>
        <v>34284.490804282184</v>
      </c>
      <c r="AE97" s="85">
        <f>AE$237*Population!AJ$142</f>
        <v>35497.971860897262</v>
      </c>
      <c r="AF97" s="85">
        <f>AF$237*Population!AK$142</f>
        <v>35844.787542887309</v>
      </c>
      <c r="AG97" s="85">
        <f>AG$237*Population!AL$142</f>
        <v>36025.978404003159</v>
      </c>
      <c r="AH97" s="85">
        <f>AH$237*Population!AM$142</f>
        <v>35405.282051282047</v>
      </c>
      <c r="AI97" s="85">
        <f>AI$237*Population!AN$142</f>
        <v>34978.529170090391</v>
      </c>
      <c r="AJ97" s="85">
        <f>AJ$237*Population!AO$142</f>
        <v>34699.916597164301</v>
      </c>
      <c r="AK97" s="85">
        <f>AK$237*Population!AP$142</f>
        <v>34054.005681818177</v>
      </c>
      <c r="AL97" s="85">
        <f>AL$237*Population!AQ$142</f>
        <v>33990.121037463978</v>
      </c>
      <c r="AM97" s="85">
        <f>AM$237*Population!AR$142</f>
        <v>33816.369335993164</v>
      </c>
      <c r="AN97" s="85">
        <f>AN$237*Population!AS$142</f>
        <v>34227.713156408805</v>
      </c>
      <c r="AO97" s="85">
        <f>AO$237*Population!AT$142</f>
        <v>34790.31083730048</v>
      </c>
      <c r="AP97" s="85">
        <f>AP$237*Population!AU$142</f>
        <v>35298.360655737706</v>
      </c>
      <c r="AQ97" s="85">
        <f>AQ$237*Population!AV$142</f>
        <v>35731.450234353462</v>
      </c>
      <c r="AR97" s="85">
        <f>AR$237*Population!AW$142</f>
        <v>36070.747740345112</v>
      </c>
      <c r="AS97" s="85">
        <f>AS$237*Population!AX$142</f>
        <v>36308.020152505444</v>
      </c>
      <c r="AT97" s="85">
        <f>AT$237*Population!AY$142</f>
        <v>36440.081300813006</v>
      </c>
      <c r="AU97" s="85">
        <f>AU$237*Population!AZ$142</f>
        <v>36516</v>
      </c>
      <c r="AV97" s="85">
        <f>AV$237*Population!BA$142</f>
        <v>36524.136167922501</v>
      </c>
      <c r="AW97" s="85">
        <f>AW$237*Population!BB$142</f>
        <v>36475.192049422505</v>
      </c>
      <c r="AX97" s="85">
        <f>AX$237*Population!BC$142</f>
        <v>36367.929184549357</v>
      </c>
      <c r="AY97" s="85">
        <f>AY$237*Population!BD$142</f>
        <v>36221.930812550279</v>
      </c>
      <c r="AZ97" s="85">
        <f>AZ$237*Population!BE$142</f>
        <v>36046.285560923243</v>
      </c>
      <c r="BA97" s="85">
        <f>BA$237*Population!BF$142</f>
        <v>35840</v>
      </c>
      <c r="BB97" s="85">
        <f>BB$237*Population!BG$142</f>
        <v>35624.124932687126</v>
      </c>
      <c r="BC97" s="85">
        <f>BC$237*Population!BH$142</f>
        <v>35396.956287101995</v>
      </c>
      <c r="BD97" s="85">
        <f>BD$237*Population!BI$142</f>
        <v>35198.566792861006</v>
      </c>
      <c r="BE97" s="85">
        <f>BE$237*Population!BJ$142</f>
        <v>35027.385532376051</v>
      </c>
      <c r="BF97" s="85">
        <f>BF$237*Population!BK$142</f>
        <v>34895.778621812264</v>
      </c>
      <c r="BG97" s="85">
        <f>BG$237*Population!BL$142</f>
        <v>34811.465798045603</v>
      </c>
    </row>
    <row r="98" spans="3:59" x14ac:dyDescent="0.2">
      <c r="C98" s="29">
        <v>33</v>
      </c>
      <c r="F98" s="85">
        <f>F$238*Population!K$143</f>
        <v>25024.54377539712</v>
      </c>
      <c r="G98" s="85">
        <f>G$238*Population!L$143</f>
        <v>26471.960297766749</v>
      </c>
      <c r="H98" s="85">
        <f>H$238*Population!M$143</f>
        <v>27289.60448022401</v>
      </c>
      <c r="I98" s="85">
        <f>I$238*Population!N$143</f>
        <v>28050.155118924507</v>
      </c>
      <c r="J98" s="85">
        <f>J$238*Population!O$143</f>
        <v>29553.428761651132</v>
      </c>
      <c r="K98" s="85">
        <f>K$238*Population!P$143</f>
        <v>31147.370109044259</v>
      </c>
      <c r="L98" s="85">
        <f>L$238*Population!Q$143</f>
        <v>32794.464176362526</v>
      </c>
      <c r="M98" s="85">
        <f>M$238*Population!R$143</f>
        <v>34780.64347826087</v>
      </c>
      <c r="N98" s="85">
        <f>N$238*Population!S$143</f>
        <v>36947.662337662339</v>
      </c>
      <c r="O98" s="85">
        <f>O$238*Population!T$143</f>
        <v>38872.533721237764</v>
      </c>
      <c r="P98" s="85">
        <f>P$238*Population!U$143</f>
        <v>39112.949946751862</v>
      </c>
      <c r="Q98" s="85">
        <f>Q$238*Population!V$143</f>
        <v>39480.333333333336</v>
      </c>
      <c r="R98" s="85">
        <f>R$238*Population!W$143</f>
        <v>38873.785581271615</v>
      </c>
      <c r="S98" s="85">
        <f>S$238*Population!X$143</f>
        <v>39029.960359408033</v>
      </c>
      <c r="T98" s="85">
        <f>T$238*Population!Y$143</f>
        <v>38827.287149656266</v>
      </c>
      <c r="U98" s="85">
        <f>U$238*Population!Z$143</f>
        <v>37274.517353579176</v>
      </c>
      <c r="V98" s="85">
        <f>V$238*Population!AA$143</f>
        <v>36211.119034558425</v>
      </c>
      <c r="W98" s="85">
        <f>W$238*Population!AB$143</f>
        <v>35045.034965034967</v>
      </c>
      <c r="X98" s="85">
        <f>X$238*Population!AC$143</f>
        <v>35173.207340454668</v>
      </c>
      <c r="Y98" s="85">
        <f>Y$238*Population!AD$143</f>
        <v>33867.661245092539</v>
      </c>
      <c r="Z98" s="85">
        <f>Z$238*Population!AE$143</f>
        <v>32214.702258726898</v>
      </c>
      <c r="AA98" s="85">
        <f>AA$238*Population!AF$143</f>
        <v>32228.608923884516</v>
      </c>
      <c r="AB98" s="85">
        <f>AB$238*Population!AG$143</f>
        <v>32680.953748922722</v>
      </c>
      <c r="AC98" s="85">
        <f>AC$238*Population!AH$143</f>
        <v>32496.277858176556</v>
      </c>
      <c r="AD98" s="85">
        <f>AD$238*Population!AI$143</f>
        <v>32989.957155098542</v>
      </c>
      <c r="AE98" s="85">
        <f>AE$238*Population!AJ$143</f>
        <v>34549.291381668947</v>
      </c>
      <c r="AF98" s="85">
        <f>AF$238*Population!AK$143</f>
        <v>35762.979624239219</v>
      </c>
      <c r="AG98" s="85">
        <f>AG$238*Population!AL$143</f>
        <v>36110.444619836882</v>
      </c>
      <c r="AH98" s="85">
        <f>AH$238*Population!AM$143</f>
        <v>36292.084536623785</v>
      </c>
      <c r="AI98" s="85">
        <f>AI$238*Population!AN$143</f>
        <v>35681.81867097121</v>
      </c>
      <c r="AJ98" s="85">
        <f>AJ$238*Population!AO$143</f>
        <v>35246.289926289923</v>
      </c>
      <c r="AK98" s="85">
        <f>AK$238*Population!AP$143</f>
        <v>34958.293155998887</v>
      </c>
      <c r="AL98" s="85">
        <f>AL$238*Population!AQ$143</f>
        <v>34322.887064817434</v>
      </c>
      <c r="AM98" s="85">
        <f>AM$238*Population!AR$143</f>
        <v>34241.045076083836</v>
      </c>
      <c r="AN98" s="85">
        <f>AN$238*Population!AS$143</f>
        <v>34084.633730834757</v>
      </c>
      <c r="AO98" s="85">
        <f>AO$238*Population!AT$143</f>
        <v>34485.850914205344</v>
      </c>
      <c r="AP98" s="85">
        <f>AP$238*Population!AU$143</f>
        <v>35051.07421875</v>
      </c>
      <c r="AQ98" s="85">
        <f>AQ$238*Population!AV$143</f>
        <v>35569.399224806206</v>
      </c>
      <c r="AR98" s="85">
        <f>AR$238*Population!AW$143</f>
        <v>36003.913162956858</v>
      </c>
      <c r="AS98" s="85">
        <f>AS$238*Population!AX$143</f>
        <v>36333.782751091705</v>
      </c>
      <c r="AT98" s="85">
        <f>AT$238*Population!AY$143</f>
        <v>36580.36906377205</v>
      </c>
      <c r="AU98" s="85">
        <f>AU$238*Population!AZ$143</f>
        <v>36712.254928436399</v>
      </c>
      <c r="AV98" s="85">
        <f>AV$238*Population!BA$143</f>
        <v>36797.740112994346</v>
      </c>
      <c r="AW98" s="85">
        <f>AW$238*Population!BB$143</f>
        <v>36796.190987124464</v>
      </c>
      <c r="AX98" s="85">
        <f>AX$238*Population!BC$143</f>
        <v>36746.051927194865</v>
      </c>
      <c r="AY98" s="85">
        <f>AY$238*Population!BD$143</f>
        <v>36638.708556149737</v>
      </c>
      <c r="AZ98" s="85">
        <f>AZ$238*Population!BE$143</f>
        <v>36501.20288692863</v>
      </c>
      <c r="BA98" s="85">
        <f>BA$238*Population!BF$143</f>
        <v>36315.121690291518</v>
      </c>
      <c r="BB98" s="85">
        <f>BB$238*Population!BG$143</f>
        <v>36098.94215318693</v>
      </c>
      <c r="BC98" s="85">
        <f>BC$238*Population!BH$143</f>
        <v>35882.390662731421</v>
      </c>
      <c r="BD98" s="85">
        <f>BD$238*Population!BI$143</f>
        <v>35674.213498252218</v>
      </c>
      <c r="BE98" s="85">
        <f>BE$238*Population!BJ$143</f>
        <v>35464.866612772836</v>
      </c>
      <c r="BF98" s="85">
        <f>BF$238*Population!BK$143</f>
        <v>35294.36285097192</v>
      </c>
      <c r="BG98" s="85">
        <f>BG$238*Population!BL$143</f>
        <v>35161.240875912408</v>
      </c>
    </row>
    <row r="99" spans="3:59" x14ac:dyDescent="0.2">
      <c r="C99" s="29">
        <v>34</v>
      </c>
      <c r="F99" s="85">
        <f>F$239*Population!K$144</f>
        <v>25024.855233853006</v>
      </c>
      <c r="G99" s="85">
        <f>G$239*Population!L$144</f>
        <v>25693.56229448301</v>
      </c>
      <c r="H99" s="85">
        <f>H$239*Population!M$144</f>
        <v>27093.187433815743</v>
      </c>
      <c r="I99" s="85">
        <f>I$239*Population!N$144</f>
        <v>27849.68619246862</v>
      </c>
      <c r="J99" s="85">
        <f>J$239*Population!O$144</f>
        <v>28528.050120151049</v>
      </c>
      <c r="K99" s="85">
        <f>K$239*Population!P$144</f>
        <v>29960.205638474297</v>
      </c>
      <c r="L99" s="85">
        <f>L$239*Population!Q$144</f>
        <v>31482.269095557687</v>
      </c>
      <c r="M99" s="85">
        <f>M$239*Population!R$144</f>
        <v>33048.342996643274</v>
      </c>
      <c r="N99" s="85">
        <f>N$239*Population!S$144</f>
        <v>35025.034662045058</v>
      </c>
      <c r="O99" s="85">
        <f>O$239*Population!T$144</f>
        <v>37235.68044077135</v>
      </c>
      <c r="P99" s="85">
        <f>P$239*Population!U$144</f>
        <v>39152.558016877636</v>
      </c>
      <c r="Q99" s="85">
        <f>Q$239*Population!V$144</f>
        <v>39384.098752322803</v>
      </c>
      <c r="R99" s="85">
        <f>R$239*Population!W$144</f>
        <v>39772.60881034028</v>
      </c>
      <c r="S99" s="85">
        <f>S$239*Population!X$144</f>
        <v>39164.220159151191</v>
      </c>
      <c r="T99" s="85">
        <f>T$239*Population!Y$144</f>
        <v>39310.640316205536</v>
      </c>
      <c r="U99" s="85">
        <f>U$239*Population!Z$144</f>
        <v>39096.731681602534</v>
      </c>
      <c r="V99" s="85">
        <f>V$239*Population!AA$144</f>
        <v>37541.232432432429</v>
      </c>
      <c r="W99" s="85">
        <f>W$239*Population!AB$144</f>
        <v>36494.071643423573</v>
      </c>
      <c r="X99" s="85">
        <f>X$239*Population!AC$144</f>
        <v>35305.137998327293</v>
      </c>
      <c r="Y99" s="85">
        <f>Y$239*Population!AD$144</f>
        <v>35441.031941031943</v>
      </c>
      <c r="Z99" s="85">
        <f>Z$239*Population!AE$144</f>
        <v>34122.820011179429</v>
      </c>
      <c r="AA99" s="85">
        <f>AA$239*Population!AF$144</f>
        <v>32469.102601578488</v>
      </c>
      <c r="AB99" s="85">
        <f>AB$239*Population!AG$144</f>
        <v>32482.208660273176</v>
      </c>
      <c r="AC99" s="85">
        <f>AC$239*Population!AH$144</f>
        <v>32934.383051817924</v>
      </c>
      <c r="AD99" s="85">
        <f>AD$239*Population!AI$144</f>
        <v>32749.985578309777</v>
      </c>
      <c r="AE99" s="85">
        <f>AE$239*Population!AJ$144</f>
        <v>33263.450042698547</v>
      </c>
      <c r="AF99" s="85">
        <f>AF$239*Population!AK$144</f>
        <v>34823.245159530954</v>
      </c>
      <c r="AG99" s="85">
        <f>AG$239*Population!AL$144</f>
        <v>36038.135056713269</v>
      </c>
      <c r="AH99" s="85">
        <f>AH$239*Population!AM$144</f>
        <v>36386.286388670334</v>
      </c>
      <c r="AI99" s="85">
        <f>AI$239*Population!AN$144</f>
        <v>36558.07380266946</v>
      </c>
      <c r="AJ99" s="85">
        <f>AJ$239*Population!AO$144</f>
        <v>35949.048002145348</v>
      </c>
      <c r="AK99" s="85">
        <f>AK$239*Population!AP$144</f>
        <v>35513.918367346938</v>
      </c>
      <c r="AL99" s="85">
        <f>AL$239*Population!AQ$144</f>
        <v>35236.302126484399</v>
      </c>
      <c r="AM99" s="85">
        <f>AM$239*Population!AR$144</f>
        <v>34581.585331452749</v>
      </c>
      <c r="AN99" s="85">
        <f>AN$239*Population!AS$144</f>
        <v>34510.872675250357</v>
      </c>
      <c r="AO99" s="85">
        <f>AO$239*Population!AT$144</f>
        <v>34342.722127900393</v>
      </c>
      <c r="AP99" s="85">
        <f>AP$239*Population!AU$144</f>
        <v>34754.850014017386</v>
      </c>
      <c r="AQ99" s="85">
        <f>AQ$239*Population!AV$144</f>
        <v>35330.689655172413</v>
      </c>
      <c r="AR99" s="85">
        <f>AR$239*Population!AW$144</f>
        <v>35840.905077262694</v>
      </c>
      <c r="AS99" s="85">
        <f>AS$239*Population!AX$144</f>
        <v>36275.542168674699</v>
      </c>
      <c r="AT99" s="85">
        <f>AT$239*Population!AY$144</f>
        <v>36626.545157780194</v>
      </c>
      <c r="AU99" s="85">
        <f>AU$239*Population!AZ$144</f>
        <v>36853.259399513117</v>
      </c>
      <c r="AV99" s="85">
        <f>AV$239*Population!BA$144</f>
        <v>36995.709286675636</v>
      </c>
      <c r="AW99" s="85">
        <f>AW$239*Population!BB$144</f>
        <v>37070.927613941021</v>
      </c>
      <c r="AX99" s="85">
        <f>AX$239*Population!BC$144</f>
        <v>37078.139534883725</v>
      </c>
      <c r="AY99" s="85">
        <f>AY$239*Population!BD$144</f>
        <v>37028.036286019211</v>
      </c>
      <c r="AZ99" s="85">
        <f>AZ$239*Population!BE$144</f>
        <v>36919.384492406076</v>
      </c>
      <c r="BA99" s="85">
        <f>BA$239*Population!BF$144</f>
        <v>36771.928609483213</v>
      </c>
      <c r="BB99" s="85">
        <f>BB$239*Population!BG$144</f>
        <v>36594.349680170577</v>
      </c>
      <c r="BC99" s="85">
        <f>BC$239*Population!BH$144</f>
        <v>36377.413931144918</v>
      </c>
      <c r="BD99" s="85">
        <f>BD$239*Population!BI$144</f>
        <v>36160.147058823532</v>
      </c>
      <c r="BE99" s="85">
        <f>BE$239*Population!BJ$144</f>
        <v>35951.339764201497</v>
      </c>
      <c r="BF99" s="85">
        <f>BF$239*Population!BK$144</f>
        <v>35741.407089151449</v>
      </c>
      <c r="BG99" s="85">
        <f>BG$239*Population!BL$144</f>
        <v>35570.39548022599</v>
      </c>
    </row>
    <row r="100" spans="3:59" x14ac:dyDescent="0.2">
      <c r="C100" s="29">
        <v>35</v>
      </c>
      <c r="F100" s="85">
        <f>F$240*Population!K$145</f>
        <v>24537.862826828346</v>
      </c>
      <c r="G100" s="85">
        <f>G$240*Population!L$145</f>
        <v>25632.060984570169</v>
      </c>
      <c r="H100" s="85">
        <f>H$240*Population!M$145</f>
        <v>26196.950509461425</v>
      </c>
      <c r="I100" s="85">
        <f>I$240*Population!N$145</f>
        <v>27533.632208157524</v>
      </c>
      <c r="J100" s="85">
        <f>J$240*Population!O$145</f>
        <v>28206.986111111113</v>
      </c>
      <c r="K100" s="85">
        <f>K$240*Population!P$145</f>
        <v>28821.340629274964</v>
      </c>
      <c r="L100" s="85">
        <f>L$240*Population!Q$145</f>
        <v>30180.105750165236</v>
      </c>
      <c r="M100" s="85">
        <f>M$240*Population!R$145</f>
        <v>31639.528662420384</v>
      </c>
      <c r="N100" s="85">
        <f>N$240*Population!S$145</f>
        <v>33204.160583941608</v>
      </c>
      <c r="O100" s="85">
        <f>O$240*Population!T$145</f>
        <v>35202.142857142855</v>
      </c>
      <c r="P100" s="85">
        <f>P$240*Population!U$145</f>
        <v>37394.361439165063</v>
      </c>
      <c r="Q100" s="85">
        <f>Q$240*Population!V$145</f>
        <v>39321.02287667631</v>
      </c>
      <c r="R100" s="85">
        <f>R$240*Population!W$145</f>
        <v>39564.817363684488</v>
      </c>
      <c r="S100" s="85">
        <f>S$240*Population!X$145</f>
        <v>39933.008942661756</v>
      </c>
      <c r="T100" s="85">
        <f>T$240*Population!Y$145</f>
        <v>39335.085956096271</v>
      </c>
      <c r="U100" s="85">
        <f>U$240*Population!Z$145</f>
        <v>39481.26116657909</v>
      </c>
      <c r="V100" s="85">
        <f>V$240*Population!AA$145</f>
        <v>39276.189224704336</v>
      </c>
      <c r="W100" s="85">
        <f>W$240*Population!AB$145</f>
        <v>37718.571428571428</v>
      </c>
      <c r="X100" s="85">
        <f>X$240*Population!AC$145</f>
        <v>36660</v>
      </c>
      <c r="Y100" s="85">
        <f>Y$240*Population!AD$145</f>
        <v>35480.71428571429</v>
      </c>
      <c r="Z100" s="85">
        <f>Z$240*Population!AE$145</f>
        <v>35604.749591725638</v>
      </c>
      <c r="AA100" s="85">
        <f>AA$240*Population!AF$145</f>
        <v>34295.817776539428</v>
      </c>
      <c r="AB100" s="85">
        <f>AB$240*Population!AG$145</f>
        <v>32631.462703962701</v>
      </c>
      <c r="AC100" s="85">
        <f>AC$240*Population!AH$145</f>
        <v>32654.39165701043</v>
      </c>
      <c r="AD100" s="85">
        <f>AD$240*Population!AI$145</f>
        <v>33106.47831050228</v>
      </c>
      <c r="AE100" s="85">
        <f>AE$240*Population!AJ$145</f>
        <v>32922.225416906273</v>
      </c>
      <c r="AF100" s="85">
        <f>AF$240*Population!AK$145</f>
        <v>33425.652667423383</v>
      </c>
      <c r="AG100" s="85">
        <f>AG$240*Population!AL$145</f>
        <v>34985.644371941271</v>
      </c>
      <c r="AH100" s="85">
        <f>AH$240*Population!AM$145</f>
        <v>36210.860073645446</v>
      </c>
      <c r="AI100" s="85">
        <f>AI$240*Population!AN$145</f>
        <v>36559.327928870291</v>
      </c>
      <c r="AJ100" s="85">
        <f>AJ$240*Population!AO$145</f>
        <v>36740.62108559499</v>
      </c>
      <c r="AK100" s="85">
        <f>AK$240*Population!AP$145</f>
        <v>36122.914438502674</v>
      </c>
      <c r="AL100" s="85">
        <f>AL$240*Population!AQ$145</f>
        <v>35687.583401139142</v>
      </c>
      <c r="AM100" s="85">
        <f>AM$240*Population!AR$145</f>
        <v>35401.180842279107</v>
      </c>
      <c r="AN100" s="85">
        <f>AN$240*Population!AS$145</f>
        <v>34765.71428571429</v>
      </c>
      <c r="AO100" s="85">
        <f>AO$240*Population!AT$145</f>
        <v>34676.817792985457</v>
      </c>
      <c r="AP100" s="85">
        <f>AP$240*Population!AU$145</f>
        <v>34516.796390298929</v>
      </c>
      <c r="AQ100" s="85">
        <f>AQ$240*Population!AV$145</f>
        <v>34929.103101424982</v>
      </c>
      <c r="AR100" s="85">
        <f>AR$240*Population!AW$145</f>
        <v>35505.543237250553</v>
      </c>
      <c r="AS100" s="85">
        <f>AS$240*Population!AX$145</f>
        <v>36016.237623762376</v>
      </c>
      <c r="AT100" s="85">
        <f>AT$240*Population!AY$145</f>
        <v>36451.886431886436</v>
      </c>
      <c r="AU100" s="85">
        <f>AU$240*Population!AZ$145</f>
        <v>36812.411174396533</v>
      </c>
      <c r="AV100" s="85">
        <f>AV$240*Population!BA$145</f>
        <v>37039.946077109729</v>
      </c>
      <c r="AW100" s="85">
        <f>AW$240*Population!BB$145</f>
        <v>37171.558894553258</v>
      </c>
      <c r="AX100" s="85">
        <f>AX$240*Population!BC$145</f>
        <v>37256.583801122695</v>
      </c>
      <c r="AY100" s="85">
        <f>AY$240*Population!BD$145</f>
        <v>37263.571428571428</v>
      </c>
      <c r="AZ100" s="85">
        <f>AZ$240*Population!BE$145</f>
        <v>37203.289893617017</v>
      </c>
      <c r="BA100" s="85">
        <f>BA$240*Population!BF$145</f>
        <v>37094.342629482067</v>
      </c>
      <c r="BB100" s="85">
        <f>BB$240*Population!BG$145</f>
        <v>36946.574614976103</v>
      </c>
      <c r="BC100" s="85">
        <f>BC$240*Population!BH$145</f>
        <v>36769.925611052073</v>
      </c>
      <c r="BD100" s="85">
        <f>BD$240*Population!BI$145</f>
        <v>36561.904761904763</v>
      </c>
      <c r="BE100" s="85">
        <f>BE$240*Population!BJ$145</f>
        <v>36333.853944562899</v>
      </c>
      <c r="BF100" s="85">
        <f>BF$240*Population!BK$145</f>
        <v>36124.775641025641</v>
      </c>
      <c r="BG100" s="85">
        <f>BG$240*Population!BL$145</f>
        <v>35924.949143468948</v>
      </c>
    </row>
    <row r="101" spans="3:59" x14ac:dyDescent="0.2">
      <c r="C101" s="29">
        <v>36</v>
      </c>
      <c r="F101" s="85">
        <f>F$241*Population!K$146</f>
        <v>24236.376533742332</v>
      </c>
      <c r="G101" s="85">
        <f>G$241*Population!L$146</f>
        <v>25027.674418604653</v>
      </c>
      <c r="H101" s="85">
        <f>H$241*Population!M$146</f>
        <v>26036.639824304537</v>
      </c>
      <c r="I101" s="85">
        <f>I$241*Population!N$146</f>
        <v>26536.403190717912</v>
      </c>
      <c r="J101" s="85">
        <f>J$241*Population!O$146</f>
        <v>27797.505255781358</v>
      </c>
      <c r="K101" s="85">
        <f>K$241*Population!P$146</f>
        <v>28396.335640138408</v>
      </c>
      <c r="L101" s="85">
        <f>L$241*Population!Q$146</f>
        <v>28945.60327198364</v>
      </c>
      <c r="M101" s="85">
        <f>M$241*Population!R$146</f>
        <v>30229.861660079052</v>
      </c>
      <c r="N101" s="85">
        <f>N$241*Population!S$146</f>
        <v>31698.31111111111</v>
      </c>
      <c r="O101" s="85">
        <f>O$241*Population!T$146</f>
        <v>33253.608247422679</v>
      </c>
      <c r="P101" s="85">
        <f>P$241*Population!U$146</f>
        <v>35251.490522688109</v>
      </c>
      <c r="Q101" s="85">
        <f>Q$241*Population!V$146</f>
        <v>37432.333607230896</v>
      </c>
      <c r="R101" s="85">
        <f>R$241*Population!W$146</f>
        <v>39359.795383001045</v>
      </c>
      <c r="S101" s="85">
        <f>S$241*Population!X$146</f>
        <v>39592.798310454062</v>
      </c>
      <c r="T101" s="85">
        <f>T$241*Population!Y$146</f>
        <v>39970.157397691502</v>
      </c>
      <c r="U101" s="85">
        <f>U$241*Population!Z$146</f>
        <v>39372.587707728831</v>
      </c>
      <c r="V101" s="85">
        <f>V$241*Population!AA$146</f>
        <v>39518.867924528306</v>
      </c>
      <c r="W101" s="85">
        <f>W$241*Population!AB$146</f>
        <v>39324.284216046144</v>
      </c>
      <c r="X101" s="85">
        <f>X$241*Population!AC$146</f>
        <v>37767.849462365593</v>
      </c>
      <c r="Y101" s="85">
        <f>Y$241*Population!AD$146</f>
        <v>36698.945078847202</v>
      </c>
      <c r="Z101" s="85">
        <f>Z$241*Population!AE$146</f>
        <v>35529.406873614193</v>
      </c>
      <c r="AA101" s="85">
        <f>AA$241*Population!AF$146</f>
        <v>35664.47339847991</v>
      </c>
      <c r="AB101" s="85">
        <f>AB$241*Population!AG$146</f>
        <v>34345.590441789383</v>
      </c>
      <c r="AC101" s="85">
        <f>AC$241*Population!AH$146</f>
        <v>32682.143479523675</v>
      </c>
      <c r="AD101" s="85">
        <f>AD$241*Population!AI$146</f>
        <v>32705.241120415823</v>
      </c>
      <c r="AE101" s="85">
        <f>AE$241*Population!AJ$146</f>
        <v>33166.801365964711</v>
      </c>
      <c r="AF101" s="85">
        <f>AF$241*Population!AK$146</f>
        <v>32973.052450558898</v>
      </c>
      <c r="AG101" s="85">
        <f>AG$241*Population!AL$146</f>
        <v>33476.41018387553</v>
      </c>
      <c r="AH101" s="85">
        <f>AH$241*Population!AM$146</f>
        <v>35036.30794253185</v>
      </c>
      <c r="AI101" s="85">
        <f>AI$241*Population!AN$146</f>
        <v>36251.235247836346</v>
      </c>
      <c r="AJ101" s="85">
        <f>AJ$241*Population!AO$146</f>
        <v>36599.535853976537</v>
      </c>
      <c r="AK101" s="85">
        <f>AK$241*Population!AP$146</f>
        <v>36781.746031746028</v>
      </c>
      <c r="AL101" s="85">
        <f>AL$241*Population!AQ$146</f>
        <v>36173.073846974141</v>
      </c>
      <c r="AM101" s="85">
        <f>AM$241*Population!AR$146</f>
        <v>35747.335677576411</v>
      </c>
      <c r="AN101" s="85">
        <f>AN$241*Population!AS$146</f>
        <v>35451.042810098792</v>
      </c>
      <c r="AO101" s="85">
        <f>AO$241*Population!AT$146</f>
        <v>34815.46677880572</v>
      </c>
      <c r="AP101" s="85">
        <f>AP$241*Population!AU$146</f>
        <v>34745.336934887688</v>
      </c>
      <c r="AQ101" s="85">
        <f>AQ$241*Population!AV$146</f>
        <v>34576.414510686162</v>
      </c>
      <c r="AR101" s="85">
        <f>AR$241*Population!AW$146</f>
        <v>34978.913649025068</v>
      </c>
      <c r="AS101" s="85">
        <f>AS$241*Population!AX$146</f>
        <v>35564.900497512441</v>
      </c>
      <c r="AT101" s="85">
        <f>AT$241*Population!AY$146</f>
        <v>36065.544282972303</v>
      </c>
      <c r="AU101" s="85">
        <f>AU$241*Population!AZ$146</f>
        <v>36511.744692433313</v>
      </c>
      <c r="AV101" s="85">
        <f>AV$241*Population!BA$146</f>
        <v>36861.446727961062</v>
      </c>
      <c r="AW101" s="85">
        <f>AW$241*Population!BB$146</f>
        <v>37098.945953213231</v>
      </c>
      <c r="AX101" s="85">
        <f>AX$241*Population!BC$146</f>
        <v>37231.364365971109</v>
      </c>
      <c r="AY101" s="85">
        <f>AY$241*Population!BD$146</f>
        <v>37305.706289978676</v>
      </c>
      <c r="AZ101" s="85">
        <f>AZ$241*Population!BE$146</f>
        <v>37312.787669412704</v>
      </c>
      <c r="BA101" s="85">
        <f>BA$241*Population!BF$146</f>
        <v>37252.63325377884</v>
      </c>
      <c r="BB101" s="85">
        <f>BB$241*Population!BG$146</f>
        <v>37164.278145695367</v>
      </c>
      <c r="BC101" s="85">
        <f>BC$241*Population!BH$146</f>
        <v>37006.767275615573</v>
      </c>
      <c r="BD101" s="85">
        <f>BD$241*Population!BI$146</f>
        <v>36838.738738738735</v>
      </c>
      <c r="BE101" s="85">
        <f>BE$241*Population!BJ$146</f>
        <v>36611.827586206899</v>
      </c>
      <c r="BF101" s="85">
        <f>BF$241*Population!BK$146</f>
        <v>36403.624767472764</v>
      </c>
      <c r="BG101" s="85">
        <f>BG$241*Population!BL$146</f>
        <v>36174.966711051929</v>
      </c>
    </row>
    <row r="102" spans="3:59" x14ac:dyDescent="0.2">
      <c r="C102" s="29">
        <v>37</v>
      </c>
      <c r="F102" s="85">
        <f>F$242*Population!K$147</f>
        <v>23625.323712948517</v>
      </c>
      <c r="G102" s="85">
        <f>G$242*Population!L$147</f>
        <v>24578.62514242309</v>
      </c>
      <c r="H102" s="85">
        <f>H$242*Population!M$147</f>
        <v>25301.192523364487</v>
      </c>
      <c r="I102" s="85">
        <f>I$242*Population!N$147</f>
        <v>26234.512951477562</v>
      </c>
      <c r="J102" s="85">
        <f>J$242*Population!O$147</f>
        <v>26677.730393928439</v>
      </c>
      <c r="K102" s="85">
        <f>K$242*Population!P$147</f>
        <v>27872.738386308069</v>
      </c>
      <c r="L102" s="85">
        <f>L$242*Population!Q$147</f>
        <v>28404.456709210073</v>
      </c>
      <c r="M102" s="85">
        <f>M$242*Population!R$147</f>
        <v>28879.327217125381</v>
      </c>
      <c r="N102" s="85">
        <f>N$242*Population!S$147</f>
        <v>30171.61904761905</v>
      </c>
      <c r="O102" s="85">
        <f>O$242*Population!T$147</f>
        <v>31618.594491927823</v>
      </c>
      <c r="P102" s="85">
        <f>P$242*Population!U$147</f>
        <v>33173.586332022976</v>
      </c>
      <c r="Q102" s="85">
        <f>Q$242*Population!V$147</f>
        <v>35159.982812947579</v>
      </c>
      <c r="R102" s="85">
        <f>R$242*Population!W$147</f>
        <v>37337.961191582399</v>
      </c>
      <c r="S102" s="85">
        <f>S$242*Population!X$147</f>
        <v>39242.92331850301</v>
      </c>
      <c r="T102" s="85">
        <f>T$242*Population!Y$147</f>
        <v>39484.062170706005</v>
      </c>
      <c r="U102" s="85">
        <f>U$242*Population!Z$147</f>
        <v>39872.157068062828</v>
      </c>
      <c r="V102" s="85">
        <f>V$242*Population!AA$147</f>
        <v>39264.961832061068</v>
      </c>
      <c r="W102" s="85">
        <f>W$242*Population!AB$147</f>
        <v>39420.962343096238</v>
      </c>
      <c r="X102" s="85">
        <f>X$242*Population!AC$147</f>
        <v>39207.677216845412</v>
      </c>
      <c r="Y102" s="85">
        <f>Y$242*Population!AD$147</f>
        <v>37674.202198980958</v>
      </c>
      <c r="Z102" s="85">
        <f>Z$242*Population!AE$147</f>
        <v>36618.887984811496</v>
      </c>
      <c r="AA102" s="85">
        <f>AA$242*Population!AF$147</f>
        <v>35442.126071329832</v>
      </c>
      <c r="AB102" s="85">
        <f>AB$242*Population!AG$147</f>
        <v>35569.350121852149</v>
      </c>
      <c r="AC102" s="85">
        <f>AC$242*Population!AH$147</f>
        <v>34263.018292682929</v>
      </c>
      <c r="AD102" s="85">
        <f>AD$242*Population!AI$147</f>
        <v>32609.582850521438</v>
      </c>
      <c r="AE102" s="85">
        <f>AE$242*Population!AJ$147</f>
        <v>32633.441820276497</v>
      </c>
      <c r="AF102" s="85">
        <f>AF$242*Population!AK$147</f>
        <v>33085.726447219073</v>
      </c>
      <c r="AG102" s="85">
        <f>AG$242*Population!AL$147</f>
        <v>32901.149228130358</v>
      </c>
      <c r="AH102" s="85">
        <f>AH$242*Population!AM$147</f>
        <v>33404.178893905191</v>
      </c>
      <c r="AI102" s="85">
        <f>AI$242*Population!AN$147</f>
        <v>34963.656030286642</v>
      </c>
      <c r="AJ102" s="85">
        <f>AJ$242*Population!AO$147</f>
        <v>36168.184196755625</v>
      </c>
      <c r="AK102" s="85">
        <f>AK$242*Population!AP$147</f>
        <v>36515.868886576485</v>
      </c>
      <c r="AL102" s="85">
        <f>AL$242*Population!AQ$147</f>
        <v>36697.647975077882</v>
      </c>
      <c r="AM102" s="85">
        <f>AM$242*Population!AR$147</f>
        <v>36087.795212765959</v>
      </c>
      <c r="AN102" s="85">
        <f>AN$242*Population!AS$147</f>
        <v>35662.433234421369</v>
      </c>
      <c r="AO102" s="85">
        <f>AO$242*Population!AT$147</f>
        <v>35374.815220366821</v>
      </c>
      <c r="AP102" s="85">
        <f>AP$242*Population!AU$147</f>
        <v>34739.569471624265</v>
      </c>
      <c r="AQ102" s="85">
        <f>AQ$242*Population!AV$147</f>
        <v>34667.632548908419</v>
      </c>
      <c r="AR102" s="85">
        <f>AR$242*Population!AW$147</f>
        <v>34501.093662366795</v>
      </c>
      <c r="AS102" s="85">
        <f>AS$242*Population!AX$147</f>
        <v>34912.961933870523</v>
      </c>
      <c r="AT102" s="85">
        <f>AT$242*Population!AY$147</f>
        <v>35477.373208379271</v>
      </c>
      <c r="AU102" s="85">
        <f>AU$242*Population!AZ$147</f>
        <v>35986.84901531729</v>
      </c>
      <c r="AV102" s="85">
        <f>AV$242*Population!BA$147</f>
        <v>36431.682953311618</v>
      </c>
      <c r="AW102" s="85">
        <f>AW$242*Population!BB$147</f>
        <v>36771.642394822004</v>
      </c>
      <c r="AX102" s="85">
        <f>AX$242*Population!BC$147</f>
        <v>37009.037275408955</v>
      </c>
      <c r="AY102" s="85">
        <f>AY$242*Population!BD$147</f>
        <v>37150.098745663199</v>
      </c>
      <c r="AZ102" s="85">
        <f>AZ$242*Population!BE$147</f>
        <v>37225.544922913345</v>
      </c>
      <c r="BA102" s="85">
        <f>BA$242*Population!BF$147</f>
        <v>37223.827193214951</v>
      </c>
      <c r="BB102" s="85">
        <f>BB$242*Population!BG$147</f>
        <v>37173.499074318963</v>
      </c>
      <c r="BC102" s="85">
        <f>BC$242*Population!BH$147</f>
        <v>37075.149273447816</v>
      </c>
      <c r="BD102" s="85">
        <f>BD$242*Population!BI$147</f>
        <v>36928.172213417856</v>
      </c>
      <c r="BE102" s="85">
        <f>BE$242*Population!BJ$147</f>
        <v>36752.3467230444</v>
      </c>
      <c r="BF102" s="85">
        <f>BF$242*Population!BK$147</f>
        <v>36535.439153439154</v>
      </c>
      <c r="BG102" s="85">
        <f>BG$242*Population!BL$147</f>
        <v>36318.632388020145</v>
      </c>
    </row>
    <row r="103" spans="3:59" x14ac:dyDescent="0.2">
      <c r="C103" s="29">
        <v>38</v>
      </c>
      <c r="F103" s="85">
        <f>F$243*Population!K$148</f>
        <v>24184.84641638225</v>
      </c>
      <c r="G103" s="85">
        <f>G$243*Population!L$148</f>
        <v>23909.547738693465</v>
      </c>
      <c r="H103" s="85">
        <f>H$243*Population!M$148</f>
        <v>24804.028776978415</v>
      </c>
      <c r="I103" s="85">
        <f>I$243*Population!N$148</f>
        <v>25459.634737234439</v>
      </c>
      <c r="J103" s="85">
        <f>J$243*Population!O$148</f>
        <v>26345.51473263005</v>
      </c>
      <c r="K103" s="85">
        <f>K$243*Population!P$148</f>
        <v>26723.448648648649</v>
      </c>
      <c r="L103" s="85">
        <f>L$243*Population!Q$148</f>
        <v>27851.515151515152</v>
      </c>
      <c r="M103" s="85">
        <f>M$243*Population!R$148</f>
        <v>28338.279421885753</v>
      </c>
      <c r="N103" s="85">
        <f>N$243*Population!S$148</f>
        <v>28801.789223991866</v>
      </c>
      <c r="O103" s="85">
        <f>O$243*Population!T$148</f>
        <v>30072.820176875204</v>
      </c>
      <c r="P103" s="85">
        <f>P$243*Population!U$148</f>
        <v>31518.21597726555</v>
      </c>
      <c r="Q103" s="85">
        <f>Q$243*Population!V$148</f>
        <v>33062.018099547509</v>
      </c>
      <c r="R103" s="85">
        <f>R$243*Population!W$148</f>
        <v>35046.861063464836</v>
      </c>
      <c r="S103" s="85">
        <f>S$243*Population!X$148</f>
        <v>37212.457049359145</v>
      </c>
      <c r="T103" s="85">
        <f>T$243*Population!Y$148</f>
        <v>39115.32131661442</v>
      </c>
      <c r="U103" s="85">
        <f>U$243*Population!Z$148</f>
        <v>39343.785488958987</v>
      </c>
      <c r="V103" s="85">
        <f>V$243*Population!AA$148</f>
        <v>39731.238244514105</v>
      </c>
      <c r="W103" s="85">
        <f>W$243*Population!AB$148</f>
        <v>39125.933806146568</v>
      </c>
      <c r="X103" s="85">
        <f>X$243*Population!AC$148</f>
        <v>39282.43215031315</v>
      </c>
      <c r="Y103" s="85">
        <f>Y$243*Population!AD$148</f>
        <v>39070.140955364135</v>
      </c>
      <c r="Z103" s="85">
        <f>Z$243*Population!AE$148</f>
        <v>37539.577200963337</v>
      </c>
      <c r="AA103" s="85">
        <f>AA$243*Population!AF$148</f>
        <v>36498.213802435719</v>
      </c>
      <c r="AB103" s="85">
        <f>AB$243*Population!AG$148</f>
        <v>35332.987586206895</v>
      </c>
      <c r="AC103" s="85">
        <f>AC$243*Population!AH$148</f>
        <v>35463.161307754664</v>
      </c>
      <c r="AD103" s="85">
        <f>AD$243*Population!AI$148</f>
        <v>34159.24778761062</v>
      </c>
      <c r="AE103" s="85">
        <f>AE$243*Population!AJ$148</f>
        <v>32527.104046242777</v>
      </c>
      <c r="AF103" s="85">
        <f>AF$243*Population!AK$148</f>
        <v>32541.551724137931</v>
      </c>
      <c r="AG103" s="85">
        <f>AG$243*Population!AL$148</f>
        <v>32994.006228765567</v>
      </c>
      <c r="AH103" s="85">
        <f>AH$243*Population!AM$148</f>
        <v>32809.147176269253</v>
      </c>
      <c r="AI103" s="85">
        <f>AI$243*Population!AN$148</f>
        <v>33311.82432432432</v>
      </c>
      <c r="AJ103" s="85">
        <f>AJ$243*Population!AO$148</f>
        <v>34860.61521856449</v>
      </c>
      <c r="AK103" s="85">
        <f>AK$243*Population!AP$148</f>
        <v>36064.968668407309</v>
      </c>
      <c r="AL103" s="85">
        <f>AL$243*Population!AQ$148</f>
        <v>36411.996365524399</v>
      </c>
      <c r="AM103" s="85">
        <f>AM$243*Population!AR$148</f>
        <v>36593.316062176164</v>
      </c>
      <c r="AN103" s="85">
        <f>AN$243*Population!AS$148</f>
        <v>35972.661183337754</v>
      </c>
      <c r="AO103" s="85">
        <f>AO$243*Population!AT$148</f>
        <v>35556.446837146701</v>
      </c>
      <c r="AP103" s="85">
        <f>AP$243*Population!AU$148</f>
        <v>35287.375034143675</v>
      </c>
      <c r="AQ103" s="85">
        <f>AQ$243*Population!AV$148</f>
        <v>34642.476987447699</v>
      </c>
      <c r="AR103" s="85">
        <f>AR$243*Population!AW$148</f>
        <v>34558.823529411762</v>
      </c>
      <c r="AS103" s="85">
        <f>AS$243*Population!AX$148</f>
        <v>34404.190209790206</v>
      </c>
      <c r="AT103" s="85">
        <f>AT$243*Population!AY$148</f>
        <v>34815.629157427938</v>
      </c>
      <c r="AU103" s="85">
        <f>AU$243*Population!AZ$148</f>
        <v>35378.627990101733</v>
      </c>
      <c r="AV103" s="85">
        <f>AV$243*Population!BA$148</f>
        <v>35886.974079126878</v>
      </c>
      <c r="AW103" s="85">
        <f>AW$243*Population!BB$148</f>
        <v>36320.947995666305</v>
      </c>
      <c r="AX103" s="85">
        <f>AX$243*Population!BC$148</f>
        <v>36670.468119451172</v>
      </c>
      <c r="AY103" s="85">
        <f>AY$243*Population!BD$148</f>
        <v>36897.014446227928</v>
      </c>
      <c r="AZ103" s="85">
        <f>AZ$243*Population!BE$148</f>
        <v>37039.768370607031</v>
      </c>
      <c r="BA103" s="85">
        <f>BA$243*Population!BF$148</f>
        <v>37104.858127817555</v>
      </c>
      <c r="BB103" s="85">
        <f>BB$243*Population!BG$148</f>
        <v>37112.871496562664</v>
      </c>
      <c r="BC103" s="85">
        <f>BC$243*Population!BH$148</f>
        <v>37073.804749340372</v>
      </c>
      <c r="BD103" s="85">
        <f>BD$243*Population!BI$148</f>
        <v>36976.109646810757</v>
      </c>
      <c r="BE103" s="85">
        <f>BE$243*Population!BJ$148</f>
        <v>36829.865612648224</v>
      </c>
      <c r="BF103" s="85">
        <f>BF$243*Population!BK$148</f>
        <v>36644.297389928819</v>
      </c>
      <c r="BG103" s="85">
        <f>BG$243*Population!BL$148</f>
        <v>36448.28933474129</v>
      </c>
    </row>
    <row r="104" spans="3:59" x14ac:dyDescent="0.2">
      <c r="C104" s="29">
        <v>39</v>
      </c>
      <c r="F104" s="85">
        <f>F$244*Population!K$149</f>
        <v>24199.155942467827</v>
      </c>
      <c r="G104" s="85">
        <f>G$244*Population!L$149</f>
        <v>24430.726383138881</v>
      </c>
      <c r="H104" s="85">
        <f>H$244*Population!M$149</f>
        <v>24116.229760986895</v>
      </c>
      <c r="I104" s="85">
        <f>I$244*Population!N$149</f>
        <v>24963.445409897999</v>
      </c>
      <c r="J104" s="85">
        <f>J$244*Population!O$149</f>
        <v>25573.432502789139</v>
      </c>
      <c r="K104" s="85">
        <f>K$244*Population!P$149</f>
        <v>26393.052631578947</v>
      </c>
      <c r="L104" s="85">
        <f>L$244*Population!Q$149</f>
        <v>26724.724919093853</v>
      </c>
      <c r="M104" s="85">
        <f>M$244*Population!R$149</f>
        <v>27797.097671185264</v>
      </c>
      <c r="N104" s="85">
        <f>N$244*Population!S$149</f>
        <v>28263.058702368693</v>
      </c>
      <c r="O104" s="85">
        <f>O$244*Population!T$149</f>
        <v>28746.743320933379</v>
      </c>
      <c r="P104" s="85">
        <f>P$244*Population!U$149</f>
        <v>30015.292579274275</v>
      </c>
      <c r="Q104" s="85">
        <f>Q$244*Population!V$149</f>
        <v>31450.375039394894</v>
      </c>
      <c r="R104" s="85">
        <f>R$244*Population!W$149</f>
        <v>32983.083408611863</v>
      </c>
      <c r="S104" s="85">
        <f>S$244*Population!X$149</f>
        <v>34956.486872146117</v>
      </c>
      <c r="T104" s="85">
        <f>T$244*Population!Y$149</f>
        <v>37109.281241491968</v>
      </c>
      <c r="U104" s="85">
        <f>U$244*Population!Z$149</f>
        <v>39011.111111111109</v>
      </c>
      <c r="V104" s="85">
        <f>V$244*Population!AA$149</f>
        <v>39248.012601732735</v>
      </c>
      <c r="W104" s="85">
        <f>W$244*Population!AB$149</f>
        <v>39615.508607198746</v>
      </c>
      <c r="X104" s="85">
        <f>X$244*Population!AC$149</f>
        <v>39020.828743771308</v>
      </c>
      <c r="Y104" s="85">
        <f>Y$244*Population!AD$149</f>
        <v>39168.556539864512</v>
      </c>
      <c r="Z104" s="85">
        <f>Z$244*Population!AE$149</f>
        <v>38966.192337763881</v>
      </c>
      <c r="AA104" s="85">
        <f>AA$244*Population!AF$149</f>
        <v>37448.816457387125</v>
      </c>
      <c r="AB104" s="85">
        <f>AB$244*Population!AG$149</f>
        <v>36408.1707646582</v>
      </c>
      <c r="AC104" s="85">
        <f>AC$244*Population!AH$149</f>
        <v>35246.282015973557</v>
      </c>
      <c r="AD104" s="85">
        <f>AD$244*Population!AI$149</f>
        <v>35378.702454815211</v>
      </c>
      <c r="AE104" s="85">
        <f>AE$244*Population!AJ$149</f>
        <v>34076.384211979021</v>
      </c>
      <c r="AF104" s="85">
        <f>AF$244*Population!AK$149</f>
        <v>32444.926449379866</v>
      </c>
      <c r="AG104" s="85">
        <f>AG$244*Population!AL$149</f>
        <v>32470.255233725267</v>
      </c>
      <c r="AH104" s="85">
        <f>AH$244*Population!AM$149</f>
        <v>32912.687199773951</v>
      </c>
      <c r="AI104" s="85">
        <f>AI$244*Population!AN$149</f>
        <v>32737.759749501853</v>
      </c>
      <c r="AJ104" s="85">
        <f>AJ$244*Population!AO$149</f>
        <v>33240.151728013487</v>
      </c>
      <c r="AK104" s="85">
        <f>AK$244*Population!AP$149</f>
        <v>34769.189334769726</v>
      </c>
      <c r="AL104" s="85">
        <f>AL$244*Population!AQ$149</f>
        <v>35972.314308053166</v>
      </c>
      <c r="AM104" s="85">
        <f>AM$244*Population!AR$149</f>
        <v>36318.763928478882</v>
      </c>
      <c r="AN104" s="85">
        <f>AN$244*Population!AS$149</f>
        <v>36499.679337988106</v>
      </c>
      <c r="AO104" s="85">
        <f>AO$244*Population!AT$149</f>
        <v>35897.854304635766</v>
      </c>
      <c r="AP104" s="85">
        <f>AP$244*Population!AU$149</f>
        <v>35471.767866738308</v>
      </c>
      <c r="AQ104" s="85">
        <f>AQ$244*Population!AV$149</f>
        <v>35201.733914940021</v>
      </c>
      <c r="AR104" s="85">
        <f>AR$244*Population!AW$149</f>
        <v>34556.475501113586</v>
      </c>
      <c r="AS104" s="85">
        <f>AS$244*Population!AX$149</f>
        <v>34481.806378775051</v>
      </c>
      <c r="AT104" s="85">
        <f>AT$244*Population!AY$149</f>
        <v>34329.201563372415</v>
      </c>
      <c r="AU104" s="85">
        <f>AU$244*Population!AZ$149</f>
        <v>34729.820193637621</v>
      </c>
      <c r="AV104" s="85">
        <f>AV$244*Population!BA$149</f>
        <v>35291.657519209657</v>
      </c>
      <c r="AW104" s="85">
        <f>AW$244*Population!BB$149</f>
        <v>35799.074074074073</v>
      </c>
      <c r="AX104" s="85">
        <f>AX$244*Population!BC$149</f>
        <v>36243.081914030816</v>
      </c>
      <c r="AY104" s="85">
        <f>AY$244*Population!BD$149</f>
        <v>36581.498388829212</v>
      </c>
      <c r="AZ104" s="85">
        <f>AZ$244*Population!BE$149</f>
        <v>36807.957276368492</v>
      </c>
      <c r="BA104" s="85">
        <f>BA$244*Population!BF$149</f>
        <v>36950.863672601648</v>
      </c>
      <c r="BB104" s="85">
        <f>BB$244*Population!BG$149</f>
        <v>37016.244044467967</v>
      </c>
      <c r="BC104" s="85">
        <f>BC$244*Population!BH$149</f>
        <v>37035.31274742676</v>
      </c>
      <c r="BD104" s="85">
        <f>BD$244*Population!BI$149</f>
        <v>36986.049512773243</v>
      </c>
      <c r="BE104" s="85">
        <f>BE$244*Population!BJ$149</f>
        <v>36888.892396737698</v>
      </c>
      <c r="BF104" s="85">
        <f>BF$244*Population!BK$149</f>
        <v>36733.589271627665</v>
      </c>
      <c r="BG104" s="85">
        <f>BG$244*Population!BL$149</f>
        <v>36557.853196527234</v>
      </c>
    </row>
    <row r="105" spans="3:59" x14ac:dyDescent="0.2">
      <c r="C105" s="29">
        <v>40</v>
      </c>
      <c r="F105" s="85">
        <f>F$245*Population!K$150</f>
        <v>24945.215485756027</v>
      </c>
      <c r="G105" s="85">
        <f>G$245*Population!L$150</f>
        <v>24500.026315789473</v>
      </c>
      <c r="H105" s="85">
        <f>H$245*Population!M$150</f>
        <v>24628.62509391435</v>
      </c>
      <c r="I105" s="85">
        <f>I$245*Population!N$150</f>
        <v>24276.93610469592</v>
      </c>
      <c r="J105" s="85">
        <f>J$245*Population!O$150</f>
        <v>25077.578272350056</v>
      </c>
      <c r="K105" s="85">
        <f>K$245*Population!P$150</f>
        <v>25621.429101707497</v>
      </c>
      <c r="L105" s="85">
        <f>L$245*Population!Q$150</f>
        <v>26405.217391304348</v>
      </c>
      <c r="M105" s="85">
        <f>M$245*Population!R$150</f>
        <v>26680.955116696587</v>
      </c>
      <c r="N105" s="85">
        <f>N$245*Population!S$150</f>
        <v>27743.265093684942</v>
      </c>
      <c r="O105" s="85">
        <f>O$245*Population!T$150</f>
        <v>28227.617415152552</v>
      </c>
      <c r="P105" s="85">
        <f>P$245*Population!U$150</f>
        <v>28702.033096926712</v>
      </c>
      <c r="Q105" s="85">
        <f>Q$245*Population!V$150</f>
        <v>29969.8139079334</v>
      </c>
      <c r="R105" s="85">
        <f>R$245*Population!W$150</f>
        <v>31393.257790368272</v>
      </c>
      <c r="S105" s="85">
        <f>S$245*Population!X$150</f>
        <v>32925.762406015034</v>
      </c>
      <c r="T105" s="85">
        <f>T$245*Population!Y$150</f>
        <v>34878.734321550743</v>
      </c>
      <c r="U105" s="85">
        <f>U$245*Population!Z$150</f>
        <v>37040.239390642004</v>
      </c>
      <c r="V105" s="85">
        <f>V$245*Population!AA$150</f>
        <v>38920.145909327774</v>
      </c>
      <c r="W105" s="85">
        <f>W$245*Population!AB$150</f>
        <v>39166.792551796483</v>
      </c>
      <c r="X105" s="85">
        <f>X$245*Population!AC$150</f>
        <v>39531.839499739443</v>
      </c>
      <c r="Y105" s="85">
        <f>Y$245*Population!AD$150</f>
        <v>38949.462929001835</v>
      </c>
      <c r="Z105" s="85">
        <f>Z$245*Population!AE$150</f>
        <v>39097.490890161374</v>
      </c>
      <c r="AA105" s="85">
        <f>AA$245*Population!AF$150</f>
        <v>38895.65217391304</v>
      </c>
      <c r="AB105" s="85">
        <f>AB$245*Population!AG$150</f>
        <v>37379.893247931679</v>
      </c>
      <c r="AC105" s="85">
        <f>AC$245*Population!AH$150</f>
        <v>36340.998650472335</v>
      </c>
      <c r="AD105" s="85">
        <f>AD$245*Population!AI$150</f>
        <v>35189.617606602478</v>
      </c>
      <c r="AE105" s="85">
        <f>AE$245*Population!AJ$150</f>
        <v>35314.256465517239</v>
      </c>
      <c r="AF105" s="85">
        <f>AF$245*Population!AK$150</f>
        <v>34024.019851116624</v>
      </c>
      <c r="AG105" s="85">
        <f>AG$245*Population!AL$150</f>
        <v>32393.004897724</v>
      </c>
      <c r="AH105" s="85">
        <f>AH$245*Population!AM$150</f>
        <v>32418.636884306987</v>
      </c>
      <c r="AI105" s="85">
        <f>AI$245*Population!AN$150</f>
        <v>32870.448772226926</v>
      </c>
      <c r="AJ105" s="85">
        <f>AJ$245*Population!AO$150</f>
        <v>32686.071631608869</v>
      </c>
      <c r="AK105" s="85">
        <f>AK$245*Population!AP$150</f>
        <v>33188.243546576879</v>
      </c>
      <c r="AL105" s="85">
        <f>AL$245*Population!AQ$150</f>
        <v>34706.799354491661</v>
      </c>
      <c r="AM105" s="85">
        <f>AM$245*Population!AR$150</f>
        <v>35910</v>
      </c>
      <c r="AN105" s="85">
        <f>AN$245*Population!AS$150</f>
        <v>36265.192855293812</v>
      </c>
      <c r="AO105" s="85">
        <f>AO$245*Population!AT$150</f>
        <v>36436.428202479343</v>
      </c>
      <c r="AP105" s="85">
        <f>AP$245*Population!AU$150</f>
        <v>35833.796296296299</v>
      </c>
      <c r="AQ105" s="85">
        <f>AQ$245*Population!AV$150</f>
        <v>35417.861550845184</v>
      </c>
      <c r="AR105" s="85">
        <f>AR$245*Population!AW$150</f>
        <v>35147.144023958615</v>
      </c>
      <c r="AS105" s="85">
        <f>AS$245*Population!AX$150</f>
        <v>34510.758965804838</v>
      </c>
      <c r="AT105" s="85">
        <f>AT$245*Population!AY$150</f>
        <v>34434.915445321305</v>
      </c>
      <c r="AU105" s="85">
        <f>AU$245*Population!AZ$150</f>
        <v>34274.742124337892</v>
      </c>
      <c r="AV105" s="85">
        <f>AV$245*Population!BA$150</f>
        <v>34675.110497237569</v>
      </c>
      <c r="AW105" s="85">
        <f>AW$245*Population!BB$150</f>
        <v>35246.697725404221</v>
      </c>
      <c r="AX105" s="85">
        <f>AX$245*Population!BC$150</f>
        <v>35753.521892847428</v>
      </c>
      <c r="AY105" s="85">
        <f>AY$245*Population!BD$150</f>
        <v>36185.77327935223</v>
      </c>
      <c r="AZ105" s="85">
        <f>AZ$245*Population!BE$150</f>
        <v>36524.537409493161</v>
      </c>
      <c r="BA105" s="85">
        <f>BA$245*Population!BF$150</f>
        <v>36750.933333333334</v>
      </c>
      <c r="BB105" s="85">
        <f>BB$245*Population!BG$150</f>
        <v>36893.289997346772</v>
      </c>
      <c r="BC105" s="85">
        <f>BC$245*Population!BH$150</f>
        <v>36968.665080623839</v>
      </c>
      <c r="BD105" s="85">
        <f>BD$245*Population!BI$150</f>
        <v>36977.332630469165</v>
      </c>
      <c r="BE105" s="85">
        <f>BE$245*Population!BJ$150</f>
        <v>36929.952656496578</v>
      </c>
      <c r="BF105" s="85">
        <f>BF$245*Population!BK$150</f>
        <v>36823.504071447336</v>
      </c>
      <c r="BG105" s="85">
        <f>BG$245*Population!BL$150</f>
        <v>36687.463235294119</v>
      </c>
    </row>
    <row r="106" spans="3:59" x14ac:dyDescent="0.2">
      <c r="C106" s="29">
        <v>41</v>
      </c>
      <c r="F106" s="85">
        <f>F$246*Population!K$151</f>
        <v>26007.048951048953</v>
      </c>
      <c r="G106" s="85">
        <f>G$246*Population!L$151</f>
        <v>25172.912127814088</v>
      </c>
      <c r="H106" s="85">
        <f>H$246*Population!M$151</f>
        <v>24726.759294029289</v>
      </c>
      <c r="I106" s="85">
        <f>I$246*Population!N$151</f>
        <v>24800.409005628517</v>
      </c>
      <c r="J106" s="85">
        <f>J$246*Population!O$151</f>
        <v>24411.910803537103</v>
      </c>
      <c r="K106" s="85">
        <f>K$246*Population!P$151</f>
        <v>25166.541070082894</v>
      </c>
      <c r="L106" s="85">
        <f>L$246*Population!Q$151</f>
        <v>25674.987022617723</v>
      </c>
      <c r="M106" s="85">
        <f>M$246*Population!R$151</f>
        <v>26393.431053203039</v>
      </c>
      <c r="N106" s="85">
        <f>N$246*Population!S$151</f>
        <v>26668.669774112586</v>
      </c>
      <c r="O106" s="85">
        <f>O$246*Population!T$151</f>
        <v>27740.346620450604</v>
      </c>
      <c r="P106" s="85">
        <f>P$246*Population!U$151</f>
        <v>28215.376712328769</v>
      </c>
      <c r="Q106" s="85">
        <f>Q$246*Population!V$151</f>
        <v>28698.856275303642</v>
      </c>
      <c r="R106" s="85">
        <f>R$246*Population!W$151</f>
        <v>29957.142857142855</v>
      </c>
      <c r="S106" s="85">
        <f>S$246*Population!X$151</f>
        <v>31378.484276729559</v>
      </c>
      <c r="T106" s="85">
        <f>T$246*Population!Y$151</f>
        <v>32910.877403846156</v>
      </c>
      <c r="U106" s="85">
        <f>U$246*Population!Z$151</f>
        <v>34863.639988607232</v>
      </c>
      <c r="V106" s="85">
        <f>V$246*Population!AA$151</f>
        <v>37013.42756183746</v>
      </c>
      <c r="W106" s="85">
        <f>W$246*Population!AB$151</f>
        <v>38893.921875</v>
      </c>
      <c r="X106" s="85">
        <f>X$246*Population!AC$151</f>
        <v>39138.75</v>
      </c>
      <c r="Y106" s="85">
        <f>Y$246*Population!AD$151</f>
        <v>39504.7734375</v>
      </c>
      <c r="Z106" s="85">
        <f>Z$246*Population!AE$151</f>
        <v>38922.906520031422</v>
      </c>
      <c r="AA106" s="85">
        <f>AA$246*Population!AF$151</f>
        <v>39070.039011703506</v>
      </c>
      <c r="AB106" s="85">
        <f>AB$246*Population!AG$151</f>
        <v>38859.396462018733</v>
      </c>
      <c r="AC106" s="85">
        <f>AC$246*Population!AH$151</f>
        <v>37353.714666666667</v>
      </c>
      <c r="AD106" s="85">
        <f>AD$246*Population!AI$151</f>
        <v>36316.807764896199</v>
      </c>
      <c r="AE106" s="85">
        <f>AE$246*Population!AJ$151</f>
        <v>35166.215993404781</v>
      </c>
      <c r="AF106" s="85">
        <f>AF$246*Population!AK$151</f>
        <v>35301.383580080757</v>
      </c>
      <c r="AG106" s="85">
        <f>AG$246*Population!AL$151</f>
        <v>34011.594602038007</v>
      </c>
      <c r="AH106" s="85">
        <f>AH$246*Population!AM$151</f>
        <v>32391.090647482011</v>
      </c>
      <c r="AI106" s="85">
        <f>AI$246*Population!AN$151</f>
        <v>32417.124463519314</v>
      </c>
      <c r="AJ106" s="85">
        <f>AJ$246*Population!AO$151</f>
        <v>32859.701155906398</v>
      </c>
      <c r="AK106" s="85">
        <f>AK$246*Population!AP$151</f>
        <v>32683.470604941776</v>
      </c>
      <c r="AL106" s="85">
        <f>AL$246*Population!AQ$151</f>
        <v>33176.41715727502</v>
      </c>
      <c r="AM106" s="85">
        <f>AM$246*Population!AR$151</f>
        <v>34714.192421392101</v>
      </c>
      <c r="AN106" s="85">
        <f>AN$246*Population!AS$151</f>
        <v>35908.005201560467</v>
      </c>
      <c r="AO106" s="85">
        <f>AO$246*Population!AT$151</f>
        <v>36243.599689681927</v>
      </c>
      <c r="AP106" s="85">
        <f>AP$246*Population!AU$151</f>
        <v>36433.207741935483</v>
      </c>
      <c r="AQ106" s="85">
        <f>AQ$246*Population!AV$151</f>
        <v>35831.131078224105</v>
      </c>
      <c r="AR106" s="85">
        <f>AR$246*Population!AW$151</f>
        <v>35414.166219839142</v>
      </c>
      <c r="AS106" s="85">
        <f>AS$246*Population!AX$151</f>
        <v>35134.917051944525</v>
      </c>
      <c r="AT106" s="85">
        <f>AT$246*Population!AY$151</f>
        <v>34498.394890308249</v>
      </c>
      <c r="AU106" s="85">
        <f>AU$246*Population!AZ$151</f>
        <v>34421.981981981982</v>
      </c>
      <c r="AV106" s="85">
        <f>AV$246*Population!BA$151</f>
        <v>34271.695906432746</v>
      </c>
      <c r="AW106" s="85">
        <f>AW$246*Population!BB$151</f>
        <v>34671.942604856515</v>
      </c>
      <c r="AX106" s="85">
        <f>AX$246*Population!BC$151</f>
        <v>35232.54859019984</v>
      </c>
      <c r="AY106" s="85">
        <f>AY$246*Population!BD$151</f>
        <v>35738.983971746806</v>
      </c>
      <c r="AZ106" s="85">
        <f>AZ$246*Population!BE$151</f>
        <v>36170.957131302239</v>
      </c>
      <c r="BA106" s="85">
        <f>BA$246*Population!BF$151</f>
        <v>36520.278596303244</v>
      </c>
      <c r="BB106" s="85">
        <f>BB$246*Population!BG$151</f>
        <v>36746.643580181139</v>
      </c>
      <c r="BC106" s="85">
        <f>BC$246*Population!BH$151</f>
        <v>36889.053803339513</v>
      </c>
      <c r="BD106" s="85">
        <f>BD$246*Population!BI$151</f>
        <v>36964.515447583843</v>
      </c>
      <c r="BE106" s="85">
        <f>BE$246*Population!BJ$151</f>
        <v>36963.582521716242</v>
      </c>
      <c r="BF106" s="85">
        <f>BF$246*Population!BK$151</f>
        <v>36916.414499605991</v>
      </c>
      <c r="BG106" s="85">
        <f>BG$246*Population!BL$151</f>
        <v>36828.981894515877</v>
      </c>
    </row>
    <row r="107" spans="3:59" x14ac:dyDescent="0.2">
      <c r="C107" s="29">
        <v>42</v>
      </c>
      <c r="F107" s="85">
        <f>F$247*Population!K$152</f>
        <v>26846.167400881055</v>
      </c>
      <c r="G107" s="85">
        <f>G$247*Population!L$152</f>
        <v>26272.929714683367</v>
      </c>
      <c r="H107" s="85">
        <f>H$247*Population!M$152</f>
        <v>25420.892921960072</v>
      </c>
      <c r="I107" s="85">
        <f>I$247*Population!N$152</f>
        <v>24920.037523452156</v>
      </c>
      <c r="J107" s="85">
        <f>J$247*Population!O$152</f>
        <v>24966.534133533383</v>
      </c>
      <c r="K107" s="85">
        <f>K$247*Population!P$152</f>
        <v>24523.127160968113</v>
      </c>
      <c r="L107" s="85">
        <f>L$247*Population!Q$152</f>
        <v>25241.325301204819</v>
      </c>
      <c r="M107" s="85">
        <f>M$247*Population!R$152</f>
        <v>25704.18303075213</v>
      </c>
      <c r="N107" s="85">
        <f>N$247*Population!S$152</f>
        <v>26431.750452079566</v>
      </c>
      <c r="O107" s="85">
        <f>O$247*Population!T$152</f>
        <v>26697.871730562521</v>
      </c>
      <c r="P107" s="85">
        <f>P$247*Population!U$152</f>
        <v>27769.56009698649</v>
      </c>
      <c r="Q107" s="85">
        <f>Q$247*Population!V$152</f>
        <v>28253.716632443531</v>
      </c>
      <c r="R107" s="85">
        <f>R$247*Population!W$152</f>
        <v>28728.084962913013</v>
      </c>
      <c r="S107" s="85">
        <f>S$247*Population!X$152</f>
        <v>29995.508474576272</v>
      </c>
      <c r="T107" s="85">
        <f>T$247*Population!Y$152</f>
        <v>31407.74670018856</v>
      </c>
      <c r="U107" s="85">
        <f>U$247*Population!Z$152</f>
        <v>32950.039050765998</v>
      </c>
      <c r="V107" s="85">
        <f>V$247*Population!AA$152</f>
        <v>34892.914887560488</v>
      </c>
      <c r="W107" s="85">
        <f>W$247*Population!AB$152</f>
        <v>37033.61043194784</v>
      </c>
      <c r="X107" s="85">
        <f>X$247*Population!AC$152</f>
        <v>38923.235294117643</v>
      </c>
      <c r="Y107" s="85">
        <f>Y$247*Population!AD$152</f>
        <v>39169.229761592876</v>
      </c>
      <c r="Z107" s="85">
        <f>Z$247*Population!AE$152</f>
        <v>39534.117647058825</v>
      </c>
      <c r="AA107" s="85">
        <f>AA$247*Population!AF$152</f>
        <v>38952.232399895314</v>
      </c>
      <c r="AB107" s="85">
        <f>AB$247*Population!AG$152</f>
        <v>39100.405616224649</v>
      </c>
      <c r="AC107" s="85">
        <f>AC$247*Population!AH$152</f>
        <v>38888.705148205925</v>
      </c>
      <c r="AD107" s="85">
        <f>AD$247*Population!AI$152</f>
        <v>37382.995735607677</v>
      </c>
      <c r="AE107" s="85">
        <f>AE$247*Population!AJ$152</f>
        <v>36346.054971705744</v>
      </c>
      <c r="AF107" s="85">
        <f>AF$247*Population!AK$152</f>
        <v>35206.042296072512</v>
      </c>
      <c r="AG107" s="85">
        <f>AG$247*Population!AL$152</f>
        <v>35339.693301049228</v>
      </c>
      <c r="AH107" s="85">
        <f>AH$247*Population!AM$152</f>
        <v>34040.759702725023</v>
      </c>
      <c r="AI107" s="85">
        <f>AI$247*Population!AN$152</f>
        <v>32439.594477998275</v>
      </c>
      <c r="AJ107" s="85">
        <f>AJ$247*Population!AO$152</f>
        <v>32446.114922813034</v>
      </c>
      <c r="AK107" s="85">
        <f>AK$247*Population!AP$152</f>
        <v>32897.965624119468</v>
      </c>
      <c r="AL107" s="85">
        <f>AL$247*Population!AQ$152</f>
        <v>32722.636208853575</v>
      </c>
      <c r="AM107" s="85">
        <f>AM$247*Population!AR$152</f>
        <v>33215.588235294119</v>
      </c>
      <c r="AN107" s="85">
        <f>AN$247*Population!AS$152</f>
        <v>34743.139097744359</v>
      </c>
      <c r="AO107" s="85">
        <f>AO$247*Population!AT$152</f>
        <v>35946.285417208215</v>
      </c>
      <c r="AP107" s="85">
        <f>AP$247*Population!AU$152</f>
        <v>36292.168518997154</v>
      </c>
      <c r="AQ107" s="85">
        <f>AQ$247*Population!AV$152</f>
        <v>36472.408457968028</v>
      </c>
      <c r="AR107" s="85">
        <f>AR$247*Population!AW$152</f>
        <v>35859.963031423293</v>
      </c>
      <c r="AS107" s="85">
        <f>AS$247*Population!AX$152</f>
        <v>35453.394053040451</v>
      </c>
      <c r="AT107" s="85">
        <f>AT$247*Population!AY$152</f>
        <v>35172.79891304348</v>
      </c>
      <c r="AU107" s="85">
        <f>AU$247*Population!AZ$152</f>
        <v>34546.76470588235</v>
      </c>
      <c r="AV107" s="85">
        <f>AV$247*Population!BA$152</f>
        <v>34470.38255977496</v>
      </c>
      <c r="AW107" s="85">
        <f>AW$247*Population!BB$152</f>
        <v>34310.937673900946</v>
      </c>
      <c r="AX107" s="85">
        <f>AX$247*Population!BC$152</f>
        <v>34720.308795147503</v>
      </c>
      <c r="AY107" s="85">
        <f>AY$247*Population!BD$152</f>
        <v>35282.401531728668</v>
      </c>
      <c r="AZ107" s="85">
        <f>AZ$247*Population!BE$152</f>
        <v>35788.331071913162</v>
      </c>
      <c r="BA107" s="85">
        <f>BA$247*Population!BF$152</f>
        <v>36220.959051724138</v>
      </c>
      <c r="BB107" s="85">
        <f>BB$247*Population!BG$152</f>
        <v>36568.709850107065</v>
      </c>
      <c r="BC107" s="85">
        <f>BC$247*Population!BH$152</f>
        <v>36785.284725918042</v>
      </c>
      <c r="BD107" s="85">
        <f>BD$247*Population!BI$152</f>
        <v>36928.363347457627</v>
      </c>
      <c r="BE107" s="85">
        <f>BE$247*Population!BJ$152</f>
        <v>37003.17594302295</v>
      </c>
      <c r="BF107" s="85">
        <f>BF$247*Population!BK$152</f>
        <v>37022.672277748556</v>
      </c>
      <c r="BG107" s="85">
        <f>BG$247*Population!BL$152</f>
        <v>36964.818897637793</v>
      </c>
    </row>
    <row r="108" spans="3:59" x14ac:dyDescent="0.2">
      <c r="C108" s="29">
        <v>43</v>
      </c>
      <c r="F108" s="85">
        <f>F$248*Population!K$153</f>
        <v>27928.235870630513</v>
      </c>
      <c r="G108" s="85">
        <f>G$248*Population!L$153</f>
        <v>27137.663740715732</v>
      </c>
      <c r="H108" s="85">
        <f>H$248*Population!M$153</f>
        <v>26473.486430062629</v>
      </c>
      <c r="I108" s="85">
        <f>I$248*Population!N$153</f>
        <v>25585.016333938296</v>
      </c>
      <c r="J108" s="85">
        <f>J$248*Population!O$153</f>
        <v>25047.692307692305</v>
      </c>
      <c r="K108" s="85">
        <f>K$248*Population!P$153</f>
        <v>25057.719429857465</v>
      </c>
      <c r="L108" s="85">
        <f>L$248*Population!Q$153</f>
        <v>24588.182865923933</v>
      </c>
      <c r="M108" s="85">
        <f>M$248*Population!R$153</f>
        <v>25250.0564546481</v>
      </c>
      <c r="N108" s="85">
        <f>N$248*Population!S$153</f>
        <v>25731.537606520935</v>
      </c>
      <c r="O108" s="85">
        <f>O$248*Population!T$153</f>
        <v>26449.985533453888</v>
      </c>
      <c r="P108" s="85">
        <f>P$248*Population!U$153</f>
        <v>26735.721963453958</v>
      </c>
      <c r="Q108" s="85">
        <f>Q$248*Population!V$153</f>
        <v>27787.793557325942</v>
      </c>
      <c r="R108" s="85">
        <f>R$248*Population!W$153</f>
        <v>28282.563312799452</v>
      </c>
      <c r="S108" s="85">
        <f>S$248*Population!X$153</f>
        <v>28745.753286147621</v>
      </c>
      <c r="T108" s="85">
        <f>T$248*Population!Y$153</f>
        <v>30003.96871945259</v>
      </c>
      <c r="U108" s="85">
        <f>U$248*Population!Z$153</f>
        <v>31436.813324952858</v>
      </c>
      <c r="V108" s="85">
        <f>V$248*Population!AA$153</f>
        <v>32968.278762391106</v>
      </c>
      <c r="W108" s="85">
        <f>W$248*Population!AB$153</f>
        <v>34911.150014232851</v>
      </c>
      <c r="X108" s="85">
        <f>X$248*Population!AC$153</f>
        <v>37051.844607443629</v>
      </c>
      <c r="Y108" s="85">
        <f>Y$248*Population!AD$153</f>
        <v>38941.470588235294</v>
      </c>
      <c r="Z108" s="85">
        <f>Z$248*Population!AE$153</f>
        <v>39187.469216662299</v>
      </c>
      <c r="AA108" s="85">
        <f>AA$248*Population!AF$153</f>
        <v>39543.235294117643</v>
      </c>
      <c r="AB108" s="85">
        <f>AB$248*Population!AG$153</f>
        <v>38970.468463752943</v>
      </c>
      <c r="AC108" s="85">
        <f>AC$248*Population!AH$153</f>
        <v>39108.47413569015</v>
      </c>
      <c r="AD108" s="85">
        <f>AD$248*Population!AI$153</f>
        <v>38918.034321372856</v>
      </c>
      <c r="AE108" s="85">
        <f>AE$248*Population!AJ$153</f>
        <v>37402.195576871833</v>
      </c>
      <c r="AF108" s="85">
        <f>AF$248*Population!AK$153</f>
        <v>36375.036378334677</v>
      </c>
      <c r="AG108" s="85">
        <f>AG$248*Population!AL$153</f>
        <v>35233.397418291679</v>
      </c>
      <c r="AH108" s="85">
        <f>AH$248*Population!AM$153</f>
        <v>35358.848843464228</v>
      </c>
      <c r="AI108" s="85">
        <f>AI$248*Population!AN$153</f>
        <v>34069.017611447438</v>
      </c>
      <c r="AJ108" s="85">
        <f>AJ$248*Population!AO$153</f>
        <v>32457.61932144911</v>
      </c>
      <c r="AK108" s="85">
        <f>AK$248*Population!AP$153</f>
        <v>32474.364104029723</v>
      </c>
      <c r="AL108" s="85">
        <f>AL$248*Population!AQ$153</f>
        <v>32926.21690140845</v>
      </c>
      <c r="AM108" s="85">
        <f>AM$248*Population!AR$153</f>
        <v>32750.887943262413</v>
      </c>
      <c r="AN108" s="85">
        <f>AN$248*Population!AS$153</f>
        <v>33252.959955194623</v>
      </c>
      <c r="AO108" s="85">
        <f>AO$248*Population!AT$153</f>
        <v>34771.393288590603</v>
      </c>
      <c r="AP108" s="85">
        <f>AP$248*Population!AU$153</f>
        <v>35974.545218295221</v>
      </c>
      <c r="AQ108" s="85">
        <f>AQ$248*Population!AV$153</f>
        <v>36329.550387596901</v>
      </c>
      <c r="AR108" s="85">
        <f>AR$248*Population!AW$153</f>
        <v>36500.672853828306</v>
      </c>
      <c r="AS108" s="85">
        <f>AS$248*Population!AX$153</f>
        <v>35898.621964097147</v>
      </c>
      <c r="AT108" s="85">
        <f>AT$248*Population!AY$153</f>
        <v>35481.668452062135</v>
      </c>
      <c r="AU108" s="85">
        <f>AU$248*Population!AZ$153</f>
        <v>35211.564792176039</v>
      </c>
      <c r="AV108" s="85">
        <f>AV$248*Population!BA$153</f>
        <v>34585.564493758669</v>
      </c>
      <c r="AW108" s="85">
        <f>AW$248*Population!BB$153</f>
        <v>34518.433633295841</v>
      </c>
      <c r="AX108" s="85">
        <f>AX$248*Population!BC$153</f>
        <v>34348.333796940191</v>
      </c>
      <c r="AY108" s="85">
        <f>AY$248*Population!BD$153</f>
        <v>34758.633232295397</v>
      </c>
      <c r="AZ108" s="85">
        <f>AZ$248*Population!BE$153</f>
        <v>35310.155822854016</v>
      </c>
      <c r="BA108" s="85">
        <f>BA$248*Population!BF$153</f>
        <v>35825.743353228434</v>
      </c>
      <c r="BB108" s="85">
        <f>BB$248*Population!BG$153</f>
        <v>36248.616047388263</v>
      </c>
      <c r="BC108" s="85">
        <f>BC$248*Population!BH$153</f>
        <v>36596.340288924555</v>
      </c>
      <c r="BD108" s="85">
        <f>BD$248*Population!BI$153</f>
        <v>36833.445065176908</v>
      </c>
      <c r="BE108" s="85">
        <f>BE$248*Population!BJ$153</f>
        <v>36966.728427739545</v>
      </c>
      <c r="BF108" s="85">
        <f>BF$248*Population!BK$153</f>
        <v>37051.302742616033</v>
      </c>
      <c r="BG108" s="85">
        <f>BG$248*Population!BL$153</f>
        <v>37050.347003154573</v>
      </c>
    </row>
    <row r="109" spans="3:59" x14ac:dyDescent="0.2">
      <c r="C109" s="29">
        <v>44</v>
      </c>
      <c r="F109" s="85">
        <f>F$249*Population!K$154</f>
        <v>28203.549532107132</v>
      </c>
      <c r="G109" s="85">
        <f>G$249*Population!L$154</f>
        <v>28152.274356467908</v>
      </c>
      <c r="H109" s="85">
        <f>H$249*Population!M$154</f>
        <v>27299.02027027027</v>
      </c>
      <c r="I109" s="85">
        <f>I$249*Population!N$154</f>
        <v>26607.381615598886</v>
      </c>
      <c r="J109" s="85">
        <f>J$249*Population!O$154</f>
        <v>25682.390119869233</v>
      </c>
      <c r="K109" s="85">
        <f>K$249*Population!P$154</f>
        <v>25117.581674802852</v>
      </c>
      <c r="L109" s="85">
        <f>L$249*Population!Q$154</f>
        <v>25101.185741088178</v>
      </c>
      <c r="M109" s="85">
        <f>M$249*Population!R$154</f>
        <v>24584.773251345119</v>
      </c>
      <c r="N109" s="85">
        <f>N$249*Population!S$154</f>
        <v>25266.4406779661</v>
      </c>
      <c r="O109" s="85">
        <f>O$249*Population!T$154</f>
        <v>25729.269829503337</v>
      </c>
      <c r="P109" s="85">
        <f>P$249*Population!U$154</f>
        <v>26456.79088277858</v>
      </c>
      <c r="Q109" s="85">
        <f>Q$249*Population!V$154</f>
        <v>26722.888888888887</v>
      </c>
      <c r="R109" s="85">
        <f>R$249*Population!W$154</f>
        <v>27794.525294525294</v>
      </c>
      <c r="S109" s="85">
        <f>S$249*Population!X$154</f>
        <v>28278.623758986651</v>
      </c>
      <c r="T109" s="85">
        <f>T$249*Population!Y$154</f>
        <v>28742.354131534568</v>
      </c>
      <c r="U109" s="85">
        <f>U$249*Population!Z$154</f>
        <v>30000.456472122594</v>
      </c>
      <c r="V109" s="85">
        <f>V$249*Population!AA$154</f>
        <v>31432.414335114747</v>
      </c>
      <c r="W109" s="85">
        <f>W$249*Population!AB$154</f>
        <v>32954.711538461539</v>
      </c>
      <c r="X109" s="85">
        <f>X$249*Population!AC$154</f>
        <v>34907.433779549981</v>
      </c>
      <c r="Y109" s="85">
        <f>Y$249*Population!AD$154</f>
        <v>37047.96140255504</v>
      </c>
      <c r="Z109" s="85">
        <f>Z$249*Population!AE$154</f>
        <v>38917.263020833336</v>
      </c>
      <c r="AA109" s="85">
        <f>AA$249*Population!AF$154</f>
        <v>39173.071278825999</v>
      </c>
      <c r="AB109" s="85">
        <f>AB$249*Population!AG$154</f>
        <v>39539.0625</v>
      </c>
      <c r="AC109" s="85">
        <f>AC$249*Population!AH$154</f>
        <v>38956.21727748691</v>
      </c>
      <c r="AD109" s="85">
        <f>AD$249*Population!AI$154</f>
        <v>39113.570871261378</v>
      </c>
      <c r="AE109" s="85">
        <f>AE$249*Population!AJ$154</f>
        <v>38923.204994797088</v>
      </c>
      <c r="AF109" s="85">
        <f>AF$249*Population!AK$154</f>
        <v>37407.5606504932</v>
      </c>
      <c r="AG109" s="85">
        <f>AG$249*Population!AL$154</f>
        <v>36370.811320754721</v>
      </c>
      <c r="AH109" s="85">
        <f>AH$249*Population!AM$154</f>
        <v>35240.076923076922</v>
      </c>
      <c r="AI109" s="85">
        <f>AI$249*Population!AN$154</f>
        <v>35355.286521388218</v>
      </c>
      <c r="AJ109" s="85">
        <f>AJ$249*Population!AO$154</f>
        <v>34085.163776493253</v>
      </c>
      <c r="AK109" s="85">
        <f>AK$249*Population!AP$154</f>
        <v>32455.370902817711</v>
      </c>
      <c r="AL109" s="85">
        <f>AL$249*Population!AQ$154</f>
        <v>32490.623213264724</v>
      </c>
      <c r="AM109" s="85">
        <f>AM$249*Population!AR$154</f>
        <v>32933.211267605635</v>
      </c>
      <c r="AN109" s="85">
        <f>AN$249*Population!AS$154</f>
        <v>32767.139614074913</v>
      </c>
      <c r="AO109" s="85">
        <f>AO$249*Population!AT$154</f>
        <v>33260.072829131655</v>
      </c>
      <c r="AP109" s="85">
        <f>AP$249*Population!AU$154</f>
        <v>34778.474758324381</v>
      </c>
      <c r="AQ109" s="85">
        <f>AQ$249*Population!AV$154</f>
        <v>35981.382536382538</v>
      </c>
      <c r="AR109" s="85">
        <f>AR$249*Population!AW$154</f>
        <v>36327.188630490957</v>
      </c>
      <c r="AS109" s="85">
        <f>AS$249*Population!AX$154</f>
        <v>36507.671480144403</v>
      </c>
      <c r="AT109" s="85">
        <f>AT$249*Population!AY$154</f>
        <v>35914.655400052812</v>
      </c>
      <c r="AU109" s="85">
        <f>AU$249*Population!AZ$154</f>
        <v>35488.168184252812</v>
      </c>
      <c r="AV109" s="85">
        <f>AV$249*Population!BA$154</f>
        <v>35217.929910350445</v>
      </c>
      <c r="AW109" s="85">
        <f>AW$249*Population!BB$154</f>
        <v>34591.872399445216</v>
      </c>
      <c r="AX109" s="85">
        <f>AX$249*Population!BC$154</f>
        <v>34524.488188976378</v>
      </c>
      <c r="AY109" s="85">
        <f>AY$249*Population!BD$154</f>
        <v>34365.201668984701</v>
      </c>
      <c r="AZ109" s="85">
        <f>AZ$249*Population!BE$154</f>
        <v>34764.962799669331</v>
      </c>
      <c r="BA109" s="85">
        <f>BA$249*Population!BF$154</f>
        <v>35316.314926189174</v>
      </c>
      <c r="BB109" s="85">
        <f>BB$249*Population!BG$154</f>
        <v>35831.763429191531</v>
      </c>
      <c r="BC109" s="85">
        <f>BC$249*Population!BH$154</f>
        <v>36265.253096392029</v>
      </c>
      <c r="BD109" s="85">
        <f>BD$249*Population!BI$154</f>
        <v>36612.945425361155</v>
      </c>
      <c r="BE109" s="85">
        <f>BE$249*Population!BJ$154</f>
        <v>36839.297685554666</v>
      </c>
      <c r="BF109" s="85">
        <f>BF$249*Population!BK$154</f>
        <v>36981.720487030172</v>
      </c>
      <c r="BG109" s="85">
        <f>BG$249*Population!BL$154</f>
        <v>37058.165040864747</v>
      </c>
    </row>
    <row r="110" spans="3:59" x14ac:dyDescent="0.2">
      <c r="C110" s="29">
        <v>45</v>
      </c>
      <c r="F110" s="85">
        <f>F$250*Population!K$155</f>
        <v>27523.605150214589</v>
      </c>
      <c r="G110" s="85">
        <f>G$250*Population!L$155</f>
        <v>28350.080515297908</v>
      </c>
      <c r="H110" s="85">
        <f>H$250*Population!M$155</f>
        <v>28253.980424143556</v>
      </c>
      <c r="I110" s="85">
        <f>I$250*Population!N$155</f>
        <v>27382.307171853856</v>
      </c>
      <c r="J110" s="85">
        <f>J$250*Population!O$155</f>
        <v>26664.225941422592</v>
      </c>
      <c r="K110" s="85">
        <f>K$250*Population!P$155</f>
        <v>25711.461818181819</v>
      </c>
      <c r="L110" s="85">
        <f>L$250*Population!Q$155</f>
        <v>25120.150375939847</v>
      </c>
      <c r="M110" s="85">
        <f>M$250*Population!R$155</f>
        <v>25057.054845980467</v>
      </c>
      <c r="N110" s="85">
        <f>N$250*Population!S$155</f>
        <v>24559.965371296654</v>
      </c>
      <c r="O110" s="85">
        <f>O$250*Population!T$155</f>
        <v>25222.796833773089</v>
      </c>
      <c r="P110" s="85">
        <f>P$250*Population!U$155</f>
        <v>25693.684601113175</v>
      </c>
      <c r="Q110" s="85">
        <f>Q$250*Population!V$155</f>
        <v>26411.937703730531</v>
      </c>
      <c r="R110" s="85">
        <f>R$250*Population!W$155</f>
        <v>26697.610333692141</v>
      </c>
      <c r="S110" s="85">
        <f>S$250*Population!X$155</f>
        <v>27758.491155046828</v>
      </c>
      <c r="T110" s="85">
        <f>T$250*Population!Y$155</f>
        <v>28223.586844809866</v>
      </c>
      <c r="U110" s="85">
        <f>U$250*Population!Z$155</f>
        <v>28706.986162672965</v>
      </c>
      <c r="V110" s="85">
        <f>V$250*Population!AA$155</f>
        <v>29964.688417618272</v>
      </c>
      <c r="W110" s="85">
        <f>W$250*Population!AB$155</f>
        <v>31386.117054751416</v>
      </c>
      <c r="X110" s="85">
        <f>X$250*Population!AC$155</f>
        <v>32917.419548872182</v>
      </c>
      <c r="Y110" s="85">
        <f>Y$250*Population!AD$155</f>
        <v>34849.942987457238</v>
      </c>
      <c r="Z110" s="85">
        <f>Z$250*Population!AE$155</f>
        <v>36989.730685527749</v>
      </c>
      <c r="AA110" s="85">
        <f>AA$250*Population!AF$155</f>
        <v>38858.642168360697</v>
      </c>
      <c r="AB110" s="85">
        <f>AB$250*Population!AG$155</f>
        <v>39102.444269603984</v>
      </c>
      <c r="AC110" s="85">
        <f>AC$250*Population!AH$155</f>
        <v>39469.244398124021</v>
      </c>
      <c r="AD110" s="85">
        <f>AD$250*Population!AI$155</f>
        <v>38897.236049253341</v>
      </c>
      <c r="AE110" s="85">
        <f>AE$250*Population!AJ$155</f>
        <v>39054.742321707447</v>
      </c>
      <c r="AF110" s="85">
        <f>AF$250*Population!AK$155</f>
        <v>38854.554919312861</v>
      </c>
      <c r="AG110" s="85">
        <f>AG$250*Population!AL$155</f>
        <v>37349.039743931717</v>
      </c>
      <c r="AH110" s="85">
        <f>AH$250*Population!AM$155</f>
        <v>36324.185544768065</v>
      </c>
      <c r="AI110" s="85">
        <f>AI$250*Population!AN$155</f>
        <v>35183.534909290822</v>
      </c>
      <c r="AJ110" s="85">
        <f>AJ$250*Population!AO$155</f>
        <v>35319.816908993002</v>
      </c>
      <c r="AK110" s="85">
        <f>AK$250*Population!AP$155</f>
        <v>34040.936381162217</v>
      </c>
      <c r="AL110" s="85">
        <f>AL$250*Population!AQ$155</f>
        <v>32420.506329113927</v>
      </c>
      <c r="AM110" s="85">
        <f>AM$250*Population!AR$155</f>
        <v>32456.026887871856</v>
      </c>
      <c r="AN110" s="85">
        <f>AN$250*Population!AS$155</f>
        <v>32898.669673055243</v>
      </c>
      <c r="AO110" s="85">
        <f>AO$250*Population!AT$155</f>
        <v>32714.107294919104</v>
      </c>
      <c r="AP110" s="85">
        <f>AP$250*Population!AU$155</f>
        <v>33216.018492574949</v>
      </c>
      <c r="AQ110" s="85">
        <f>AQ$250*Population!AV$155</f>
        <v>34743.594841483078</v>
      </c>
      <c r="AR110" s="85">
        <f>AR$250*Population!AW$155</f>
        <v>35927.069682787311</v>
      </c>
      <c r="AS110" s="85">
        <f>AS$250*Population!AX$155</f>
        <v>36292.037228541885</v>
      </c>
      <c r="AT110" s="85">
        <f>AT$250*Population!AY$155</f>
        <v>36452.641217436161</v>
      </c>
      <c r="AU110" s="85">
        <f>AU$250*Population!AZ$155</f>
        <v>35869.492868462759</v>
      </c>
      <c r="AV110" s="85">
        <f>AV$250*Population!BA$155</f>
        <v>35442.850254487006</v>
      </c>
      <c r="AW110" s="85">
        <f>AW$250*Population!BB$155</f>
        <v>35172.195652173912</v>
      </c>
      <c r="AX110" s="85">
        <f>AX$250*Population!BC$155</f>
        <v>34555.05549389567</v>
      </c>
      <c r="AY110" s="85">
        <f>AY$250*Population!BD$155</f>
        <v>34488.466947960616</v>
      </c>
      <c r="AZ110" s="85">
        <f>AZ$250*Population!BE$155</f>
        <v>34328.63105175292</v>
      </c>
      <c r="BA110" s="85">
        <f>BA$250*Population!BF$155</f>
        <v>34729.649944873207</v>
      </c>
      <c r="BB110" s="85">
        <f>BB$250*Population!BG$155</f>
        <v>35289.67186218212</v>
      </c>
      <c r="BC110" s="85">
        <f>BC$250*Population!BH$155</f>
        <v>35795.663500678427</v>
      </c>
      <c r="BD110" s="85">
        <f>BD$250*Population!BI$155</f>
        <v>36227.298680312415</v>
      </c>
      <c r="BE110" s="85">
        <f>BE$250*Population!BJ$155</f>
        <v>36565.69440727857</v>
      </c>
      <c r="BF110" s="85">
        <f>BF$250*Population!BK$155</f>
        <v>36802.075019952114</v>
      </c>
      <c r="BG110" s="85">
        <f>BG$250*Population!BL$155</f>
        <v>36945.247550966378</v>
      </c>
    </row>
    <row r="111" spans="3:59" x14ac:dyDescent="0.2">
      <c r="C111" s="29">
        <v>46</v>
      </c>
      <c r="F111" s="85">
        <f>F$251*Population!K$156</f>
        <v>27712.732634338139</v>
      </c>
      <c r="G111" s="85">
        <f>G$251*Population!L$156</f>
        <v>27679.080118694365</v>
      </c>
      <c r="H111" s="85">
        <f>H$251*Population!M$156</f>
        <v>28442.700871248788</v>
      </c>
      <c r="I111" s="85">
        <f>I$251*Population!N$156</f>
        <v>28318.941176470587</v>
      </c>
      <c r="J111" s="85">
        <f>J$251*Population!O$156</f>
        <v>27410.748898678416</v>
      </c>
      <c r="K111" s="85">
        <f>K$251*Population!P$156</f>
        <v>26674.362556758642</v>
      </c>
      <c r="L111" s="85">
        <f>L$251*Population!Q$156</f>
        <v>25704.408014571949</v>
      </c>
      <c r="M111" s="85">
        <f>M$251*Population!R$156</f>
        <v>25076.152108433733</v>
      </c>
      <c r="N111" s="85">
        <f>N$251*Population!S$156</f>
        <v>25022.234762979686</v>
      </c>
      <c r="O111" s="85">
        <f>O$251*Population!T$156</f>
        <v>24526.327552986513</v>
      </c>
      <c r="P111" s="85">
        <f>P$251*Population!U$156</f>
        <v>25187.633069082673</v>
      </c>
      <c r="Q111" s="85">
        <f>Q$251*Population!V$156</f>
        <v>25668.911185432928</v>
      </c>
      <c r="R111" s="85">
        <f>R$251*Population!W$156</f>
        <v>26376.550598476606</v>
      </c>
      <c r="S111" s="85">
        <f>S$251*Population!X$156</f>
        <v>26662.184692777577</v>
      </c>
      <c r="T111" s="85">
        <f>T$251*Population!Y$156</f>
        <v>27713.789510246614</v>
      </c>
      <c r="U111" s="85">
        <f>U$251*Population!Z$156</f>
        <v>28208.122855181879</v>
      </c>
      <c r="V111" s="85">
        <f>V$251*Population!AA$156</f>
        <v>28671.155795876984</v>
      </c>
      <c r="W111" s="85">
        <f>W$251*Population!AB$156</f>
        <v>29928.539692910814</v>
      </c>
      <c r="X111" s="85">
        <f>X$251*Population!AC$156</f>
        <v>31349.606175173281</v>
      </c>
      <c r="Y111" s="85">
        <f>Y$251*Population!AD$156</f>
        <v>32860.84914182475</v>
      </c>
      <c r="Z111" s="85">
        <f>Z$251*Population!AE$156</f>
        <v>34804.123858447485</v>
      </c>
      <c r="AA111" s="85">
        <f>AA$251*Population!AF$156</f>
        <v>36932.374727668845</v>
      </c>
      <c r="AB111" s="85">
        <f>AB$251*Population!AG$156</f>
        <v>38811.090814196243</v>
      </c>
      <c r="AC111" s="85">
        <f>AC$251*Population!AH$156</f>
        <v>39054.403886554624</v>
      </c>
      <c r="AD111" s="85">
        <f>AD$251*Population!AI$156</f>
        <v>39421.100965301332</v>
      </c>
      <c r="AE111" s="85">
        <f>AE$251*Population!AJ$156</f>
        <v>38839.26042486231</v>
      </c>
      <c r="AF111" s="85">
        <f>AF$251*Population!AK$156</f>
        <v>38996.89421573736</v>
      </c>
      <c r="AG111" s="85">
        <f>AG$251*Population!AL$156</f>
        <v>38806.044815007815</v>
      </c>
      <c r="AH111" s="85">
        <f>AH$251*Population!AM$156</f>
        <v>37303.113484646194</v>
      </c>
      <c r="AI111" s="85">
        <f>AI$251*Population!AN$156</f>
        <v>36277.192224622027</v>
      </c>
      <c r="AJ111" s="85">
        <f>AJ$251*Population!AO$156</f>
        <v>35138.104539202199</v>
      </c>
      <c r="AK111" s="85">
        <f>AK$251*Population!AP$156</f>
        <v>35273.791430881167</v>
      </c>
      <c r="AL111" s="85">
        <f>AL$251*Population!AQ$156</f>
        <v>34006.277915632752</v>
      </c>
      <c r="AM111" s="85">
        <f>AM$251*Population!AR$156</f>
        <v>32396.267281105993</v>
      </c>
      <c r="AN111" s="85">
        <f>AN$251*Population!AS$156</f>
        <v>32412.419123962209</v>
      </c>
      <c r="AO111" s="85">
        <f>AO$251*Population!AT$156</f>
        <v>32865.308885754588</v>
      </c>
      <c r="AP111" s="85">
        <f>AP$251*Population!AU$156</f>
        <v>32689.78125</v>
      </c>
      <c r="AQ111" s="85">
        <f>AQ$251*Population!AV$156</f>
        <v>33191.620863712844</v>
      </c>
      <c r="AR111" s="85">
        <f>AR$251*Population!AW$156</f>
        <v>34708.846464103255</v>
      </c>
      <c r="AS111" s="85">
        <f>AS$251*Population!AX$156</f>
        <v>35902.550091074685</v>
      </c>
      <c r="AT111" s="85">
        <f>AT$251*Population!AY$156</f>
        <v>36257.068564036221</v>
      </c>
      <c r="AU111" s="85">
        <f>AU$251*Population!AZ$156</f>
        <v>36417.552916881774</v>
      </c>
      <c r="AV111" s="85">
        <f>AV$251*Population!BA$156</f>
        <v>35834.084060269626</v>
      </c>
      <c r="AW111" s="85">
        <f>AW$251*Population!BB$156</f>
        <v>35417.774798927618</v>
      </c>
      <c r="AX111" s="85">
        <f>AX$251*Population!BC$156</f>
        <v>35146.896926842535</v>
      </c>
      <c r="AY111" s="85">
        <f>AY$251*Population!BD$156</f>
        <v>34529.650097195219</v>
      </c>
      <c r="AZ111" s="85">
        <f>AZ$251*Population!BE$156</f>
        <v>34462.666103603602</v>
      </c>
      <c r="BA111" s="85">
        <f>BA$251*Population!BF$156</f>
        <v>34293.808463251669</v>
      </c>
      <c r="BB111" s="85">
        <f>BB$251*Population!BG$156</f>
        <v>34704.303448275859</v>
      </c>
      <c r="BC111" s="85">
        <f>BC$251*Population!BH$156</f>
        <v>35264.039408866993</v>
      </c>
      <c r="BD111" s="85">
        <f>BD$251*Population!BI$156</f>
        <v>35769.188161824597</v>
      </c>
      <c r="BE111" s="85">
        <f>BE$251*Population!BJ$156</f>
        <v>36201.283018867922</v>
      </c>
      <c r="BF111" s="85">
        <f>BF$251*Population!BK$156</f>
        <v>36538.886211512719</v>
      </c>
      <c r="BG111" s="85">
        <f>BG$251*Population!BL$156</f>
        <v>36775.942492012779</v>
      </c>
    </row>
    <row r="112" spans="3:59" x14ac:dyDescent="0.2">
      <c r="C112" s="29">
        <v>47</v>
      </c>
      <c r="F112" s="85">
        <f>F$252*Population!K$157</f>
        <v>27232.794411177645</v>
      </c>
      <c r="G112" s="85">
        <f>G$252*Population!L$157</f>
        <v>27762.558139534882</v>
      </c>
      <c r="H112" s="85">
        <f>H$252*Population!M$157</f>
        <v>27702.974223397225</v>
      </c>
      <c r="I112" s="85">
        <f>I$252*Population!N$157</f>
        <v>28439.016817593791</v>
      </c>
      <c r="J112" s="85">
        <f>J$252*Population!O$157</f>
        <v>28305.792922673656</v>
      </c>
      <c r="K112" s="85">
        <f>K$252*Population!P$157</f>
        <v>27380.197010869564</v>
      </c>
      <c r="L112" s="85">
        <f>L$252*Population!Q$157</f>
        <v>26616.421568627451</v>
      </c>
      <c r="M112" s="85">
        <f>M$252*Population!R$157</f>
        <v>25619.934282584887</v>
      </c>
      <c r="N112" s="85">
        <f>N$252*Population!S$157</f>
        <v>25000.267924528303</v>
      </c>
      <c r="O112" s="85">
        <f>O$252*Population!T$157</f>
        <v>24957.204828366652</v>
      </c>
      <c r="P112" s="85">
        <f>P$252*Population!U$157</f>
        <v>24450.397837002703</v>
      </c>
      <c r="Q112" s="85">
        <f>Q$252*Population!V$157</f>
        <v>25111.312902005298</v>
      </c>
      <c r="R112" s="85">
        <f>R$252*Population!W$157</f>
        <v>25592.439478584729</v>
      </c>
      <c r="S112" s="85">
        <f>S$252*Population!X$157</f>
        <v>26310.414394765539</v>
      </c>
      <c r="T112" s="85">
        <f>T$252*Population!Y$157</f>
        <v>26585.437522506301</v>
      </c>
      <c r="U112" s="85">
        <f>U$252*Population!Z$157</f>
        <v>27636.756004176819</v>
      </c>
      <c r="V112" s="85">
        <f>V$252*Population!AA$157</f>
        <v>28130.804676753782</v>
      </c>
      <c r="W112" s="85">
        <f>W$252*Population!AB$157</f>
        <v>28593.748730104977</v>
      </c>
      <c r="X112" s="85">
        <f>X$252*Population!AC$157</f>
        <v>29839.836333878888</v>
      </c>
      <c r="Y112" s="85">
        <f>Y$252*Population!AD$157</f>
        <v>31251.130050505049</v>
      </c>
      <c r="Z112" s="85">
        <f>Z$252*Population!AE$157</f>
        <v>32771.294117647056</v>
      </c>
      <c r="AA112" s="85">
        <f>AA$252*Population!AF$157</f>
        <v>34703.38479130932</v>
      </c>
      <c r="AB112" s="85">
        <f>AB$252*Population!AG$157</f>
        <v>36831.552523874489</v>
      </c>
      <c r="AC112" s="85">
        <f>AC$252*Population!AH$157</f>
        <v>38699.660219550446</v>
      </c>
      <c r="AD112" s="85">
        <f>AD$252*Population!AI$157</f>
        <v>38941.904260915311</v>
      </c>
      <c r="AE112" s="85">
        <f>AE$252*Population!AJ$157</f>
        <v>39317.441860465115</v>
      </c>
      <c r="AF112" s="85">
        <f>AF$252*Population!AK$157</f>
        <v>38736.390858944054</v>
      </c>
      <c r="AG112" s="85">
        <f>AG$252*Population!AL$157</f>
        <v>38894.245824634658</v>
      </c>
      <c r="AH112" s="85">
        <f>AH$252*Population!AM$157</f>
        <v>38694.741649269308</v>
      </c>
      <c r="AI112" s="85">
        <f>AI$252*Population!AN$157</f>
        <v>37202.144958545068</v>
      </c>
      <c r="AJ112" s="85">
        <f>AJ$252*Population!AO$157</f>
        <v>36188.372093023252</v>
      </c>
      <c r="AK112" s="85">
        <f>AK$252*Population!AP$157</f>
        <v>35059.26150454671</v>
      </c>
      <c r="AL112" s="85">
        <f>AL$252*Population!AQ$157</f>
        <v>35187.044534412955</v>
      </c>
      <c r="AM112" s="85">
        <f>AM$252*Population!AR$157</f>
        <v>33920.209828823856</v>
      </c>
      <c r="AN112" s="85">
        <f>AN$252*Population!AS$157</f>
        <v>32319.630804730314</v>
      </c>
      <c r="AO112" s="85">
        <f>AO$252*Population!AT$157</f>
        <v>32346.390481651375</v>
      </c>
      <c r="AP112" s="85">
        <f>AP$252*Population!AU$157</f>
        <v>32780.08474576271</v>
      </c>
      <c r="AQ112" s="85">
        <f>AQ$252*Population!AV$157</f>
        <v>32604.415362731153</v>
      </c>
      <c r="AR112" s="85">
        <f>AR$252*Population!AW$157</f>
        <v>33106.09098567818</v>
      </c>
      <c r="AS112" s="85">
        <f>AS$252*Population!AX$157</f>
        <v>34623.11254711901</v>
      </c>
      <c r="AT112" s="85">
        <f>AT$252*Population!AY$157</f>
        <v>35806.46169880146</v>
      </c>
      <c r="AU112" s="85">
        <f>AU$252*Population!AZ$157</f>
        <v>36160.621761658032</v>
      </c>
      <c r="AV112" s="85">
        <f>AV$252*Population!BA$157</f>
        <v>36331.238046006722</v>
      </c>
      <c r="AW112" s="85">
        <f>AW$252*Population!BB$157</f>
        <v>35747.199576495499</v>
      </c>
      <c r="AX112" s="85">
        <f>AX$252*Population!BC$157</f>
        <v>35339.774496644292</v>
      </c>
      <c r="AY112" s="85">
        <f>AY$252*Population!BD$157</f>
        <v>35068.382352941175</v>
      </c>
      <c r="AZ112" s="85">
        <f>AZ$252*Population!BE$157</f>
        <v>34451.871003614127</v>
      </c>
      <c r="BA112" s="85">
        <f>BA$252*Population!BF$157</f>
        <v>34383.985343855697</v>
      </c>
      <c r="BB112" s="85">
        <f>BB$252*Population!BG$157</f>
        <v>34225.876777251186</v>
      </c>
      <c r="BC112" s="85">
        <f>BC$252*Population!BH$157</f>
        <v>34626.655619994475</v>
      </c>
      <c r="BD112" s="85">
        <f>BD$252*Population!BI$157</f>
        <v>35185.753424657538</v>
      </c>
      <c r="BE112" s="85">
        <f>BE$252*Population!BJ$157</f>
        <v>35700.097879282221</v>
      </c>
      <c r="BF112" s="85">
        <f>BF$252*Population!BK$157</f>
        <v>36122.134376686452</v>
      </c>
      <c r="BG112" s="85">
        <f>BG$252*Population!BL$157</f>
        <v>36469.28418230563</v>
      </c>
    </row>
    <row r="113" spans="3:59" x14ac:dyDescent="0.2">
      <c r="C113" s="29">
        <v>48</v>
      </c>
      <c r="F113" s="85">
        <f>F$253*Population!K$158</f>
        <v>26772.847011144884</v>
      </c>
      <c r="G113" s="85">
        <f>G$253*Population!L$158</f>
        <v>27299.567387687188</v>
      </c>
      <c r="H113" s="85">
        <f>H$253*Population!M$158</f>
        <v>27776.264783180024</v>
      </c>
      <c r="I113" s="85">
        <f>I$253*Population!N$158</f>
        <v>27689.09512761021</v>
      </c>
      <c r="J113" s="85">
        <f>J$253*Population!O$158</f>
        <v>28415.996106424398</v>
      </c>
      <c r="K113" s="85">
        <f>K$253*Population!P$158</f>
        <v>28256.178113703583</v>
      </c>
      <c r="L113" s="85">
        <f>L$253*Population!Q$158</f>
        <v>27312.330494037476</v>
      </c>
      <c r="M113" s="85">
        <f>M$253*Population!R$158</f>
        <v>26531.313202247191</v>
      </c>
      <c r="N113" s="85">
        <f>N$253*Population!S$158</f>
        <v>25534.64664957891</v>
      </c>
      <c r="O113" s="85">
        <f>O$253*Population!T$158</f>
        <v>24914.545798637399</v>
      </c>
      <c r="P113" s="85">
        <f>P$253*Population!U$158</f>
        <v>24871.27080181543</v>
      </c>
      <c r="Q113" s="85">
        <f>Q$253*Population!V$158</f>
        <v>24374.674670797831</v>
      </c>
      <c r="R113" s="85">
        <f>R$253*Population!W$158</f>
        <v>25044.762808349147</v>
      </c>
      <c r="S113" s="85">
        <f>S$253*Population!X$158</f>
        <v>25496.691560866318</v>
      </c>
      <c r="T113" s="85">
        <f>T$253*Population!Y$158</f>
        <v>26224.028436018958</v>
      </c>
      <c r="U113" s="85">
        <f>U$253*Population!Z$158</f>
        <v>26499.985559566787</v>
      </c>
      <c r="V113" s="85">
        <f>V$253*Population!AA$158</f>
        <v>27560.118632240057</v>
      </c>
      <c r="W113" s="85">
        <f>W$253*Population!AB$158</f>
        <v>28034.201999310582</v>
      </c>
      <c r="X113" s="85">
        <f>X$253*Population!AC$158</f>
        <v>28497.060420909707</v>
      </c>
      <c r="Y113" s="85">
        <f>Y$253*Population!AD$158</f>
        <v>29752.36626189695</v>
      </c>
      <c r="Z113" s="85">
        <f>Z$253*Population!AE$158</f>
        <v>31162.363176210059</v>
      </c>
      <c r="AA113" s="85">
        <f>AA$253*Population!AF$158</f>
        <v>32673.337363966144</v>
      </c>
      <c r="AB113" s="85">
        <f>AB$253*Population!AG$158</f>
        <v>34604.174785100287</v>
      </c>
      <c r="AC113" s="85">
        <f>AC$253*Population!AH$158</f>
        <v>36710.415527610719</v>
      </c>
      <c r="AD113" s="85">
        <f>AD$253*Population!AI$158</f>
        <v>38588.077527501315</v>
      </c>
      <c r="AE113" s="85">
        <f>AE$253*Population!AJ$158</f>
        <v>38819.130434782608</v>
      </c>
      <c r="AF113" s="85">
        <f>AF$253*Population!AK$158</f>
        <v>39194.416230366493</v>
      </c>
      <c r="AG113" s="85">
        <f>AG$253*Population!AL$158</f>
        <v>38635.567254540671</v>
      </c>
      <c r="AH113" s="85">
        <f>AH$253*Population!AM$158</f>
        <v>38783.450980392161</v>
      </c>
      <c r="AI113" s="85">
        <f>AI$253*Population!AN$158</f>
        <v>38593.380392156861</v>
      </c>
      <c r="AJ113" s="85">
        <f>AJ$253*Population!AO$158</f>
        <v>37101.881028938908</v>
      </c>
      <c r="AK113" s="85">
        <f>AK$253*Population!AP$158</f>
        <v>36089.31725819561</v>
      </c>
      <c r="AL113" s="85">
        <f>AL$253*Population!AQ$158</f>
        <v>34971.775262286028</v>
      </c>
      <c r="AM113" s="85">
        <f>AM$253*Population!AR$158</f>
        <v>35080.6136793728</v>
      </c>
      <c r="AN113" s="85">
        <f>AN$253*Population!AS$158</f>
        <v>33833.294605809126</v>
      </c>
      <c r="AO113" s="85">
        <f>AO$253*Population!AT$158</f>
        <v>32224.940768564</v>
      </c>
      <c r="AP113" s="85">
        <f>AP$253*Population!AU$158</f>
        <v>32252.050545663413</v>
      </c>
      <c r="AQ113" s="85">
        <f>AQ$253*Population!AV$158</f>
        <v>32704.143787149733</v>
      </c>
      <c r="AR113" s="85">
        <f>AR$253*Population!AW$158</f>
        <v>32528.363740022804</v>
      </c>
      <c r="AS113" s="85">
        <f>AS$253*Population!AX$158</f>
        <v>33020.627285513365</v>
      </c>
      <c r="AT113" s="85">
        <f>AT$253*Population!AY$158</f>
        <v>34537.475728155339</v>
      </c>
      <c r="AU113" s="85">
        <f>AU$253*Population!AZ$158</f>
        <v>35720.762004175362</v>
      </c>
      <c r="AV113" s="85">
        <f>AV$253*Population!BA$158</f>
        <v>36074.644525168653</v>
      </c>
      <c r="AW113" s="85">
        <f>AW$253*Population!BB$158</f>
        <v>36245.094486150658</v>
      </c>
      <c r="AX113" s="85">
        <f>AX$253*Population!BC$158</f>
        <v>35660.55143160127</v>
      </c>
      <c r="AY113" s="85">
        <f>AY$253*Population!BD$158</f>
        <v>35252.944339876311</v>
      </c>
      <c r="AZ113" s="85">
        <f>AZ$253*Population!BE$158</f>
        <v>34982.097082083448</v>
      </c>
      <c r="BA113" s="85">
        <f>BA$253*Population!BF$158</f>
        <v>34364.383180172656</v>
      </c>
      <c r="BB113" s="85">
        <f>BB$253*Population!BG$158</f>
        <v>34295.060683036972</v>
      </c>
      <c r="BC113" s="85">
        <f>BC$253*Population!BH$158</f>
        <v>34139.65382467895</v>
      </c>
      <c r="BD113" s="85">
        <f>BD$253*Population!BI$158</f>
        <v>34548.337482710929</v>
      </c>
      <c r="BE113" s="85">
        <f>BE$253*Population!BJ$158</f>
        <v>35106.866081229418</v>
      </c>
      <c r="BF113" s="85">
        <f>BF$253*Population!BK$158</f>
        <v>35602.003811598152</v>
      </c>
      <c r="BG113" s="85">
        <f>BG$253*Population!BL$158</f>
        <v>36032.742502026478</v>
      </c>
    </row>
    <row r="114" spans="3:59" x14ac:dyDescent="0.2">
      <c r="C114" s="29">
        <v>49</v>
      </c>
      <c r="F114" s="85">
        <f>F$254*Population!K$159</f>
        <v>26850.962314939436</v>
      </c>
      <c r="G114" s="85">
        <f>G$254*Population!L$159</f>
        <v>26766.146044624747</v>
      </c>
      <c r="H114" s="85">
        <f>H$254*Population!M$159</f>
        <v>27304.998330550919</v>
      </c>
      <c r="I114" s="85">
        <f>I$254*Population!N$159</f>
        <v>27753.415759973625</v>
      </c>
      <c r="J114" s="85">
        <f>J$254*Population!O$159</f>
        <v>27667.12242182302</v>
      </c>
      <c r="K114" s="85">
        <f>K$254*Population!P$159</f>
        <v>28357.581380208332</v>
      </c>
      <c r="L114" s="85">
        <f>L$254*Population!Q$159</f>
        <v>28170.118655240607</v>
      </c>
      <c r="M114" s="85">
        <f>M$254*Population!R$159</f>
        <v>27208.079289131922</v>
      </c>
      <c r="N114" s="85">
        <f>N$254*Population!S$159</f>
        <v>26437.301866854526</v>
      </c>
      <c r="O114" s="85">
        <f>O$254*Population!T$159</f>
        <v>25449.522409992653</v>
      </c>
      <c r="P114" s="85">
        <f>P$254*Population!U$159</f>
        <v>24839.49867071781</v>
      </c>
      <c r="Q114" s="85">
        <f>Q$254*Population!V$159</f>
        <v>24796.303605313093</v>
      </c>
      <c r="R114" s="85">
        <f>R$254*Population!W$159</f>
        <v>24299.603575592693</v>
      </c>
      <c r="S114" s="85">
        <f>S$254*Population!X$159</f>
        <v>24959.984773505901</v>
      </c>
      <c r="T114" s="85">
        <f>T$254*Population!Y$159</f>
        <v>25440.921693518172</v>
      </c>
      <c r="U114" s="85">
        <f>U$254*Population!Z$159</f>
        <v>26148.065813528337</v>
      </c>
      <c r="V114" s="85">
        <f>V$254*Population!AA$159</f>
        <v>26423.98262128892</v>
      </c>
      <c r="W114" s="85">
        <f>W$254*Population!AB$159</f>
        <v>27473.853692684632</v>
      </c>
      <c r="X114" s="85">
        <f>X$254*Population!AC$159</f>
        <v>27957.811959903214</v>
      </c>
      <c r="Y114" s="85">
        <f>Y$254*Population!AD$159</f>
        <v>28420.609257998636</v>
      </c>
      <c r="Z114" s="85">
        <f>Z$254*Population!AE$159</f>
        <v>29666.515301085885</v>
      </c>
      <c r="AA114" s="85">
        <f>AA$254*Population!AF$159</f>
        <v>31065.214081826831</v>
      </c>
      <c r="AB114" s="85">
        <f>AB$254*Population!AG$159</f>
        <v>32585.965444073961</v>
      </c>
      <c r="AC114" s="85">
        <f>AC$254*Population!AH$159</f>
        <v>34506.73750717978</v>
      </c>
      <c r="AD114" s="85">
        <f>AD$254*Population!AI$159</f>
        <v>36622.35132913127</v>
      </c>
      <c r="AE114" s="85">
        <f>AE$254*Population!AJ$159</f>
        <v>38478.461942257221</v>
      </c>
      <c r="AF114" s="85">
        <f>AF$254*Population!AK$159</f>
        <v>38730.243000528266</v>
      </c>
      <c r="AG114" s="85">
        <f>AG$254*Population!AL$159</f>
        <v>39085.017055890843</v>
      </c>
      <c r="AH114" s="85">
        <f>AH$254*Population!AM$159</f>
        <v>38525.555262463728</v>
      </c>
      <c r="AI114" s="85">
        <f>AI$254*Population!AN$159</f>
        <v>38673.618024626667</v>
      </c>
      <c r="AJ114" s="85">
        <f>AJ$254*Population!AO$159</f>
        <v>38483.864291328267</v>
      </c>
      <c r="AK114" s="85">
        <f>AK$254*Population!AP$159</f>
        <v>37004.307196562833</v>
      </c>
      <c r="AL114" s="85">
        <f>AL$254*Population!AQ$159</f>
        <v>35991.875678610202</v>
      </c>
      <c r="AM114" s="85">
        <f>AM$254*Population!AR$159</f>
        <v>34875.112033195022</v>
      </c>
      <c r="AN114" s="85">
        <f>AN$254*Population!AS$159</f>
        <v>35013.990788404226</v>
      </c>
      <c r="AO114" s="85">
        <f>AO$254*Population!AT$159</f>
        <v>33748.819290465632</v>
      </c>
      <c r="AP114" s="85">
        <f>AP$254*Population!AU$159</f>
        <v>32149.733642154028</v>
      </c>
      <c r="AQ114" s="85">
        <f>AQ$254*Population!AV$159</f>
        <v>32186.355785837652</v>
      </c>
      <c r="AR114" s="85">
        <f>AR$254*Population!AW$159</f>
        <v>32629.239931934204</v>
      </c>
      <c r="AS114" s="85">
        <f>AS$254*Population!AX$159</f>
        <v>32463.62467866324</v>
      </c>
      <c r="AT114" s="85">
        <f>AT$254*Population!AY$159</f>
        <v>32945.535512965049</v>
      </c>
      <c r="AU114" s="85">
        <f>AU$254*Population!AZ$159</f>
        <v>34462.266954877057</v>
      </c>
      <c r="AV114" s="85">
        <f>AV$254*Population!BA$159</f>
        <v>35645.511111111111</v>
      </c>
      <c r="AW114" s="85">
        <f>AW$254*Population!BB$159</f>
        <v>35999.196776709126</v>
      </c>
      <c r="AX114" s="85">
        <f>AX$254*Population!BC$159</f>
        <v>36169.528008298752</v>
      </c>
      <c r="AY114" s="85">
        <f>AY$254*Population!BD$159</f>
        <v>35584.624169986717</v>
      </c>
      <c r="AZ114" s="85">
        <f>AZ$254*Population!BE$159</f>
        <v>35167.411796391061</v>
      </c>
      <c r="BA114" s="85">
        <f>BA$254*Population!BF$159</f>
        <v>34914.765027322406</v>
      </c>
      <c r="BB114" s="85">
        <f>BB$254*Population!BG$159</f>
        <v>34288.870292887033</v>
      </c>
      <c r="BC114" s="85">
        <f>BC$254*Population!BH$159</f>
        <v>34228.653846153844</v>
      </c>
      <c r="BD114" s="85">
        <f>BD$254*Population!BI$159</f>
        <v>34072.36363636364</v>
      </c>
      <c r="BE114" s="85">
        <f>BE$254*Population!BJ$159</f>
        <v>34481.934053754507</v>
      </c>
      <c r="BF114" s="85">
        <f>BF$254*Population!BK$159</f>
        <v>35031.028037383177</v>
      </c>
      <c r="BG114" s="85">
        <f>BG$254*Population!BL$159</f>
        <v>35534.900463594218</v>
      </c>
    </row>
    <row r="115" spans="3:59" x14ac:dyDescent="0.2">
      <c r="C115" s="29">
        <v>50</v>
      </c>
      <c r="F115" s="85">
        <f>F$255*Population!K$160</f>
        <v>27092.889036987668</v>
      </c>
      <c r="G115" s="85">
        <f>G$255*Population!L$160</f>
        <v>26918.432760364005</v>
      </c>
      <c r="H115" s="85">
        <f>H$255*Population!M$160</f>
        <v>26791.683638832314</v>
      </c>
      <c r="I115" s="85">
        <f>I$255*Population!N$160</f>
        <v>27303.324396782842</v>
      </c>
      <c r="J115" s="85">
        <f>J$255*Population!O$160</f>
        <v>27743.778954334877</v>
      </c>
      <c r="K115" s="85">
        <f>K$255*Population!P$160</f>
        <v>27639.419031719532</v>
      </c>
      <c r="L115" s="85">
        <f>L$255*Population!Q$160</f>
        <v>28301.574648807578</v>
      </c>
      <c r="M115" s="85">
        <f>M$255*Population!R$160</f>
        <v>28095.964273900099</v>
      </c>
      <c r="N115" s="85">
        <f>N$255*Population!S$160</f>
        <v>27144.205831903946</v>
      </c>
      <c r="O115" s="85">
        <f>O$255*Population!T$160</f>
        <v>26373.149522799577</v>
      </c>
      <c r="P115" s="85">
        <f>P$255*Population!U$160</f>
        <v>25395.685840707964</v>
      </c>
      <c r="Q115" s="85">
        <f>Q$255*Population!V$160</f>
        <v>24776.227134146342</v>
      </c>
      <c r="R115" s="85">
        <f>R$255*Population!W$160</f>
        <v>24733.05788271135</v>
      </c>
      <c r="S115" s="85">
        <f>S$255*Population!X$160</f>
        <v>24245.362714508581</v>
      </c>
      <c r="T115" s="85">
        <f>T$255*Population!Y$160</f>
        <v>24907.165775401067</v>
      </c>
      <c r="U115" s="85">
        <f>U$255*Population!Z$160</f>
        <v>25377.563909774439</v>
      </c>
      <c r="V115" s="85">
        <f>V$255*Population!AA$160</f>
        <v>26084.6698459281</v>
      </c>
      <c r="W115" s="85">
        <f>W$255*Population!AB$160</f>
        <v>26360.573919360697</v>
      </c>
      <c r="X115" s="85">
        <f>X$255*Population!AC$160</f>
        <v>27430.091292134832</v>
      </c>
      <c r="Y115" s="85">
        <f>Y$255*Population!AD$160</f>
        <v>27894.320388349515</v>
      </c>
      <c r="Z115" s="85">
        <f>Z$255*Population!AE$160</f>
        <v>28357.097985660635</v>
      </c>
      <c r="AA115" s="85">
        <f>AA$255*Population!AF$160</f>
        <v>29611.96699669967</v>
      </c>
      <c r="AB115" s="85">
        <f>AB$255*Population!AG$160</f>
        <v>31012.442748091602</v>
      </c>
      <c r="AC115" s="85">
        <f>AC$255*Population!AH$160</f>
        <v>32522.270516717326</v>
      </c>
      <c r="AD115" s="85">
        <f>AD$255*Population!AI$160</f>
        <v>34443.006046645547</v>
      </c>
      <c r="AE115" s="85">
        <f>AE$255*Population!AJ$160</f>
        <v>36558.5</v>
      </c>
      <c r="AF115" s="85">
        <f>AF$255*Population!AK$160</f>
        <v>38424.652631578945</v>
      </c>
      <c r="AG115" s="85">
        <f>AG$255*Population!AL$160</f>
        <v>38657.172359015087</v>
      </c>
      <c r="AH115" s="85">
        <f>AH$255*Population!AM$160</f>
        <v>39020.949500263021</v>
      </c>
      <c r="AI115" s="85">
        <f>AI$255*Population!AN$160</f>
        <v>38461.578529878374</v>
      </c>
      <c r="AJ115" s="85">
        <f>AJ$255*Population!AO$160</f>
        <v>38620.887605042015</v>
      </c>
      <c r="AK115" s="85">
        <f>AK$255*Population!AP$160</f>
        <v>38431.126575630253</v>
      </c>
      <c r="AL115" s="85">
        <f>AL$255*Population!AQ$160</f>
        <v>36950.651237890204</v>
      </c>
      <c r="AM115" s="85">
        <f>AM$255*Population!AR$160</f>
        <v>35948.130612244895</v>
      </c>
      <c r="AN115" s="85">
        <f>AN$255*Population!AS$160</f>
        <v>34831.35330005546</v>
      </c>
      <c r="AO115" s="85">
        <f>AO$255*Population!AT$160</f>
        <v>34960.716806950855</v>
      </c>
      <c r="AP115" s="85">
        <f>AP$255*Population!AU$160</f>
        <v>33704.694444444445</v>
      </c>
      <c r="AQ115" s="85">
        <f>AQ$255*Population!AV$160</f>
        <v>32115.948926291352</v>
      </c>
      <c r="AR115" s="85">
        <f>AR$255*Population!AW$160</f>
        <v>32133.037207960773</v>
      </c>
      <c r="AS115" s="85">
        <f>AS$255*Population!AX$160</f>
        <v>32575.942028985508</v>
      </c>
      <c r="AT115" s="85">
        <f>AT$255*Population!AY$160</f>
        <v>32410.300515168863</v>
      </c>
      <c r="AU115" s="85">
        <f>AU$255*Population!AZ$160</f>
        <v>32911.745762711864</v>
      </c>
      <c r="AV115" s="85">
        <f>AV$255*Population!BA$160</f>
        <v>34418.177633360414</v>
      </c>
      <c r="AW115" s="85">
        <f>AW$255*Population!BB$160</f>
        <v>35601.414723604925</v>
      </c>
      <c r="AX115" s="85">
        <f>AX$255*Population!BC$160</f>
        <v>35955.069028392812</v>
      </c>
      <c r="AY115" s="85">
        <f>AY$255*Population!BD$160</f>
        <v>36125.37941787942</v>
      </c>
      <c r="AZ115" s="85">
        <f>AZ$255*Population!BE$160</f>
        <v>35550.463012240558</v>
      </c>
      <c r="BA115" s="85">
        <f>BA$255*Population!BF$160</f>
        <v>35142.704453441293</v>
      </c>
      <c r="BB115" s="85">
        <f>BB$255*Population!BG$160</f>
        <v>34871.500136873801</v>
      </c>
      <c r="BC115" s="85">
        <f>BC$255*Population!BH$160</f>
        <v>34254.619899385129</v>
      </c>
      <c r="BD115" s="85">
        <f>BD$255*Population!BI$160</f>
        <v>34194.321337489375</v>
      </c>
      <c r="BE115" s="85">
        <f>BE$255*Population!BJ$160</f>
        <v>34048.696748878923</v>
      </c>
      <c r="BF115" s="85">
        <f>BF$255*Population!BK$160</f>
        <v>34438.659078289835</v>
      </c>
      <c r="BG115" s="85">
        <f>BG$255*Population!BL$160</f>
        <v>34996.730928118974</v>
      </c>
    </row>
    <row r="116" spans="3:59" x14ac:dyDescent="0.2">
      <c r="C116" s="29">
        <v>51</v>
      </c>
      <c r="F116" s="85">
        <f>F$256*Population!K$161</f>
        <v>27883.939296092991</v>
      </c>
      <c r="G116" s="85">
        <f>G$256*Population!L$161</f>
        <v>27064.092122830443</v>
      </c>
      <c r="H116" s="85">
        <f>H$256*Population!M$161</f>
        <v>26865.380710659898</v>
      </c>
      <c r="I116" s="85">
        <f>I$256*Population!N$161</f>
        <v>26720.357751277683</v>
      </c>
      <c r="J116" s="85">
        <f>J$256*Population!O$161</f>
        <v>27222.678331090177</v>
      </c>
      <c r="K116" s="85">
        <f>K$256*Population!P$161</f>
        <v>27644.930232558138</v>
      </c>
      <c r="L116" s="85">
        <f>L$256*Population!Q$161</f>
        <v>27513.002680965146</v>
      </c>
      <c r="M116" s="85">
        <f>M$256*Population!R$161</f>
        <v>28156.970491803277</v>
      </c>
      <c r="N116" s="85">
        <f>N$256*Population!S$161</f>
        <v>27961.254980079681</v>
      </c>
      <c r="O116" s="85">
        <f>O$256*Population!T$161</f>
        <v>27009.39393939394</v>
      </c>
      <c r="P116" s="85">
        <f>P$256*Population!U$161</f>
        <v>26247.267565649396</v>
      </c>
      <c r="Q116" s="85">
        <f>Q$256*Population!V$161</f>
        <v>25270.569948186527</v>
      </c>
      <c r="R116" s="85">
        <f>R$256*Population!W$161</f>
        <v>24670.053557765877</v>
      </c>
      <c r="S116" s="85">
        <f>S$256*Population!X$161</f>
        <v>24627.022171253822</v>
      </c>
      <c r="T116" s="85">
        <f>T$256*Population!Y$161</f>
        <v>24129.67123287671</v>
      </c>
      <c r="U116" s="85">
        <f>U$256*Population!Z$161</f>
        <v>24800.613496932514</v>
      </c>
      <c r="V116" s="85">
        <f>V$256*Population!AA$161</f>
        <v>25261.335345152773</v>
      </c>
      <c r="W116" s="85">
        <f>W$256*Population!AB$161</f>
        <v>25968.233345601766</v>
      </c>
      <c r="X116" s="85">
        <f>X$256*Population!AC$161</f>
        <v>26253.649289099525</v>
      </c>
      <c r="Y116" s="85">
        <f>Y$256*Population!AD$161</f>
        <v>27293.59633673829</v>
      </c>
      <c r="Z116" s="85">
        <f>Z$256*Population!AE$161</f>
        <v>27777.224347826086</v>
      </c>
      <c r="AA116" s="85">
        <f>AA$256*Population!AF$161</f>
        <v>28249.592326139085</v>
      </c>
      <c r="AB116" s="85">
        <f>AB$256*Population!AG$161</f>
        <v>29483.392916252898</v>
      </c>
      <c r="AC116" s="85">
        <f>AC$256*Population!AH$161</f>
        <v>30893.031269942563</v>
      </c>
      <c r="AD116" s="85">
        <f>AD$256*Population!AI$161</f>
        <v>32392.849740932641</v>
      </c>
      <c r="AE116" s="85">
        <f>AE$256*Population!AJ$161</f>
        <v>34303.234190008661</v>
      </c>
      <c r="AF116" s="85">
        <f>AF$256*Population!AK$161</f>
        <v>36406.633608815428</v>
      </c>
      <c r="AG116" s="85">
        <f>AG$256*Population!AL$161</f>
        <v>38272.203166226915</v>
      </c>
      <c r="AH116" s="85">
        <f>AH$256*Population!AM$161</f>
        <v>38512.641359171757</v>
      </c>
      <c r="AI116" s="85">
        <f>AI$256*Population!AN$161</f>
        <v>38887.518459915613</v>
      </c>
      <c r="AJ116" s="85">
        <f>AJ$256*Population!AO$161</f>
        <v>38318.714550755365</v>
      </c>
      <c r="AK116" s="85">
        <f>AK$256*Population!AP$161</f>
        <v>38477.177461822015</v>
      </c>
      <c r="AL116" s="85">
        <f>AL$256*Population!AQ$161</f>
        <v>38287.856766719327</v>
      </c>
      <c r="AM116" s="85">
        <f>AM$256*Population!AR$161</f>
        <v>36809.78149446992</v>
      </c>
      <c r="AN116" s="85">
        <f>AN$256*Population!AS$161</f>
        <v>35808.674304418986</v>
      </c>
      <c r="AO116" s="85">
        <f>AO$256*Population!AT$161</f>
        <v>34692.348526959424</v>
      </c>
      <c r="AP116" s="85">
        <f>AP$256*Population!AU$161</f>
        <v>34832.792596624931</v>
      </c>
      <c r="AQ116" s="85">
        <f>AQ$256*Population!AV$161</f>
        <v>33588.276246170979</v>
      </c>
      <c r="AR116" s="85">
        <f>AR$256*Population!AW$161</f>
        <v>31990.549738219896</v>
      </c>
      <c r="AS116" s="85">
        <f>AS$256*Population!AX$161</f>
        <v>32027.576633892426</v>
      </c>
      <c r="AT116" s="85">
        <f>AT$256*Population!AY$161</f>
        <v>32479.572649572649</v>
      </c>
      <c r="AU116" s="85">
        <f>AU$256*Population!AZ$161</f>
        <v>32294.279977051061</v>
      </c>
      <c r="AV116" s="85">
        <f>AV$256*Population!BA$161</f>
        <v>32795.56058890147</v>
      </c>
      <c r="AW116" s="85">
        <f>AW$256*Population!BB$161</f>
        <v>34301.791044776117</v>
      </c>
      <c r="AX116" s="85">
        <f>AX$256*Population!BC$161</f>
        <v>35475.951693357834</v>
      </c>
      <c r="AY116" s="85">
        <f>AY$256*Population!BD$161</f>
        <v>35829.276951187676</v>
      </c>
      <c r="AZ116" s="85">
        <f>AZ$256*Population!BE$161</f>
        <v>36008.40625</v>
      </c>
      <c r="BA116" s="85">
        <f>BA$256*Population!BF$161</f>
        <v>35423.864000000001</v>
      </c>
      <c r="BB116" s="85">
        <f>BB$256*Population!BG$161</f>
        <v>35006.4142779881</v>
      </c>
      <c r="BC116" s="85">
        <f>BC$256*Population!BH$161</f>
        <v>34753.168724279836</v>
      </c>
      <c r="BD116" s="85">
        <f>BD$256*Population!BI$161</f>
        <v>34146.647058823532</v>
      </c>
      <c r="BE116" s="85">
        <f>BE$256*Population!BJ$161</f>
        <v>34075.809199318566</v>
      </c>
      <c r="BF116" s="85">
        <f>BF$256*Population!BK$161</f>
        <v>33920.893007582141</v>
      </c>
      <c r="BG116" s="85">
        <f>BG$256*Population!BL$161</f>
        <v>34330.258692628646</v>
      </c>
    </row>
    <row r="117" spans="3:59" x14ac:dyDescent="0.2">
      <c r="C117" s="29">
        <v>52</v>
      </c>
      <c r="F117" s="85">
        <f>F$257*Population!K$162</f>
        <v>28025.919153031762</v>
      </c>
      <c r="G117" s="85">
        <f>G$257*Population!L$162</f>
        <v>27794.902912621361</v>
      </c>
      <c r="H117" s="85">
        <f>H$257*Population!M$162</f>
        <v>26969.617834394907</v>
      </c>
      <c r="I117" s="85">
        <f>I$257*Population!N$162</f>
        <v>26753.302752293577</v>
      </c>
      <c r="J117" s="85">
        <f>J$257*Population!O$162</f>
        <v>26599.206023271734</v>
      </c>
      <c r="K117" s="85">
        <f>K$257*Population!P$162</f>
        <v>27073.885135135133</v>
      </c>
      <c r="L117" s="85">
        <f>L$257*Population!Q$162</f>
        <v>27486.924616410943</v>
      </c>
      <c r="M117" s="85">
        <f>M$257*Population!R$162</f>
        <v>27327.614401076717</v>
      </c>
      <c r="N117" s="85">
        <f>N$257*Population!S$162</f>
        <v>27971.428571428572</v>
      </c>
      <c r="O117" s="85">
        <f>O$257*Population!T$162</f>
        <v>27775.14</v>
      </c>
      <c r="P117" s="85">
        <f>P$257*Population!U$162</f>
        <v>26842.108537849981</v>
      </c>
      <c r="Q117" s="85">
        <f>Q$257*Population!V$162</f>
        <v>26081.168507303173</v>
      </c>
      <c r="R117" s="85">
        <f>R$257*Population!W$162</f>
        <v>25103.759286775632</v>
      </c>
      <c r="S117" s="85">
        <f>S$257*Population!X$162</f>
        <v>24512.791858678956</v>
      </c>
      <c r="T117" s="85">
        <f>T$257*Population!Y$162</f>
        <v>24470.007674597084</v>
      </c>
      <c r="U117" s="85">
        <f>U$257*Population!Z$162</f>
        <v>23991.7721021611</v>
      </c>
      <c r="V117" s="85">
        <f>V$257*Population!AA$162</f>
        <v>24642.154674874953</v>
      </c>
      <c r="W117" s="85">
        <f>W$257*Population!AB$162</f>
        <v>25112.12419538054</v>
      </c>
      <c r="X117" s="85">
        <f>X$257*Population!AC$162</f>
        <v>25818.710749907645</v>
      </c>
      <c r="Y117" s="85">
        <f>Y$257*Population!AD$162</f>
        <v>26094.476956839793</v>
      </c>
      <c r="Z117" s="85">
        <f>Z$257*Population!AE$162</f>
        <v>27143.520678685047</v>
      </c>
      <c r="AA117" s="85">
        <f>AA$257*Population!AF$162</f>
        <v>27615.968586387433</v>
      </c>
      <c r="AB117" s="85">
        <f>AB$257*Population!AG$162</f>
        <v>28078.525773195877</v>
      </c>
      <c r="AC117" s="85">
        <f>AC$257*Population!AH$162</f>
        <v>29322.882763201593</v>
      </c>
      <c r="AD117" s="85">
        <f>AD$257*Population!AI$162</f>
        <v>30708.864000000001</v>
      </c>
      <c r="AE117" s="85">
        <f>AE$257*Population!AJ$162</f>
        <v>32209.318251299297</v>
      </c>
      <c r="AF117" s="85">
        <f>AF$257*Population!AK$162</f>
        <v>34117.286417607873</v>
      </c>
      <c r="AG117" s="85">
        <f>AG$257*Population!AL$162</f>
        <v>36210.033149171271</v>
      </c>
      <c r="AH117" s="85">
        <f>AH$257*Population!AM$162</f>
        <v>38054.537037037036</v>
      </c>
      <c r="AI117" s="85">
        <f>AI$257*Population!AN$162</f>
        <v>38302.129358530743</v>
      </c>
      <c r="AJ117" s="85">
        <f>AJ$257*Population!AO$162</f>
        <v>38666.354744911449</v>
      </c>
      <c r="AK117" s="85">
        <f>AK$257*Population!AP$162</f>
        <v>38109.157587031623</v>
      </c>
      <c r="AL117" s="85">
        <f>AL$257*Population!AQ$162</f>
        <v>38278.136711533385</v>
      </c>
      <c r="AM117" s="85">
        <f>AM$257*Population!AR$162</f>
        <v>38089.530219055159</v>
      </c>
      <c r="AN117" s="85">
        <f>AN$257*Population!AS$162</f>
        <v>36613.620876149274</v>
      </c>
      <c r="AO117" s="85">
        <f>AO$257*Population!AT$162</f>
        <v>35623.811867651079</v>
      </c>
      <c r="AP117" s="85">
        <f>AP$257*Population!AU$162</f>
        <v>34510.975202006128</v>
      </c>
      <c r="AQ117" s="85">
        <f>AQ$257*Population!AV$162</f>
        <v>34653.57708049113</v>
      </c>
      <c r="AR117" s="85">
        <f>AR$257*Population!AW$162</f>
        <v>33410.438180295845</v>
      </c>
      <c r="AS117" s="85">
        <f>AS$257*Population!AX$162</f>
        <v>31832.954214056575</v>
      </c>
      <c r="AT117" s="85">
        <f>AT$257*Population!AY$162</f>
        <v>31870.295652173914</v>
      </c>
      <c r="AU117" s="85">
        <f>AU$257*Population!AZ$162</f>
        <v>32303.155339805828</v>
      </c>
      <c r="AV117" s="85">
        <f>AV$257*Population!BA$162</f>
        <v>32127.929844738355</v>
      </c>
      <c r="AW117" s="85">
        <f>AW$257*Population!BB$162</f>
        <v>32628.958569807037</v>
      </c>
      <c r="AX117" s="85">
        <f>AX$257*Population!BC$162</f>
        <v>34124.558063638833</v>
      </c>
      <c r="AY117" s="85">
        <f>AY$257*Population!BD$162</f>
        <v>35297.298079452776</v>
      </c>
      <c r="AZ117" s="85">
        <f>AZ$257*Population!BE$162</f>
        <v>35650.039236201934</v>
      </c>
      <c r="BA117" s="85">
        <f>BA$257*Population!BF$162</f>
        <v>35839.196242171194</v>
      </c>
      <c r="BB117" s="85">
        <f>BB$257*Population!BG$162</f>
        <v>35253.674505611969</v>
      </c>
      <c r="BC117" s="85">
        <f>BC$257*Population!BH$162</f>
        <v>34846.395663956639</v>
      </c>
      <c r="BD117" s="85">
        <f>BD$257*Population!BI$162</f>
        <v>34582.784496976361</v>
      </c>
      <c r="BE117" s="85">
        <f>BE$257*Population!BJ$162</f>
        <v>33975.863036766765</v>
      </c>
      <c r="BF117" s="85">
        <f>BF$257*Population!BK$162</f>
        <v>33913.079112122934</v>
      </c>
      <c r="BG117" s="85">
        <f>BG$257*Population!BL$162</f>
        <v>33761.193021947103</v>
      </c>
    </row>
    <row r="118" spans="3:59" x14ac:dyDescent="0.2">
      <c r="C118" s="29">
        <v>53</v>
      </c>
      <c r="F118" s="85">
        <f>F$258*Population!K$163</f>
        <v>27965.269881826895</v>
      </c>
      <c r="G118" s="85">
        <f>G$258*Population!L$163</f>
        <v>27899.449983917661</v>
      </c>
      <c r="H118" s="85">
        <f>H$258*Population!M$163</f>
        <v>27691.046473838152</v>
      </c>
      <c r="I118" s="85">
        <f>I$258*Population!N$163</f>
        <v>26847.329966329966</v>
      </c>
      <c r="J118" s="85">
        <f>J$258*Population!O$163</f>
        <v>26621.488054607507</v>
      </c>
      <c r="K118" s="85">
        <f>K$258*Population!P$163</f>
        <v>26450.415807560137</v>
      </c>
      <c r="L118" s="85">
        <f>L$258*Population!Q$163</f>
        <v>26924.781133355955</v>
      </c>
      <c r="M118" s="85">
        <f>M$258*Population!R$163</f>
        <v>27291.430006697923</v>
      </c>
      <c r="N118" s="85">
        <f>N$258*Population!S$163</f>
        <v>27150.945945945947</v>
      </c>
      <c r="O118" s="85">
        <f>O$258*Population!T$163</f>
        <v>27794.610046265698</v>
      </c>
      <c r="P118" s="85">
        <f>P$258*Population!U$163</f>
        <v>27597.740963855424</v>
      </c>
      <c r="Q118" s="85">
        <f>Q$258*Population!V$163</f>
        <v>26665.572519083969</v>
      </c>
      <c r="R118" s="85">
        <f>R$258*Population!W$163</f>
        <v>25923.798283261804</v>
      </c>
      <c r="S118" s="85">
        <f>S$258*Population!X$163</f>
        <v>24956.400596792242</v>
      </c>
      <c r="T118" s="85">
        <f>T$258*Population!Y$163</f>
        <v>24364.236700077101</v>
      </c>
      <c r="U118" s="85">
        <f>U$258*Population!Z$163</f>
        <v>24312.337312283405</v>
      </c>
      <c r="V118" s="85">
        <f>V$258*Population!AA$163</f>
        <v>23824.731861198739</v>
      </c>
      <c r="W118" s="85">
        <f>W$258*Population!AB$163</f>
        <v>24492.885283893396</v>
      </c>
      <c r="X118" s="85">
        <f>X$258*Population!AC$163</f>
        <v>24953.115501519755</v>
      </c>
      <c r="Y118" s="85">
        <f>Y$258*Population!AD$163</f>
        <v>25659.366197183099</v>
      </c>
      <c r="Z118" s="85">
        <f>Z$258*Population!AE$163</f>
        <v>25944.566813509544</v>
      </c>
      <c r="AA118" s="85">
        <f>AA$258*Population!AF$163</f>
        <v>26983.574468085106</v>
      </c>
      <c r="AB118" s="85">
        <f>AB$258*Population!AG$163</f>
        <v>27455.514705882353</v>
      </c>
      <c r="AC118" s="85">
        <f>AC$258*Population!AH$163</f>
        <v>27927.568965517239</v>
      </c>
      <c r="AD118" s="85">
        <f>AD$258*Population!AI$163</f>
        <v>29150.526315789473</v>
      </c>
      <c r="AE118" s="85">
        <f>AE$258*Population!AJ$163</f>
        <v>30545.162118780096</v>
      </c>
      <c r="AF118" s="85">
        <f>AF$258*Population!AK$163</f>
        <v>32034.467954615149</v>
      </c>
      <c r="AG118" s="85">
        <f>AG$258*Population!AL$163</f>
        <v>33922.044728434506</v>
      </c>
      <c r="AH118" s="85">
        <f>AH$258*Population!AM$163</f>
        <v>36013.15789473684</v>
      </c>
      <c r="AI118" s="85">
        <f>AI$258*Population!AN$163</f>
        <v>37854.543766578252</v>
      </c>
      <c r="AJ118" s="85">
        <f>AJ$258*Population!AO$163</f>
        <v>38091.315719242062</v>
      </c>
      <c r="AK118" s="85">
        <f>AK$258*Population!AP$163</f>
        <v>38455.141796978533</v>
      </c>
      <c r="AL118" s="85">
        <f>AL$258*Population!AQ$163</f>
        <v>37919.541699973357</v>
      </c>
      <c r="AM118" s="85">
        <f>AM$258*Population!AR$163</f>
        <v>38068.682191055836</v>
      </c>
      <c r="AN118" s="85">
        <f>AN$258*Population!AS$163</f>
        <v>37879.722222222226</v>
      </c>
      <c r="AO118" s="85">
        <f>AO$258*Population!AT$163</f>
        <v>36426.131743019789</v>
      </c>
      <c r="AP118" s="85">
        <f>AP$258*Population!AU$163</f>
        <v>35440.526315789473</v>
      </c>
      <c r="AQ118" s="85">
        <f>AQ$258*Population!AV$163</f>
        <v>34338.307262569833</v>
      </c>
      <c r="AR118" s="85">
        <f>AR$258*Population!AW$163</f>
        <v>34472.546498905911</v>
      </c>
      <c r="AS118" s="85">
        <f>AS$258*Population!AX$163</f>
        <v>33241.662003357582</v>
      </c>
      <c r="AT118" s="85">
        <f>AT$258*Population!AY$163</f>
        <v>31664.425606547793</v>
      </c>
      <c r="AU118" s="85">
        <f>AU$258*Population!AZ$163</f>
        <v>31702.428820453228</v>
      </c>
      <c r="AV118" s="85">
        <f>AV$258*Population!BA$163</f>
        <v>32145.729822552948</v>
      </c>
      <c r="AW118" s="85">
        <f>AW$258*Population!BB$163</f>
        <v>31970.305475504323</v>
      </c>
      <c r="AX118" s="85">
        <f>AX$258*Population!BC$163</f>
        <v>32460.765073947667</v>
      </c>
      <c r="AY118" s="85">
        <f>AY$258*Population!BD$163</f>
        <v>33956.042518397386</v>
      </c>
      <c r="AZ118" s="85">
        <f>AZ$258*Population!BE$163</f>
        <v>35128.687055101502</v>
      </c>
      <c r="BA118" s="85">
        <f>BA$258*Population!BF$163</f>
        <v>35480.885976408907</v>
      </c>
      <c r="BB118" s="85">
        <f>BB$258*Population!BG$163</f>
        <v>35659.273012552301</v>
      </c>
      <c r="BC118" s="85">
        <f>BC$258*Population!BH$163</f>
        <v>35083.184252811996</v>
      </c>
      <c r="BD118" s="85">
        <f>BD$258*Population!BI$163</f>
        <v>34684.513851167845</v>
      </c>
      <c r="BE118" s="85">
        <f>BE$258*Population!BJ$163</f>
        <v>34421.641873278233</v>
      </c>
      <c r="BF118" s="85">
        <f>BF$258*Population!BK$163</f>
        <v>33813.779527559054</v>
      </c>
      <c r="BG118" s="85">
        <f>BG$258*Population!BL$163</f>
        <v>33760.119760479043</v>
      </c>
    </row>
    <row r="119" spans="3:59" x14ac:dyDescent="0.2">
      <c r="C119" s="29">
        <v>54</v>
      </c>
      <c r="F119" s="85">
        <f>F$259*Population!K$164</f>
        <v>27150</v>
      </c>
      <c r="G119" s="85">
        <f>G$259*Population!L$164</f>
        <v>27816.704035874442</v>
      </c>
      <c r="H119" s="85">
        <f>H$259*Population!M$164</f>
        <v>27764.807754442649</v>
      </c>
      <c r="I119" s="85">
        <f>I$259*Population!N$164</f>
        <v>27519.203655352481</v>
      </c>
      <c r="J119" s="85">
        <f>J$259*Population!O$164</f>
        <v>26676.03652350355</v>
      </c>
      <c r="K119" s="85">
        <f>K$259*Population!P$164</f>
        <v>26450.761055879328</v>
      </c>
      <c r="L119" s="85">
        <f>L$259*Population!Q$164</f>
        <v>26261.659765355416</v>
      </c>
      <c r="M119" s="85">
        <f>M$259*Population!R$164</f>
        <v>26708.688245315163</v>
      </c>
      <c r="N119" s="85">
        <f>N$259*Population!S$164</f>
        <v>27084.132481506389</v>
      </c>
      <c r="O119" s="85">
        <f>O$259*Population!T$164</f>
        <v>26953.443012211668</v>
      </c>
      <c r="P119" s="85">
        <f>P$259*Population!U$164</f>
        <v>27586.652289316524</v>
      </c>
      <c r="Q119" s="85">
        <f>Q$259*Population!V$164</f>
        <v>27399.059455828017</v>
      </c>
      <c r="R119" s="85">
        <f>R$259*Population!W$164</f>
        <v>26476.990595611285</v>
      </c>
      <c r="S119" s="85">
        <f>S$259*Population!X$164</f>
        <v>25725.771715721465</v>
      </c>
      <c r="T119" s="85">
        <f>T$259*Population!Y$164</f>
        <v>24777.139648071883</v>
      </c>
      <c r="U119" s="85">
        <f>U$259*Population!Z$164</f>
        <v>24194.338235294115</v>
      </c>
      <c r="V119" s="85">
        <f>V$259*Population!AA$164</f>
        <v>24142.775415539236</v>
      </c>
      <c r="W119" s="85">
        <f>W$259*Population!AB$164</f>
        <v>23674.152810768013</v>
      </c>
      <c r="X119" s="85">
        <f>X$259*Population!AC$164</f>
        <v>24323.271317829458</v>
      </c>
      <c r="Y119" s="85">
        <f>Y$259*Population!AD$164</f>
        <v>24783.225314525353</v>
      </c>
      <c r="Z119" s="85">
        <f>Z$259*Population!AE$164</f>
        <v>25487.942708333332</v>
      </c>
      <c r="AA119" s="85">
        <f>AA$259*Population!AF$164</f>
        <v>25772.43093922652</v>
      </c>
      <c r="AB119" s="85">
        <f>AB$259*Population!AG$164</f>
        <v>26800.149413020277</v>
      </c>
      <c r="AC119" s="85">
        <f>AC$259*Population!AH$164</f>
        <v>27271.42957499122</v>
      </c>
      <c r="AD119" s="85">
        <f>AD$259*Population!AI$164</f>
        <v>27743.286060186787</v>
      </c>
      <c r="AE119" s="85">
        <f>AE$259*Population!AJ$164</f>
        <v>28954.199799532242</v>
      </c>
      <c r="AF119" s="85">
        <f>AF$259*Population!AK$164</f>
        <v>30338.44172569221</v>
      </c>
      <c r="AG119" s="85">
        <f>AG$259*Population!AL$164</f>
        <v>31816.512915129151</v>
      </c>
      <c r="AH119" s="85">
        <f>AH$259*Population!AM$164</f>
        <v>33703.558532323819</v>
      </c>
      <c r="AI119" s="85">
        <f>AI$259*Population!AN$164</f>
        <v>35770.327686753684</v>
      </c>
      <c r="AJ119" s="85">
        <f>AJ$259*Population!AO$164</f>
        <v>37601.574049454932</v>
      </c>
      <c r="AK119" s="85">
        <f>AK$259*Population!AP$164</f>
        <v>37856.222578919209</v>
      </c>
      <c r="AL119" s="85">
        <f>AL$259*Population!AQ$164</f>
        <v>38208.156216790645</v>
      </c>
      <c r="AM119" s="85">
        <f>AM$259*Population!AR$164</f>
        <v>37674.294871794868</v>
      </c>
      <c r="AN119" s="85">
        <f>AN$259*Population!AS$164</f>
        <v>37844.164456233419</v>
      </c>
      <c r="AO119" s="85">
        <f>AO$259*Population!AT$164</f>
        <v>37647.183770883057</v>
      </c>
      <c r="AP119" s="85">
        <f>AP$259*Population!AU$164</f>
        <v>36205.141304347824</v>
      </c>
      <c r="AQ119" s="85">
        <f>AQ$259*Population!AV$164</f>
        <v>35212.747252747249</v>
      </c>
      <c r="AR119" s="85">
        <f>AR$259*Population!AW$164</f>
        <v>34132.474804031357</v>
      </c>
      <c r="AS119" s="85">
        <f>AS$259*Population!AX$164</f>
        <v>34269.605263157893</v>
      </c>
      <c r="AT119" s="85">
        <f>AT$259*Population!AY$164</f>
        <v>33041.01233875491</v>
      </c>
      <c r="AU119" s="85">
        <f>AU$259*Population!AZ$164</f>
        <v>31485.215353061823</v>
      </c>
      <c r="AV119" s="85">
        <f>AV$259*Population!BA$164</f>
        <v>31513.628421665693</v>
      </c>
      <c r="AW119" s="85">
        <f>AW$259*Population!BB$164</f>
        <v>31957.131382673553</v>
      </c>
      <c r="AX119" s="85">
        <f>AX$259*Population!BC$164</f>
        <v>31790.358174465626</v>
      </c>
      <c r="AY119" s="85">
        <f>AY$259*Population!BD$164</f>
        <v>32271.296665716727</v>
      </c>
      <c r="AZ119" s="85">
        <f>AZ$259*Population!BE$164</f>
        <v>33757.29109776079</v>
      </c>
      <c r="BA119" s="85">
        <f>BA$259*Population!BF$164</f>
        <v>34928.692206076623</v>
      </c>
      <c r="BB119" s="85">
        <f>BB$259*Population!BG$164</f>
        <v>35270.955882352937</v>
      </c>
      <c r="BC119" s="85">
        <f>BC$259*Population!BH$164</f>
        <v>35448.87608069164</v>
      </c>
      <c r="BD119" s="85">
        <f>BD$259*Population!BI$164</f>
        <v>34880.397102226991</v>
      </c>
      <c r="BE119" s="85">
        <f>BE$259*Population!BJ$164</f>
        <v>34491.776870748297</v>
      </c>
      <c r="BF119" s="85">
        <f>BF$259*Population!BK$164</f>
        <v>34227.833287330941</v>
      </c>
      <c r="BG119" s="85">
        <f>BG$259*Population!BL$164</f>
        <v>33619.45054945055</v>
      </c>
    </row>
    <row r="120" spans="3:59" x14ac:dyDescent="0.2">
      <c r="C120" s="29">
        <v>55</v>
      </c>
      <c r="F120" s="85">
        <f>F$260*Population!K$165</f>
        <v>25986.525885558582</v>
      </c>
      <c r="G120" s="85">
        <f>G$260*Population!L$165</f>
        <v>26898.842486024336</v>
      </c>
      <c r="H120" s="85">
        <f>H$260*Population!M$165</f>
        <v>27612.625482625484</v>
      </c>
      <c r="I120" s="85">
        <f>I$260*Population!N$165</f>
        <v>27532.933160285527</v>
      </c>
      <c r="J120" s="85">
        <f>J$260*Population!O$165</f>
        <v>27306.019672131148</v>
      </c>
      <c r="K120" s="85">
        <f>K$260*Population!P$165</f>
        <v>26445.419354838712</v>
      </c>
      <c r="L120" s="85">
        <f>L$260*Population!Q$165</f>
        <v>26211.759036144576</v>
      </c>
      <c r="M120" s="85">
        <f>M$260*Population!R$165</f>
        <v>26013.835758835758</v>
      </c>
      <c r="N120" s="85">
        <f>N$260*Population!S$165</f>
        <v>26460.212110845023</v>
      </c>
      <c r="O120" s="85">
        <f>O$260*Population!T$165</f>
        <v>26835.46590141796</v>
      </c>
      <c r="P120" s="85">
        <f>P$260*Population!U$165</f>
        <v>26695.073203949607</v>
      </c>
      <c r="Q120" s="85">
        <f>Q$260*Population!V$165</f>
        <v>27328.021978021978</v>
      </c>
      <c r="R120" s="85">
        <f>R$260*Population!W$165</f>
        <v>27139.379635873229</v>
      </c>
      <c r="S120" s="85">
        <f>S$260*Population!X$165</f>
        <v>26226.994058021672</v>
      </c>
      <c r="T120" s="85">
        <f>T$260*Population!Y$165</f>
        <v>25494.726224783863</v>
      </c>
      <c r="U120" s="85">
        <f>U$260*Population!Z$165</f>
        <v>24546.510142749812</v>
      </c>
      <c r="V120" s="85">
        <f>V$260*Population!AA$165</f>
        <v>23972.609708737862</v>
      </c>
      <c r="W120" s="85">
        <f>W$260*Population!AB$165</f>
        <v>23930.384018619086</v>
      </c>
      <c r="X120" s="85">
        <f>X$260*Population!AC$165</f>
        <v>23462.287529785543</v>
      </c>
      <c r="Y120" s="85">
        <f>Y$260*Population!AD$165</f>
        <v>24109.183197199534</v>
      </c>
      <c r="Z120" s="85">
        <f>Z$260*Population!AE$165</f>
        <v>24568.741392501914</v>
      </c>
      <c r="AA120" s="85">
        <f>AA$260*Population!AF$165</f>
        <v>25263.440298507463</v>
      </c>
      <c r="AB120" s="85">
        <f>AB$260*Population!AG$165</f>
        <v>25547.72811230144</v>
      </c>
      <c r="AC120" s="85">
        <f>AC$260*Population!AH$165</f>
        <v>26573.383297644541</v>
      </c>
      <c r="AD120" s="85">
        <f>AD$260*Population!AI$165</f>
        <v>27043.801973220576</v>
      </c>
      <c r="AE120" s="85">
        <f>AE$260*Population!AJ$165</f>
        <v>27505.858480749219</v>
      </c>
      <c r="AF120" s="85">
        <f>AF$260*Population!AK$165</f>
        <v>28715.149078726969</v>
      </c>
      <c r="AG120" s="85">
        <f>AG$260*Population!AL$165</f>
        <v>30086.56229825694</v>
      </c>
      <c r="AH120" s="85">
        <f>AH$260*Population!AM$165</f>
        <v>31553.304562268804</v>
      </c>
      <c r="AI120" s="85">
        <f>AI$260*Population!AN$165</f>
        <v>33427.351824817517</v>
      </c>
      <c r="AJ120" s="85">
        <f>AJ$260*Population!AO$165</f>
        <v>35491.269487750556</v>
      </c>
      <c r="AK120" s="85">
        <f>AK$260*Population!AP$165</f>
        <v>37298.568763326228</v>
      </c>
      <c r="AL120" s="85">
        <f>AL$260*Population!AQ$165</f>
        <v>37541.061946902657</v>
      </c>
      <c r="AM120" s="85">
        <f>AM$260*Population!AR$165</f>
        <v>37912.543275632488</v>
      </c>
      <c r="AN120" s="85">
        <f>AN$260*Population!AS$165</f>
        <v>37370.934154175586</v>
      </c>
      <c r="AO120" s="85">
        <f>AO$260*Population!AT$165</f>
        <v>37530.223285486441</v>
      </c>
      <c r="AP120" s="85">
        <f>AP$260*Population!AU$165</f>
        <v>37345.862343874564</v>
      </c>
      <c r="AQ120" s="85">
        <f>AQ$260*Population!AV$165</f>
        <v>35907.549019607839</v>
      </c>
      <c r="AR120" s="85">
        <f>AR$260*Population!AW$165</f>
        <v>34939.074889867836</v>
      </c>
      <c r="AS120" s="85">
        <f>AS$260*Population!AX$165</f>
        <v>33861.756453423121</v>
      </c>
      <c r="AT120" s="85">
        <f>AT$260*Population!AY$165</f>
        <v>33993.559461686353</v>
      </c>
      <c r="AU120" s="85">
        <f>AU$260*Population!AZ$165</f>
        <v>32778.670974992972</v>
      </c>
      <c r="AV120" s="85">
        <f>AV$260*Population!BA$165</f>
        <v>31243.088667058135</v>
      </c>
      <c r="AW120" s="85">
        <f>AW$260*Population!BB$165</f>
        <v>31272.570761599069</v>
      </c>
      <c r="AX120" s="85">
        <f>AX$260*Population!BC$165</f>
        <v>31696.942528735632</v>
      </c>
      <c r="AY120" s="85">
        <f>AY$260*Population!BD$165</f>
        <v>31549.175108538351</v>
      </c>
      <c r="AZ120" s="85">
        <f>AZ$260*Population!BE$165</f>
        <v>32029.720159908622</v>
      </c>
      <c r="BA120" s="85">
        <f>BA$260*Population!BF$165</f>
        <v>33503.392612859097</v>
      </c>
      <c r="BB120" s="85">
        <f>BB$260*Population!BG$165</f>
        <v>34665.749073583909</v>
      </c>
      <c r="BC120" s="85">
        <f>BC$260*Population!BH$165</f>
        <v>35007.100762957118</v>
      </c>
      <c r="BD120" s="85">
        <f>BD$260*Population!BI$165</f>
        <v>35193.228346456694</v>
      </c>
      <c r="BE120" s="85">
        <f>BE$260*Population!BJ$165</f>
        <v>34624.133297500674</v>
      </c>
      <c r="BF120" s="85">
        <f>BF$260*Population!BK$165</f>
        <v>34226.012537476148</v>
      </c>
      <c r="BG120" s="85">
        <f>BG$260*Population!BL$165</f>
        <v>33969.355819740114</v>
      </c>
    </row>
    <row r="121" spans="3:59" x14ac:dyDescent="0.2">
      <c r="C121" s="29">
        <v>56</v>
      </c>
      <c r="F121" s="85">
        <f>F$261*Population!K$166</f>
        <v>25294.941176470587</v>
      </c>
      <c r="G121" s="85">
        <f>G$261*Population!L$166</f>
        <v>25765.199863341302</v>
      </c>
      <c r="H121" s="85">
        <f>H$261*Population!M$166</f>
        <v>26646.449801849405</v>
      </c>
      <c r="I121" s="85">
        <f>I$261*Population!N$166</f>
        <v>27360.533117932151</v>
      </c>
      <c r="J121" s="85">
        <f>J$261*Population!O$166</f>
        <v>27270.863473444118</v>
      </c>
      <c r="K121" s="85">
        <f>K$261*Population!P$166</f>
        <v>27046.12244897959</v>
      </c>
      <c r="L121" s="85">
        <f>L$261*Population!Q$166</f>
        <v>26205.286493860847</v>
      </c>
      <c r="M121" s="85">
        <f>M$261*Population!R$166</f>
        <v>25954.374568071875</v>
      </c>
      <c r="N121" s="85">
        <f>N$261*Population!S$166</f>
        <v>25775.713291579679</v>
      </c>
      <c r="O121" s="85">
        <f>O$261*Population!T$166</f>
        <v>26221.256868131866</v>
      </c>
      <c r="P121" s="85">
        <f>P$261*Population!U$166</f>
        <v>26597.800745509994</v>
      </c>
      <c r="Q121" s="85">
        <f>Q$261*Population!V$166</f>
        <v>26465.659603554341</v>
      </c>
      <c r="R121" s="85">
        <f>R$261*Population!W$166</f>
        <v>27098.382352941175</v>
      </c>
      <c r="S121" s="85">
        <f>S$261*Population!X$166</f>
        <v>26929.201623815967</v>
      </c>
      <c r="T121" s="85">
        <f>T$261*Population!Y$166</f>
        <v>26026.888810943528</v>
      </c>
      <c r="U121" s="85">
        <f>U$261*Population!Z$166</f>
        <v>25304.757772957339</v>
      </c>
      <c r="V121" s="85">
        <f>V$261*Population!AA$166</f>
        <v>24366.015831134566</v>
      </c>
      <c r="W121" s="85">
        <f>W$261*Population!AB$166</f>
        <v>23792.138683287885</v>
      </c>
      <c r="X121" s="85">
        <f>X$261*Population!AC$166</f>
        <v>23760.778210116732</v>
      </c>
      <c r="Y121" s="85">
        <f>Y$261*Population!AD$166</f>
        <v>23300.996015936256</v>
      </c>
      <c r="Z121" s="85">
        <f>Z$261*Population!AE$166</f>
        <v>23947.101053452985</v>
      </c>
      <c r="AA121" s="85">
        <f>AA$261*Population!AF$166</f>
        <v>24406.369915579435</v>
      </c>
      <c r="AB121" s="85">
        <f>AB$261*Population!AG$166</f>
        <v>25100.673652694608</v>
      </c>
      <c r="AC121" s="85">
        <f>AC$261*Population!AH$166</f>
        <v>25384.824008892181</v>
      </c>
      <c r="AD121" s="85">
        <f>AD$261*Population!AI$166</f>
        <v>26401.066571224052</v>
      </c>
      <c r="AE121" s="85">
        <f>AE$261*Population!AJ$166</f>
        <v>26879.681978798588</v>
      </c>
      <c r="AF121" s="85">
        <f>AF$261*Population!AK$166</f>
        <v>27341.599999999999</v>
      </c>
      <c r="AG121" s="85">
        <f>AG$261*Population!AL$166</f>
        <v>28538.918374202218</v>
      </c>
      <c r="AH121" s="85">
        <f>AH$261*Population!AM$166</f>
        <v>29898</v>
      </c>
      <c r="AI121" s="85">
        <f>AI$261*Population!AN$166</f>
        <v>31364.508652657605</v>
      </c>
      <c r="AJ121" s="85">
        <f>AJ$261*Population!AO$166</f>
        <v>33229.242025168278</v>
      </c>
      <c r="AK121" s="85">
        <f>AK$261*Population!AP$166</f>
        <v>35268.909040178572</v>
      </c>
      <c r="AL121" s="85">
        <f>AL$261*Population!AQ$166</f>
        <v>37076.200908362276</v>
      </c>
      <c r="AM121" s="85">
        <f>AM$261*Population!AR$166</f>
        <v>37315.329212577264</v>
      </c>
      <c r="AN121" s="85">
        <f>AN$261*Population!AS$166</f>
        <v>37686.285028022423</v>
      </c>
      <c r="AO121" s="85">
        <f>AO$261*Population!AT$166</f>
        <v>37146.351931330471</v>
      </c>
      <c r="AP121" s="85">
        <f>AP$261*Population!AU$166</f>
        <v>37317.421417155034</v>
      </c>
      <c r="AQ121" s="85">
        <f>AQ$261*Population!AV$166</f>
        <v>37131.504660452731</v>
      </c>
      <c r="AR121" s="85">
        <f>AR$261*Population!AW$166</f>
        <v>35708.185538881313</v>
      </c>
      <c r="AS121" s="85">
        <f>AS$261*Population!AX$166</f>
        <v>34751.199999999997</v>
      </c>
      <c r="AT121" s="85">
        <f>AT$261*Population!AY$166</f>
        <v>33677.169758291173</v>
      </c>
      <c r="AU121" s="85">
        <f>AU$261*Population!AZ$166</f>
        <v>33810.445789763347</v>
      </c>
      <c r="AV121" s="85">
        <f>AV$261*Population!BA$166</f>
        <v>32606.503378378377</v>
      </c>
      <c r="AW121" s="85">
        <f>AW$261*Population!BB$166</f>
        <v>31072.799999999999</v>
      </c>
      <c r="AX121" s="85">
        <f>AX$261*Population!BC$166</f>
        <v>31113.373282665889</v>
      </c>
      <c r="AY121" s="85">
        <f>AY$261*Population!BD$166</f>
        <v>31547.042902389865</v>
      </c>
      <c r="AZ121" s="85">
        <f>AZ$261*Population!BE$166</f>
        <v>31389.898521310526</v>
      </c>
      <c r="BA121" s="85">
        <f>BA$261*Population!BF$166</f>
        <v>31859.828375286041</v>
      </c>
      <c r="BB121" s="85">
        <f>BB$261*Population!BG$166</f>
        <v>33333.154288846257</v>
      </c>
      <c r="BC121" s="85">
        <f>BC$261*Population!BH$166</f>
        <v>34485.047720042421</v>
      </c>
      <c r="BD121" s="85">
        <f>BD$261*Population!BI$166</f>
        <v>34834.571805006584</v>
      </c>
      <c r="BE121" s="85">
        <f>BE$261*Population!BJ$166</f>
        <v>35011.419558359623</v>
      </c>
      <c r="BF121" s="85">
        <f>BF$261*Population!BK$166</f>
        <v>34441.092866756393</v>
      </c>
      <c r="BG121" s="85">
        <f>BG$261*Population!BL$166</f>
        <v>34052.620087336247</v>
      </c>
    </row>
    <row r="122" spans="3:59" x14ac:dyDescent="0.2">
      <c r="C122" s="29">
        <v>57</v>
      </c>
      <c r="F122" s="85">
        <f>F$262*Population!K$167</f>
        <v>23763.962057643195</v>
      </c>
      <c r="G122" s="85">
        <f>G$262*Population!L$167</f>
        <v>25064.751822283928</v>
      </c>
      <c r="H122" s="85">
        <f>H$262*Population!M$167</f>
        <v>25521.235415236788</v>
      </c>
      <c r="I122" s="85">
        <f>I$262*Population!N$167</f>
        <v>26403.996683250414</v>
      </c>
      <c r="J122" s="85">
        <f>J$262*Population!O$167</f>
        <v>27108.572355613236</v>
      </c>
      <c r="K122" s="85">
        <f>K$262*Population!P$167</f>
        <v>27039.558246073299</v>
      </c>
      <c r="L122" s="85">
        <f>L$262*Population!Q$167</f>
        <v>26798.453403833446</v>
      </c>
      <c r="M122" s="85">
        <f>M$262*Population!R$167</f>
        <v>25968.490243067441</v>
      </c>
      <c r="N122" s="85">
        <f>N$262*Population!S$167</f>
        <v>25727.256330211585</v>
      </c>
      <c r="O122" s="85">
        <f>O$262*Population!T$167</f>
        <v>25568.882681564246</v>
      </c>
      <c r="P122" s="85">
        <f>P$262*Population!U$167</f>
        <v>26013.886974500343</v>
      </c>
      <c r="Q122" s="85">
        <f>Q$262*Population!V$167</f>
        <v>26390.343420605237</v>
      </c>
      <c r="R122" s="85">
        <f>R$262*Population!W$167</f>
        <v>26287.037037037036</v>
      </c>
      <c r="S122" s="85">
        <f>S$262*Population!X$167</f>
        <v>26929.919517102619</v>
      </c>
      <c r="T122" s="85">
        <f>T$262*Population!Y$167</f>
        <v>26751.344195519348</v>
      </c>
      <c r="U122" s="85">
        <f>U$262*Population!Z$167</f>
        <v>25858.849401829699</v>
      </c>
      <c r="V122" s="85">
        <f>V$262*Population!AA$167</f>
        <v>25156.979695431473</v>
      </c>
      <c r="W122" s="85">
        <f>W$262*Population!AB$167</f>
        <v>24228.249527410208</v>
      </c>
      <c r="X122" s="85">
        <f>X$262*Population!AC$167</f>
        <v>23672.856584603363</v>
      </c>
      <c r="Y122" s="85">
        <f>Y$262*Population!AD$167</f>
        <v>23641.725214676033</v>
      </c>
      <c r="Z122" s="85">
        <f>Z$262*Population!AE$167</f>
        <v>23192.158273381294</v>
      </c>
      <c r="AA122" s="85">
        <f>AA$262*Population!AF$167</f>
        <v>23839.119718309859</v>
      </c>
      <c r="AB122" s="85">
        <f>AB$262*Population!AG$167</f>
        <v>24298.22624086187</v>
      </c>
      <c r="AC122" s="85">
        <f>AC$262*Population!AH$167</f>
        <v>25001.076923076922</v>
      </c>
      <c r="AD122" s="85">
        <f>AD$262*Population!AI$167</f>
        <v>25276.381872213966</v>
      </c>
      <c r="AE122" s="85">
        <f>AE$262*Population!AJ$167</f>
        <v>26301.076426264801</v>
      </c>
      <c r="AF122" s="85">
        <f>AF$262*Population!AK$167</f>
        <v>26761.072946175638</v>
      </c>
      <c r="AG122" s="85">
        <f>AG$262*Population!AL$167</f>
        <v>27241.171548117152</v>
      </c>
      <c r="AH122" s="85">
        <f>AH$262*Population!AM$167</f>
        <v>28429.090909090908</v>
      </c>
      <c r="AI122" s="85">
        <f>AI$262*Population!AN$167</f>
        <v>29787.463509568603</v>
      </c>
      <c r="AJ122" s="85">
        <f>AJ$262*Population!AO$167</f>
        <v>31253.868070610097</v>
      </c>
      <c r="AK122" s="85">
        <f>AK$262*Population!AP$167</f>
        <v>33107.319648093842</v>
      </c>
      <c r="AL122" s="85">
        <f>AL$262*Population!AQ$167</f>
        <v>35155.746644295301</v>
      </c>
      <c r="AM122" s="85">
        <f>AM$262*Population!AR$167</f>
        <v>36941.410599571733</v>
      </c>
      <c r="AN122" s="85">
        <f>AN$262*Population!AS$167</f>
        <v>37190.683898761446</v>
      </c>
      <c r="AO122" s="85">
        <f>AO$262*Population!AT$167</f>
        <v>37561.382352941175</v>
      </c>
      <c r="AP122" s="85">
        <f>AP$262*Population!AU$167</f>
        <v>37033.609244826665</v>
      </c>
      <c r="AQ122" s="85">
        <f>AQ$262*Population!AV$167</f>
        <v>37192.449306296694</v>
      </c>
      <c r="AR122" s="85">
        <f>AR$262*Population!AW$167</f>
        <v>37028.140341515471</v>
      </c>
      <c r="AS122" s="85">
        <f>AS$262*Population!AX$167</f>
        <v>35605.959540732641</v>
      </c>
      <c r="AT122" s="85">
        <f>AT$262*Population!AY$167</f>
        <v>34640.624481901075</v>
      </c>
      <c r="AU122" s="85">
        <f>AU$262*Population!AZ$167</f>
        <v>33567.657657657655</v>
      </c>
      <c r="AV122" s="85">
        <f>AV$262*Population!BA$167</f>
        <v>33711.135611907383</v>
      </c>
      <c r="AW122" s="85">
        <f>AW$262*Population!BB$167</f>
        <v>32509.563010995207</v>
      </c>
      <c r="AX122" s="85">
        <f>AX$262*Population!BC$167</f>
        <v>30986.59499263623</v>
      </c>
      <c r="AY122" s="85">
        <f>AY$262*Population!BD$167</f>
        <v>31017.175058548008</v>
      </c>
      <c r="AZ122" s="85">
        <f>AZ$262*Population!BE$167</f>
        <v>31459.731833910035</v>
      </c>
      <c r="BA122" s="85">
        <f>BA$262*Population!BF$167</f>
        <v>31293.352685050795</v>
      </c>
      <c r="BB122" s="85">
        <f>BB$262*Population!BG$167</f>
        <v>31782.58378688055</v>
      </c>
      <c r="BC122" s="85">
        <f>BC$262*Population!BH$167</f>
        <v>33236.59165751921</v>
      </c>
      <c r="BD122" s="85">
        <f>BD$262*Population!BI$167</f>
        <v>34397.228563843906</v>
      </c>
      <c r="BE122" s="85">
        <f>BE$262*Population!BJ$167</f>
        <v>34737.646437994721</v>
      </c>
      <c r="BF122" s="85">
        <f>BF$262*Population!BK$167</f>
        <v>34913.873684210528</v>
      </c>
      <c r="BG122" s="85">
        <f>BG$262*Population!BL$167</f>
        <v>34353.419563459982</v>
      </c>
    </row>
    <row r="123" spans="3:59" x14ac:dyDescent="0.2">
      <c r="C123" s="29">
        <v>58</v>
      </c>
      <c r="F123" s="85">
        <f>F$263*Population!K$168</f>
        <v>23358.624725676666</v>
      </c>
      <c r="G123" s="85">
        <f>G$263*Population!L$168</f>
        <v>23424.268471104606</v>
      </c>
      <c r="H123" s="85">
        <f>H$263*Population!M$168</f>
        <v>24760.237016382012</v>
      </c>
      <c r="I123" s="85">
        <f>I$263*Population!N$168</f>
        <v>25225.120606478293</v>
      </c>
      <c r="J123" s="85">
        <f>J$263*Population!O$168</f>
        <v>26099.716855429717</v>
      </c>
      <c r="K123" s="85">
        <f>K$263*Population!P$168</f>
        <v>26787.517915309447</v>
      </c>
      <c r="L123" s="85">
        <f>L$263*Population!Q$168</f>
        <v>26709.99014778325</v>
      </c>
      <c r="M123" s="85">
        <f>M$263*Population!R$168</f>
        <v>26497.903118779032</v>
      </c>
      <c r="N123" s="85">
        <f>N$263*Population!S$168</f>
        <v>25680.144280316043</v>
      </c>
      <c r="O123" s="85">
        <f>O$263*Population!T$168</f>
        <v>25457.055342847198</v>
      </c>
      <c r="P123" s="85">
        <f>P$263*Population!U$168</f>
        <v>25308.983882270495</v>
      </c>
      <c r="Q123" s="85">
        <f>Q$263*Population!V$168</f>
        <v>25754.830567081604</v>
      </c>
      <c r="R123" s="85">
        <f>R$263*Population!W$168</f>
        <v>26150.126236779255</v>
      </c>
      <c r="S123" s="85">
        <f>S$263*Population!X$168</f>
        <v>26047.471620227036</v>
      </c>
      <c r="T123" s="85">
        <f>T$263*Population!Y$168</f>
        <v>26690.131180625631</v>
      </c>
      <c r="U123" s="85">
        <f>U$263*Population!Z$168</f>
        <v>26529.642492339121</v>
      </c>
      <c r="V123" s="85">
        <f>V$263*Population!AA$168</f>
        <v>25667.660550458717</v>
      </c>
      <c r="W123" s="85">
        <f>W$263*Population!AB$168</f>
        <v>24965.516363636365</v>
      </c>
      <c r="X123" s="85">
        <f>X$263*Population!AC$168</f>
        <v>24047.945413191814</v>
      </c>
      <c r="Y123" s="85">
        <f>Y$263*Population!AD$168</f>
        <v>23510.489811912226</v>
      </c>
      <c r="Z123" s="85">
        <f>Z$263*Population!AE$168</f>
        <v>23481.083724569638</v>
      </c>
      <c r="AA123" s="85">
        <f>AA$263*Population!AF$168</f>
        <v>23041.538461538461</v>
      </c>
      <c r="AB123" s="85">
        <f>AB$263*Population!AG$168</f>
        <v>23696.501960784313</v>
      </c>
      <c r="AC123" s="85">
        <f>AC$263*Population!AH$168</f>
        <v>24155.333590435788</v>
      </c>
      <c r="AD123" s="85">
        <f>AD$263*Population!AI$168</f>
        <v>24849.040992854454</v>
      </c>
      <c r="AE123" s="85">
        <f>AE$263*Population!AJ$168</f>
        <v>25132.985852568876</v>
      </c>
      <c r="AF123" s="85">
        <f>AF$263*Population!AK$168</f>
        <v>26138.964773544212</v>
      </c>
      <c r="AG123" s="85">
        <f>AG$263*Population!AL$168</f>
        <v>26616.536550745212</v>
      </c>
      <c r="AH123" s="85">
        <f>AH$263*Population!AM$168</f>
        <v>27078.239608801956</v>
      </c>
      <c r="AI123" s="85">
        <f>AI$263*Population!AN$168</f>
        <v>28283.340080971659</v>
      </c>
      <c r="AJ123" s="85">
        <f>AJ$263*Population!AO$168</f>
        <v>29620.747481312967</v>
      </c>
      <c r="AK123" s="85">
        <f>AK$263*Population!AP$168</f>
        <v>31075.923053056162</v>
      </c>
      <c r="AL123" s="85">
        <f>AL$263*Population!AQ$168</f>
        <v>32928.924794359576</v>
      </c>
      <c r="AM123" s="85">
        <f>AM$263*Population!AR$168</f>
        <v>34955.515406162463</v>
      </c>
      <c r="AN123" s="85">
        <f>AN$263*Population!AS$168</f>
        <v>36748.938337801606</v>
      </c>
      <c r="AO123" s="85">
        <f>AO$263*Population!AT$168</f>
        <v>36996.11650485437</v>
      </c>
      <c r="AP123" s="85">
        <f>AP$263*Population!AU$168</f>
        <v>37366.331012319228</v>
      </c>
      <c r="AQ123" s="85">
        <f>AQ$263*Population!AV$168</f>
        <v>36848.86137281292</v>
      </c>
      <c r="AR123" s="85">
        <f>AR$263*Population!AW$168</f>
        <v>36999.412079102083</v>
      </c>
      <c r="AS123" s="85">
        <f>AS$263*Population!AX$168</f>
        <v>36834.798290141596</v>
      </c>
      <c r="AT123" s="85">
        <f>AT$263*Population!AY$168</f>
        <v>35435.04516835478</v>
      </c>
      <c r="AU123" s="85">
        <f>AU$263*Population!AZ$168</f>
        <v>34483.273381294966</v>
      </c>
      <c r="AV123" s="85">
        <f>AV$263*Population!BA$168</f>
        <v>33412.179306456157</v>
      </c>
      <c r="AW123" s="85">
        <f>AW$263*Population!BB$168</f>
        <v>33548.876931567327</v>
      </c>
      <c r="AX123" s="85">
        <f>AX$263*Population!BC$168</f>
        <v>32349.398814563927</v>
      </c>
      <c r="AY123" s="85">
        <f>AY$263*Population!BD$168</f>
        <v>30846.228251253317</v>
      </c>
      <c r="AZ123" s="85">
        <f>AZ$263*Population!BE$168</f>
        <v>30877.508792497068</v>
      </c>
      <c r="BA123" s="85">
        <f>BA$263*Population!BF$168</f>
        <v>31311.180375180378</v>
      </c>
      <c r="BB123" s="85">
        <f>BB$263*Population!BG$168</f>
        <v>31153.603603603602</v>
      </c>
      <c r="BC123" s="85">
        <f>BC$263*Population!BH$168</f>
        <v>31633.48623853211</v>
      </c>
      <c r="BD123" s="85">
        <f>BD$263*Population!BI$168</f>
        <v>33105.038461538461</v>
      </c>
      <c r="BE123" s="85">
        <f>BE$263*Population!BJ$168</f>
        <v>34237.327311370878</v>
      </c>
      <c r="BF123" s="85">
        <f>BF$263*Population!BK$168</f>
        <v>34585.872722471613</v>
      </c>
      <c r="BG123" s="85">
        <f>BG$263*Population!BL$168</f>
        <v>34762.081138040041</v>
      </c>
    </row>
    <row r="124" spans="3:59" x14ac:dyDescent="0.2">
      <c r="C124" s="29">
        <v>59</v>
      </c>
      <c r="F124" s="85">
        <f>F$264*Population!K$169</f>
        <v>22316.353029732782</v>
      </c>
      <c r="G124" s="85">
        <f>G$264*Population!L$169</f>
        <v>23008.431085043991</v>
      </c>
      <c r="H124" s="85">
        <f>H$264*Population!M$169</f>
        <v>23067.572530297464</v>
      </c>
      <c r="I124" s="85">
        <f>I$264*Population!N$169</f>
        <v>24393.206160308018</v>
      </c>
      <c r="J124" s="85">
        <f>J$264*Population!O$169</f>
        <v>24840.643375994467</v>
      </c>
      <c r="K124" s="85">
        <f>K$264*Population!P$169</f>
        <v>25707.342026078233</v>
      </c>
      <c r="L124" s="85">
        <f>L$264*Population!Q$169</f>
        <v>26394.388489208632</v>
      </c>
      <c r="M124" s="85">
        <f>M$264*Population!R$169</f>
        <v>26327.283217936034</v>
      </c>
      <c r="N124" s="85">
        <f>N$264*Population!S$169</f>
        <v>26117.976031957387</v>
      </c>
      <c r="O124" s="85">
        <f>O$264*Population!T$169</f>
        <v>25319.810410203376</v>
      </c>
      <c r="P124" s="85">
        <f>P$264*Population!U$169</f>
        <v>25124.694376528118</v>
      </c>
      <c r="Q124" s="85">
        <f>Q$264*Population!V$169</f>
        <v>24988.428822495607</v>
      </c>
      <c r="R124" s="85">
        <f>R$264*Population!W$169</f>
        <v>25441.96323274367</v>
      </c>
      <c r="S124" s="85">
        <f>S$264*Population!X$169</f>
        <v>25838.487854943549</v>
      </c>
      <c r="T124" s="85">
        <f>T$264*Population!Y$169</f>
        <v>25734.891341842016</v>
      </c>
      <c r="U124" s="85">
        <f>U$264*Population!Z$169</f>
        <v>26377.234401349073</v>
      </c>
      <c r="V124" s="85">
        <f>V$264*Population!AA$169</f>
        <v>26235.686006825938</v>
      </c>
      <c r="W124" s="85">
        <f>W$264*Population!AB$169</f>
        <v>25392.586694975231</v>
      </c>
      <c r="X124" s="85">
        <f>X$264*Population!AC$169</f>
        <v>24701.494169096211</v>
      </c>
      <c r="Y124" s="85">
        <f>Y$264*Population!AD$169</f>
        <v>23821.626757886734</v>
      </c>
      <c r="Z124" s="85">
        <f>Z$264*Population!AE$169</f>
        <v>23274.464075382803</v>
      </c>
      <c r="AA124" s="85">
        <f>AA$264*Population!AF$169</f>
        <v>23254.847058823529</v>
      </c>
      <c r="AB124" s="85">
        <f>AB$264*Population!AG$169</f>
        <v>22824.504215174627</v>
      </c>
      <c r="AC124" s="85">
        <f>AC$264*Population!AH$169</f>
        <v>23469.548133595286</v>
      </c>
      <c r="AD124" s="85">
        <f>AD$264*Population!AI$169</f>
        <v>23927.921174652241</v>
      </c>
      <c r="AE124" s="85">
        <f>AE$264*Population!AJ$169</f>
        <v>24629.660889223815</v>
      </c>
      <c r="AF124" s="85">
        <f>AF$264*Population!AK$169</f>
        <v>24904.737038418501</v>
      </c>
      <c r="AG124" s="85">
        <f>AG$264*Population!AL$169</f>
        <v>25907.749369823548</v>
      </c>
      <c r="AH124" s="85">
        <f>AH$264*Population!AM$169</f>
        <v>26375.55990046214</v>
      </c>
      <c r="AI124" s="85">
        <f>AI$264*Population!AN$169</f>
        <v>26845.696291112665</v>
      </c>
      <c r="AJ124" s="85">
        <f>AJ$264*Population!AO$169</f>
        <v>28019.824324324323</v>
      </c>
      <c r="AK124" s="85">
        <f>AK$264*Population!AP$169</f>
        <v>29373.212890625</v>
      </c>
      <c r="AL124" s="85">
        <f>AL$264*Population!AQ$169</f>
        <v>30817.016780609072</v>
      </c>
      <c r="AM124" s="85">
        <f>AM$264*Population!AR$169</f>
        <v>32638.467196234189</v>
      </c>
      <c r="AN124" s="85">
        <f>AN$264*Population!AS$169</f>
        <v>34650.521739130432</v>
      </c>
      <c r="AO124" s="85">
        <f>AO$264*Population!AT$169</f>
        <v>36440.687432867882</v>
      </c>
      <c r="AP124" s="85">
        <f>AP$264*Population!AU$169</f>
        <v>36674.285714285717</v>
      </c>
      <c r="AQ124" s="85">
        <f>AQ$264*Population!AV$169</f>
        <v>37043.625636899975</v>
      </c>
      <c r="AR124" s="85">
        <f>AR$264*Population!AW$169</f>
        <v>36530.417677175959</v>
      </c>
      <c r="AS124" s="85">
        <f>AS$264*Population!AX$169</f>
        <v>36690.529695024074</v>
      </c>
      <c r="AT124" s="85">
        <f>AT$264*Population!AY$169</f>
        <v>36518.676116608716</v>
      </c>
      <c r="AU124" s="85">
        <f>AU$264*Population!AZ$169</f>
        <v>35143.030967388324</v>
      </c>
      <c r="AV124" s="85">
        <f>AV$264*Population!BA$169</f>
        <v>34195.90027700831</v>
      </c>
      <c r="AW124" s="85">
        <f>AW$264*Population!BB$169</f>
        <v>33138.419864559815</v>
      </c>
      <c r="AX124" s="85">
        <f>AX$264*Population!BC$169</f>
        <v>33289.008287292818</v>
      </c>
      <c r="AY124" s="85">
        <f>AY$264*Population!BD$169</f>
        <v>32112.198361118957</v>
      </c>
      <c r="AZ124" s="85">
        <f>AZ$264*Population!BE$169</f>
        <v>30600.974025974028</v>
      </c>
      <c r="BA124" s="85">
        <f>BA$264*Population!BF$169</f>
        <v>30634.909090909088</v>
      </c>
      <c r="BB124" s="85">
        <f>BB$264*Population!BG$169</f>
        <v>31077.897169266318</v>
      </c>
      <c r="BC124" s="85">
        <f>BC$264*Population!BH$169</f>
        <v>30919.854566608494</v>
      </c>
      <c r="BD124" s="85">
        <f>BD$264*Population!BI$169</f>
        <v>31407.988522238164</v>
      </c>
      <c r="BE124" s="85">
        <f>BE$264*Population!BJ$169</f>
        <v>32840.439802089059</v>
      </c>
      <c r="BF124" s="85">
        <f>BF$264*Population!BK$169</f>
        <v>33979.949481520875</v>
      </c>
      <c r="BG124" s="85">
        <f>BG$264*Population!BL$169</f>
        <v>34318.70507399577</v>
      </c>
    </row>
    <row r="125" spans="3:59" x14ac:dyDescent="0.2">
      <c r="C125" s="29">
        <v>60</v>
      </c>
      <c r="F125" s="85">
        <f>F$265*Population!K$170</f>
        <v>21040</v>
      </c>
      <c r="G125" s="85">
        <f>G$265*Population!L$170</f>
        <v>21906.514522821577</v>
      </c>
      <c r="H125" s="85">
        <f>H$265*Population!M$170</f>
        <v>22607.695139911637</v>
      </c>
      <c r="I125" s="85">
        <f>I$265*Population!N$170</f>
        <v>22679.535398230091</v>
      </c>
      <c r="J125" s="85">
        <f>J$265*Population!O$170</f>
        <v>23966.479269149684</v>
      </c>
      <c r="K125" s="85">
        <f>K$265*Population!P$170</f>
        <v>24432.45571378951</v>
      </c>
      <c r="L125" s="85">
        <f>L$265*Population!Q$170</f>
        <v>25273.111782477343</v>
      </c>
      <c r="M125" s="85">
        <f>M$265*Population!R$170</f>
        <v>25944.108959632424</v>
      </c>
      <c r="N125" s="85">
        <f>N$265*Population!S$170</f>
        <v>25904.301786896096</v>
      </c>
      <c r="O125" s="85">
        <f>O$265*Population!T$170</f>
        <v>25705.178750417639</v>
      </c>
      <c r="P125" s="85">
        <f>P$265*Population!U$170</f>
        <v>24955.247319266688</v>
      </c>
      <c r="Q125" s="85">
        <f>Q$265*Population!V$170</f>
        <v>24760.480028030834</v>
      </c>
      <c r="R125" s="85">
        <f>R$265*Population!W$170</f>
        <v>24634.696755994359</v>
      </c>
      <c r="S125" s="85">
        <f>S$265*Population!X$170</f>
        <v>25097.154782608697</v>
      </c>
      <c r="T125" s="85">
        <f>T$265*Population!Y$170</f>
        <v>25502.282086479066</v>
      </c>
      <c r="U125" s="85">
        <f>U$265*Population!Z$170</f>
        <v>25409.533033552405</v>
      </c>
      <c r="V125" s="85">
        <f>V$265*Population!AA$170</f>
        <v>26051.5556307068</v>
      </c>
      <c r="W125" s="85">
        <f>W$265*Population!AB$170</f>
        <v>25918.795345653663</v>
      </c>
      <c r="X125" s="85">
        <f>X$265*Population!AC$170</f>
        <v>25086.638297872341</v>
      </c>
      <c r="Y125" s="85">
        <f>Y$265*Population!AD$170</f>
        <v>24424.936061381075</v>
      </c>
      <c r="Z125" s="85">
        <f>Z$265*Population!AE$170</f>
        <v>23545.007616146231</v>
      </c>
      <c r="AA125" s="85">
        <f>AA$265*Population!AF$170</f>
        <v>23016.699449252555</v>
      </c>
      <c r="AB125" s="85">
        <f>AB$265*Population!AG$170</f>
        <v>23016.864440078585</v>
      </c>
      <c r="AC125" s="85">
        <f>AC$265*Population!AH$170</f>
        <v>22587.080820265379</v>
      </c>
      <c r="AD125" s="85">
        <f>AD$265*Population!AI$170</f>
        <v>23228.689492325855</v>
      </c>
      <c r="AE125" s="85">
        <f>AE$265*Population!AJ$170</f>
        <v>23686.547987616101</v>
      </c>
      <c r="AF125" s="85">
        <f>AF$265*Population!AK$170</f>
        <v>24378.943396226416</v>
      </c>
      <c r="AG125" s="85">
        <f>AG$265*Population!AL$170</f>
        <v>24662.428091146805</v>
      </c>
      <c r="AH125" s="85">
        <f>AH$265*Population!AM$170</f>
        <v>25665.082972582975</v>
      </c>
      <c r="AI125" s="85">
        <f>AI$265*Population!AN$170</f>
        <v>26131.089355642576</v>
      </c>
      <c r="AJ125" s="85">
        <f>AJ$265*Population!AO$170</f>
        <v>26590.049053959356</v>
      </c>
      <c r="AK125" s="85">
        <f>AK$265*Population!AP$170</f>
        <v>27771.560067681894</v>
      </c>
      <c r="AL125" s="85">
        <f>AL$265*Population!AQ$170</f>
        <v>29093.448500651892</v>
      </c>
      <c r="AM125" s="85">
        <f>AM$265*Population!AR$170</f>
        <v>30514.772868699441</v>
      </c>
      <c r="AN125" s="85">
        <f>AN$265*Population!AS$170</f>
        <v>32333.89510901591</v>
      </c>
      <c r="AO125" s="85">
        <f>AO$265*Population!AT$170</f>
        <v>34331.1404494382</v>
      </c>
      <c r="AP125" s="85">
        <f>AP$265*Population!AU$170</f>
        <v>36078.462365591397</v>
      </c>
      <c r="AQ125" s="85">
        <f>AQ$265*Population!AV$170</f>
        <v>36337.631151974041</v>
      </c>
      <c r="AR125" s="85">
        <f>AR$265*Population!AW$170</f>
        <v>36696.17986577181</v>
      </c>
      <c r="AS125" s="85">
        <f>AS$265*Population!AX$170</f>
        <v>36174.747774480711</v>
      </c>
      <c r="AT125" s="85">
        <f>AT$265*Population!AY$170</f>
        <v>36347.145152651312</v>
      </c>
      <c r="AU125" s="85">
        <f>AU$265*Population!AZ$170</f>
        <v>36185.552878179384</v>
      </c>
      <c r="AV125" s="85">
        <f>AV$265*Population!BA$170</f>
        <v>34816.226001097093</v>
      </c>
      <c r="AW125" s="85">
        <f>AW$265*Population!BB$170</f>
        <v>33883.032991405598</v>
      </c>
      <c r="AX125" s="85">
        <f>AX$265*Population!BC$170</f>
        <v>32840.395368539961</v>
      </c>
      <c r="AY125" s="85">
        <f>AY$265*Population!BD$170</f>
        <v>32985.568150400883</v>
      </c>
      <c r="AZ125" s="85">
        <f>AZ$265*Population!BE$170</f>
        <v>31814.39638111394</v>
      </c>
      <c r="BA125" s="85">
        <f>BA$265*Population!BF$170</f>
        <v>30333.892498523328</v>
      </c>
      <c r="BB125" s="85">
        <f>BB$265*Population!BG$170</f>
        <v>30369.342723004695</v>
      </c>
      <c r="BC125" s="85">
        <f>BC$265*Population!BH$170</f>
        <v>30802.289017341038</v>
      </c>
      <c r="BD125" s="85">
        <f>BD$265*Population!BI$170</f>
        <v>30653.732906604597</v>
      </c>
      <c r="BE125" s="85">
        <f>BE$265*Population!BJ$170</f>
        <v>31131.231696813094</v>
      </c>
      <c r="BF125" s="85">
        <f>BF$265*Population!BK$170</f>
        <v>32552.722772277226</v>
      </c>
      <c r="BG125" s="85">
        <f>BG$265*Population!BL$170</f>
        <v>33681.588188347967</v>
      </c>
    </row>
    <row r="126" spans="3:59" x14ac:dyDescent="0.2">
      <c r="C126" s="29">
        <v>61</v>
      </c>
      <c r="F126" s="85">
        <f>F$266*Population!K$171</f>
        <v>20145.766920304362</v>
      </c>
      <c r="G126" s="85">
        <f>G$266*Population!L$171</f>
        <v>20744.903883876032</v>
      </c>
      <c r="H126" s="85">
        <f>H$266*Population!M$171</f>
        <v>21593.95225464191</v>
      </c>
      <c r="I126" s="85">
        <f>I$266*Population!N$171</f>
        <v>22296.153846153844</v>
      </c>
      <c r="J126" s="85">
        <f>J$266*Population!O$171</f>
        <v>22369.599999999999</v>
      </c>
      <c r="K126" s="85">
        <f>K$266*Population!P$171</f>
        <v>23628.863796753703</v>
      </c>
      <c r="L126" s="85">
        <f>L$266*Population!Q$171</f>
        <v>24078.800557880055</v>
      </c>
      <c r="M126" s="85">
        <f>M$266*Population!R$171</f>
        <v>24912.068733153636</v>
      </c>
      <c r="N126" s="85">
        <f>N$266*Population!S$171</f>
        <v>25591.077429983525</v>
      </c>
      <c r="O126" s="85">
        <f>O$266*Population!T$171</f>
        <v>25562.022583859183</v>
      </c>
      <c r="P126" s="85">
        <f>P$266*Population!U$171</f>
        <v>25372.939993295338</v>
      </c>
      <c r="Q126" s="85">
        <f>Q$266*Population!V$171</f>
        <v>24634.142956280361</v>
      </c>
      <c r="R126" s="85">
        <f>R$266*Population!W$171</f>
        <v>24467.325131810194</v>
      </c>
      <c r="S126" s="85">
        <f>S$266*Population!X$171</f>
        <v>24351.77864214993</v>
      </c>
      <c r="T126" s="85">
        <f>T$266*Population!Y$171</f>
        <v>24813.625261688765</v>
      </c>
      <c r="U126" s="85">
        <f>U$266*Population!Z$171</f>
        <v>25218.313833448039</v>
      </c>
      <c r="V126" s="85">
        <f>V$266*Population!AA$171</f>
        <v>25143.558792924036</v>
      </c>
      <c r="W126" s="85">
        <f>W$266*Population!AB$171</f>
        <v>25785.350966429298</v>
      </c>
      <c r="X126" s="85">
        <f>X$266*Population!AC$171</f>
        <v>25652.895368782163</v>
      </c>
      <c r="Y126" s="85">
        <f>Y$266*Population!AD$171</f>
        <v>24841.151795236401</v>
      </c>
      <c r="Z126" s="85">
        <f>Z$266*Population!AE$171</f>
        <v>24189.121201025268</v>
      </c>
      <c r="AA126" s="85">
        <f>AA$266*Population!AF$171</f>
        <v>23337.732824427483</v>
      </c>
      <c r="AB126" s="85">
        <f>AB$266*Population!AG$171</f>
        <v>22809.270792274339</v>
      </c>
      <c r="AC126" s="85">
        <f>AC$266*Population!AH$171</f>
        <v>22809.429358520269</v>
      </c>
      <c r="AD126" s="85">
        <f>AD$266*Population!AI$171</f>
        <v>22389.468385018121</v>
      </c>
      <c r="AE126" s="85">
        <f>AE$266*Population!AJ$171</f>
        <v>23021.39534883721</v>
      </c>
      <c r="AF126" s="85">
        <f>AF$266*Population!AK$171</f>
        <v>23487.325581395347</v>
      </c>
      <c r="AG126" s="85">
        <f>AG$266*Population!AL$171</f>
        <v>24168.412698412696</v>
      </c>
      <c r="AH126" s="85">
        <f>AH$266*Population!AM$171</f>
        <v>24462.461653572765</v>
      </c>
      <c r="AI126" s="85">
        <f>AI$266*Population!AN$171</f>
        <v>25453.475433526015</v>
      </c>
      <c r="AJ126" s="85">
        <f>AJ$266*Population!AO$171</f>
        <v>25918.509803921566</v>
      </c>
      <c r="AK126" s="85">
        <f>AK$266*Population!AP$171</f>
        <v>26377.192982456141</v>
      </c>
      <c r="AL126" s="85">
        <f>AL$266*Population!AQ$171</f>
        <v>27536.693766937668</v>
      </c>
      <c r="AM126" s="85">
        <f>AM$266*Population!AR$171</f>
        <v>28854.830287206267</v>
      </c>
      <c r="AN126" s="85">
        <f>AN$266*Population!AS$171</f>
        <v>30264.772585669783</v>
      </c>
      <c r="AO126" s="85">
        <f>AO$266*Population!AT$171</f>
        <v>32060.991150442474</v>
      </c>
      <c r="AP126" s="85">
        <f>AP$266*Population!AU$171</f>
        <v>34043.712035995501</v>
      </c>
      <c r="AQ126" s="85">
        <f>AQ$266*Population!AV$171</f>
        <v>35779.17631224764</v>
      </c>
      <c r="AR126" s="85">
        <f>AR$266*Population!AW$171</f>
        <v>36024.851109907962</v>
      </c>
      <c r="AS126" s="85">
        <f>AS$266*Population!AX$171</f>
        <v>36382.606826122013</v>
      </c>
      <c r="AT126" s="85">
        <f>AT$266*Population!AY$171</f>
        <v>35883.883337834188</v>
      </c>
      <c r="AU126" s="85">
        <f>AU$266*Population!AZ$171</f>
        <v>36045.74798927614</v>
      </c>
      <c r="AV126" s="85">
        <f>AV$266*Population!BA$171</f>
        <v>35895.782422293676</v>
      </c>
      <c r="AW126" s="85">
        <f>AW$266*Population!BB$171</f>
        <v>34541.905023332416</v>
      </c>
      <c r="AX126" s="85">
        <f>AX$266*Population!BC$171</f>
        <v>33624.211986681461</v>
      </c>
      <c r="AY126" s="85">
        <f>AY$266*Population!BD$171</f>
        <v>32604.267947993216</v>
      </c>
      <c r="AZ126" s="85">
        <f>AZ$266*Population!BE$171</f>
        <v>32734.052558782849</v>
      </c>
      <c r="BA126" s="85">
        <f>BA$266*Population!BF$171</f>
        <v>31585.527581329563</v>
      </c>
      <c r="BB126" s="85">
        <f>BB$266*Population!BG$171</f>
        <v>30116.445035460994</v>
      </c>
      <c r="BC126" s="85">
        <f>BC$266*Population!BH$171</f>
        <v>30153.194362889019</v>
      </c>
      <c r="BD126" s="85">
        <f>BD$266*Population!BI$171</f>
        <v>30577.574443480775</v>
      </c>
      <c r="BE126" s="85">
        <f>BE$266*Population!BJ$171</f>
        <v>30437.391557496361</v>
      </c>
      <c r="BF126" s="85">
        <f>BF$266*Population!BK$171</f>
        <v>30905.539919586445</v>
      </c>
      <c r="BG126" s="85">
        <f>BG$266*Population!BL$171</f>
        <v>32316.15130674003</v>
      </c>
    </row>
    <row r="127" spans="3:59" x14ac:dyDescent="0.2">
      <c r="C127" s="29">
        <v>62</v>
      </c>
      <c r="F127" s="85">
        <f>F$267*Population!K$172</f>
        <v>18858.634288086341</v>
      </c>
      <c r="G127" s="85">
        <f>G$267*Population!L$172</f>
        <v>19614.239261340826</v>
      </c>
      <c r="H127" s="85">
        <f>H$267*Population!M$172</f>
        <v>20248.37603468664</v>
      </c>
      <c r="I127" s="85">
        <f>I$267*Population!N$172</f>
        <v>21098.896079177772</v>
      </c>
      <c r="J127" s="85">
        <f>J$267*Population!O$172</f>
        <v>21765.595989602672</v>
      </c>
      <c r="K127" s="85">
        <f>K$267*Population!P$172</f>
        <v>21840.624767571589</v>
      </c>
      <c r="L127" s="85">
        <f>L$267*Population!Q$172</f>
        <v>23090.347271438699</v>
      </c>
      <c r="M127" s="85">
        <f>M$267*Population!R$172</f>
        <v>23530.430672268907</v>
      </c>
      <c r="N127" s="85">
        <f>N$267*Population!S$172</f>
        <v>24357.171853856562</v>
      </c>
      <c r="O127" s="85">
        <f>O$267*Population!T$172</f>
        <v>25035.185185185182</v>
      </c>
      <c r="P127" s="85">
        <f>P$267*Population!U$172</f>
        <v>25006.091302899036</v>
      </c>
      <c r="Q127" s="85">
        <f>Q$267*Population!V$172</f>
        <v>24837.403296333669</v>
      </c>
      <c r="R127" s="85">
        <f>R$267*Population!W$172</f>
        <v>24144.467270194986</v>
      </c>
      <c r="S127" s="85">
        <f>S$267*Population!X$172</f>
        <v>23988.043018335684</v>
      </c>
      <c r="T127" s="85">
        <f>T$267*Population!Y$172</f>
        <v>23874.609929078015</v>
      </c>
      <c r="U127" s="85">
        <f>U$267*Population!Z$172</f>
        <v>24353.467459762072</v>
      </c>
      <c r="V127" s="85">
        <f>V$267*Population!AA$172</f>
        <v>24757.82608695652</v>
      </c>
      <c r="W127" s="85">
        <f>W$267*Population!AB$172</f>
        <v>24683.365785813628</v>
      </c>
      <c r="X127" s="85">
        <f>X$267*Population!AC$172</f>
        <v>25324.704282800816</v>
      </c>
      <c r="Y127" s="85">
        <f>Y$267*Population!AD$172</f>
        <v>25208.713892709766</v>
      </c>
      <c r="Z127" s="85">
        <f>Z$267*Population!AE$172</f>
        <v>24416.629853936589</v>
      </c>
      <c r="AA127" s="85">
        <f>AA$267*Population!AF$172</f>
        <v>23776.056493030079</v>
      </c>
      <c r="AB127" s="85">
        <f>AB$267*Population!AG$172</f>
        <v>22953.922018348621</v>
      </c>
      <c r="AC127" s="85">
        <f>AC$267*Population!AH$172</f>
        <v>22441.136991709434</v>
      </c>
      <c r="AD127" s="85">
        <f>AD$267*Population!AI$172</f>
        <v>22444.446196294837</v>
      </c>
      <c r="AE127" s="85">
        <f>AE$267*Population!AJ$172</f>
        <v>22042.069382815651</v>
      </c>
      <c r="AF127" s="85">
        <f>AF$267*Population!AK$172</f>
        <v>22672.025266482433</v>
      </c>
      <c r="AG127" s="85">
        <f>AG$267*Population!AL$172</f>
        <v>23126.362577639749</v>
      </c>
      <c r="AH127" s="85">
        <f>AH$267*Population!AM$172</f>
        <v>23806.434519303559</v>
      </c>
      <c r="AI127" s="85">
        <f>AI$267*Population!AN$172</f>
        <v>24080.344569288387</v>
      </c>
      <c r="AJ127" s="85">
        <f>AJ$267*Population!AO$172</f>
        <v>25067.30560578662</v>
      </c>
      <c r="AK127" s="85">
        <f>AK$267*Population!AP$172</f>
        <v>25511.284796573877</v>
      </c>
      <c r="AL127" s="85">
        <f>AL$267*Population!AQ$172</f>
        <v>25960.323033707868</v>
      </c>
      <c r="AM127" s="85">
        <f>AM$267*Population!AR$172</f>
        <v>27114.80501865039</v>
      </c>
      <c r="AN127" s="85">
        <f>AN$267*Population!AS$172</f>
        <v>28426.350865730154</v>
      </c>
      <c r="AO127" s="85">
        <f>AO$267*Population!AT$172</f>
        <v>29814.497816593885</v>
      </c>
      <c r="AP127" s="85">
        <f>AP$267*Population!AU$172</f>
        <v>31577.915559492176</v>
      </c>
      <c r="AQ127" s="85">
        <f>AQ$267*Population!AV$172</f>
        <v>33522.136824324327</v>
      </c>
      <c r="AR127" s="85">
        <f>AR$267*Population!AW$172</f>
        <v>35240.401509027215</v>
      </c>
      <c r="AS127" s="85">
        <f>AS$267*Population!AX$172</f>
        <v>35481.116228664323</v>
      </c>
      <c r="AT127" s="85">
        <f>AT$267*Population!AY$172</f>
        <v>35835.609362389019</v>
      </c>
      <c r="AU127" s="85">
        <f>AU$267*Population!AZ$172</f>
        <v>35343.654054054052</v>
      </c>
      <c r="AV127" s="85">
        <f>AV$267*Population!BA$172</f>
        <v>35515.403810034877</v>
      </c>
      <c r="AW127" s="85">
        <f>AW$267*Population!BB$172</f>
        <v>35348.329310807188</v>
      </c>
      <c r="AX127" s="85">
        <f>AX$267*Population!BC$172</f>
        <v>34012.551496841523</v>
      </c>
      <c r="AY127" s="85">
        <f>AY$267*Population!BD$172</f>
        <v>33113.671940049957</v>
      </c>
      <c r="AZ127" s="85">
        <f>AZ$267*Population!BE$172</f>
        <v>32111.043256997455</v>
      </c>
      <c r="BA127" s="85">
        <f>BA$267*Population!BF$172</f>
        <v>32258.533075006919</v>
      </c>
      <c r="BB127" s="85">
        <f>BB$267*Population!BG$172</f>
        <v>31118.23712507074</v>
      </c>
      <c r="BC127" s="85">
        <f>BC$267*Population!BH$172</f>
        <v>29681.979905437354</v>
      </c>
      <c r="BD127" s="85">
        <f>BD$267*Population!BI$172</f>
        <v>29719.512481644641</v>
      </c>
      <c r="BE127" s="85">
        <f>BE$267*Population!BJ$172</f>
        <v>30134.158473105839</v>
      </c>
      <c r="BF127" s="85">
        <f>BF$267*Population!BK$172</f>
        <v>29994.614264919943</v>
      </c>
      <c r="BG127" s="85">
        <f>BG$267*Population!BL$172</f>
        <v>30459.939689833431</v>
      </c>
    </row>
    <row r="128" spans="3:59" x14ac:dyDescent="0.2">
      <c r="C128" s="29">
        <v>63</v>
      </c>
      <c r="F128" s="85">
        <f>F$268*Population!K$173</f>
        <v>17812.452671434581</v>
      </c>
      <c r="G128" s="85">
        <f>G$268*Population!L$173</f>
        <v>18122.198168193172</v>
      </c>
      <c r="H128" s="85">
        <f>H$268*Population!M$173</f>
        <v>18928.471157724889</v>
      </c>
      <c r="I128" s="85">
        <f>I$268*Population!N$173</f>
        <v>19544.26761678543</v>
      </c>
      <c r="J128" s="85">
        <f>J$268*Population!O$173</f>
        <v>20366.210325047799</v>
      </c>
      <c r="K128" s="85">
        <f>K$268*Population!P$173</f>
        <v>21033.9649384558</v>
      </c>
      <c r="L128" s="85">
        <f>L$268*Population!Q$173</f>
        <v>21113.058252427185</v>
      </c>
      <c r="M128" s="85">
        <f>M$268*Population!R$173</f>
        <v>22324.813233724653</v>
      </c>
      <c r="N128" s="85">
        <f>N$268*Population!S$173</f>
        <v>22772.667838312831</v>
      </c>
      <c r="O128" s="85">
        <f>O$268*Population!T$173</f>
        <v>23581.419354838708</v>
      </c>
      <c r="P128" s="85">
        <f>P$268*Population!U$173</f>
        <v>24266.201859229746</v>
      </c>
      <c r="Q128" s="85">
        <f>Q$268*Population!V$173</f>
        <v>24254.84949832776</v>
      </c>
      <c r="R128" s="85">
        <f>R$268*Population!W$173</f>
        <v>24116.598042524467</v>
      </c>
      <c r="S128" s="85">
        <f>S$268*Population!X$173</f>
        <v>23444.009779951099</v>
      </c>
      <c r="T128" s="85">
        <f>T$268*Population!Y$173</f>
        <v>23305.569306930694</v>
      </c>
      <c r="U128" s="85">
        <f>U$268*Population!Z$173</f>
        <v>23229.590892920667</v>
      </c>
      <c r="V128" s="85">
        <f>V$268*Population!AA$173</f>
        <v>23679.130129779027</v>
      </c>
      <c r="W128" s="85">
        <f>W$268*Population!AB$173</f>
        <v>24093.31027326185</v>
      </c>
      <c r="X128" s="85">
        <f>X$268*Population!AC$173</f>
        <v>24035.585774058578</v>
      </c>
      <c r="Y128" s="85">
        <f>Y$268*Population!AD$173</f>
        <v>24665.567291311756</v>
      </c>
      <c r="Z128" s="85">
        <f>Z$268*Population!AE$173</f>
        <v>24566.928645294724</v>
      </c>
      <c r="AA128" s="85">
        <f>AA$268*Population!AF$173</f>
        <v>23796.447697250984</v>
      </c>
      <c r="AB128" s="85">
        <f>AB$268*Population!AG$173</f>
        <v>23185.975744211686</v>
      </c>
      <c r="AC128" s="85">
        <f>AC$268*Population!AH$173</f>
        <v>22400.861738797397</v>
      </c>
      <c r="AD128" s="85">
        <f>AD$268*Population!AI$173</f>
        <v>21906.429418742588</v>
      </c>
      <c r="AE128" s="85">
        <f>AE$268*Population!AJ$173</f>
        <v>21919.305171733122</v>
      </c>
      <c r="AF128" s="85">
        <f>AF$268*Population!AK$173</f>
        <v>21527.302100161553</v>
      </c>
      <c r="AG128" s="85">
        <f>AG$268*Population!AL$173</f>
        <v>22151.81818181818</v>
      </c>
      <c r="AH128" s="85">
        <f>AH$268*Population!AM$173</f>
        <v>22577.179487179488</v>
      </c>
      <c r="AI128" s="85">
        <f>AI$268*Population!AN$173</f>
        <v>23244.94318181818</v>
      </c>
      <c r="AJ128" s="85">
        <f>AJ$268*Population!AO$173</f>
        <v>23535.500562429697</v>
      </c>
      <c r="AK128" s="85">
        <f>AK$268*Population!AP$173</f>
        <v>24481.288454578356</v>
      </c>
      <c r="AL128" s="85">
        <f>AL$268*Population!AQ$173</f>
        <v>24930.989285714284</v>
      </c>
      <c r="AM128" s="85">
        <f>AM$268*Population!AR$173</f>
        <v>25377.504393673113</v>
      </c>
      <c r="AN128" s="85">
        <f>AN$268*Population!AS$173</f>
        <v>26494.338085539715</v>
      </c>
      <c r="AO128" s="85">
        <f>AO$268*Population!AT$173</f>
        <v>27760.542661000327</v>
      </c>
      <c r="AP128" s="85">
        <f>AP$268*Population!AU$173</f>
        <v>29125.70224719101</v>
      </c>
      <c r="AQ128" s="85">
        <f>AQ$268*Population!AV$173</f>
        <v>30852.083333333332</v>
      </c>
      <c r="AR128" s="85">
        <f>AR$268*Population!AW$173</f>
        <v>32753.913778529164</v>
      </c>
      <c r="AS128" s="85">
        <f>AS$268*Population!AX$173</f>
        <v>34414.134304207117</v>
      </c>
      <c r="AT128" s="85">
        <f>AT$268*Population!AY$173</f>
        <v>34656.30151843818</v>
      </c>
      <c r="AU128" s="85">
        <f>AU$268*Population!AZ$173</f>
        <v>35007.254374158816</v>
      </c>
      <c r="AV128" s="85">
        <f>AV$268*Population!BA$173</f>
        <v>34540.446307817154</v>
      </c>
      <c r="AW128" s="85">
        <f>AW$268*Population!BB$173</f>
        <v>34696.719463087247</v>
      </c>
      <c r="AX128" s="85">
        <f>AX$268*Population!BC$173</f>
        <v>34553.217064663273</v>
      </c>
      <c r="AY128" s="85">
        <f>AY$268*Population!BD$173</f>
        <v>33259.422918384174</v>
      </c>
      <c r="AZ128" s="85">
        <f>AZ$268*Population!BE$173</f>
        <v>32383.773951680087</v>
      </c>
      <c r="BA128" s="85">
        <f>BA$268*Population!BF$173</f>
        <v>31392.169117647059</v>
      </c>
      <c r="BB128" s="85">
        <f>BB$268*Population!BG$173</f>
        <v>31538.90365448505</v>
      </c>
      <c r="BC128" s="85">
        <f>BC$268*Population!BH$173</f>
        <v>30429.569770733091</v>
      </c>
      <c r="BD128" s="85">
        <f>BD$268*Population!BI$173</f>
        <v>29027.372154892106</v>
      </c>
      <c r="BE128" s="85">
        <f>BE$268*Population!BJ$173</f>
        <v>29067.958883994124</v>
      </c>
      <c r="BF128" s="85">
        <f>BF$268*Population!BK$173</f>
        <v>29483.574320416428</v>
      </c>
      <c r="BG128" s="85">
        <f>BG$268*Population!BL$173</f>
        <v>29342.724890829693</v>
      </c>
    </row>
    <row r="129" spans="3:59" x14ac:dyDescent="0.2">
      <c r="C129" s="29">
        <v>64</v>
      </c>
      <c r="F129" s="85">
        <f>F$269*Population!K$174</f>
        <v>16256.099957283212</v>
      </c>
      <c r="G129" s="85">
        <f>G$269*Population!L$174</f>
        <v>16585.985647952723</v>
      </c>
      <c r="H129" s="85">
        <f>H$269*Population!M$174</f>
        <v>16911.200836820084</v>
      </c>
      <c r="I129" s="85">
        <f>I$269*Population!N$174</f>
        <v>17681.054339010541</v>
      </c>
      <c r="J129" s="85">
        <f>J$269*Population!O$174</f>
        <v>18263.804218066056</v>
      </c>
      <c r="K129" s="85">
        <f>K$269*Population!P$174</f>
        <v>19057.190622598002</v>
      </c>
      <c r="L129" s="85">
        <f>L$269*Population!Q$174</f>
        <v>19677.818590704646</v>
      </c>
      <c r="M129" s="85">
        <f>M$269*Population!R$174</f>
        <v>19779.692307692309</v>
      </c>
      <c r="N129" s="85">
        <f>N$269*Population!S$174</f>
        <v>20927.405289492493</v>
      </c>
      <c r="O129" s="85">
        <f>O$269*Population!T$174</f>
        <v>21363.063889869398</v>
      </c>
      <c r="P129" s="85">
        <f>P$269*Population!U$174</f>
        <v>22143.161664392905</v>
      </c>
      <c r="Q129" s="85">
        <f>Q$269*Population!V$174</f>
        <v>22797</v>
      </c>
      <c r="R129" s="85">
        <f>R$269*Population!W$174</f>
        <v>22811.188717259905</v>
      </c>
      <c r="S129" s="85">
        <f>S$269*Population!X$174</f>
        <v>22700.670958996951</v>
      </c>
      <c r="T129" s="85">
        <f>T$269*Population!Y$174</f>
        <v>22095.338240448651</v>
      </c>
      <c r="U129" s="85">
        <f>U$269*Population!Z$174</f>
        <v>21983.026969481904</v>
      </c>
      <c r="V129" s="85">
        <f>V$269*Population!AA$174</f>
        <v>21901.980021405638</v>
      </c>
      <c r="W129" s="85">
        <f>W$269*Population!AB$174</f>
        <v>22344.827586206899</v>
      </c>
      <c r="X129" s="85">
        <f>X$269*Population!AC$174</f>
        <v>22747.564191533656</v>
      </c>
      <c r="Y129" s="85">
        <f>Y$269*Population!AD$174</f>
        <v>22705.36525690318</v>
      </c>
      <c r="Z129" s="85">
        <f>Z$269*Population!AE$174</f>
        <v>23303.040655961737</v>
      </c>
      <c r="AA129" s="85">
        <f>AA$269*Population!AF$174</f>
        <v>23209.789219073948</v>
      </c>
      <c r="AB129" s="85">
        <f>AB$269*Population!AG$174</f>
        <v>22507.012522361358</v>
      </c>
      <c r="AC129" s="85">
        <f>AC$269*Population!AH$174</f>
        <v>21944.117863720072</v>
      </c>
      <c r="AD129" s="85">
        <f>AD$269*Population!AI$174</f>
        <v>21197.267843438221</v>
      </c>
      <c r="AE129" s="85">
        <f>AE$269*Population!AJ$174</f>
        <v>20745.235643564356</v>
      </c>
      <c r="AF129" s="85">
        <f>AF$269*Population!AK$174</f>
        <v>20760.767101621193</v>
      </c>
      <c r="AG129" s="85">
        <f>AG$269*Population!AL$174</f>
        <v>20395.697533360293</v>
      </c>
      <c r="AH129" s="85">
        <f>AH$269*Population!AM$174</f>
        <v>20973.506133755443</v>
      </c>
      <c r="AI129" s="85">
        <f>AI$269*Population!AN$174</f>
        <v>21412.933852140079</v>
      </c>
      <c r="AJ129" s="85">
        <f>AJ$269*Population!AO$174</f>
        <v>22034.328528072838</v>
      </c>
      <c r="AK129" s="85">
        <f>AK$269*Population!AP$174</f>
        <v>22304.114114114116</v>
      </c>
      <c r="AL129" s="85">
        <f>AL$269*Population!AQ$174</f>
        <v>23210.333454150052</v>
      </c>
      <c r="AM129" s="85">
        <f>AM$269*Population!AR$174</f>
        <v>23634.94815874151</v>
      </c>
      <c r="AN129" s="85">
        <f>AN$269*Population!AS$174</f>
        <v>24058.008444757215</v>
      </c>
      <c r="AO129" s="85">
        <f>AO$269*Population!AT$174</f>
        <v>25131.355759429156</v>
      </c>
      <c r="AP129" s="85">
        <f>AP$269*Population!AU$174</f>
        <v>26330.17015706806</v>
      </c>
      <c r="AQ129" s="85">
        <f>AQ$269*Population!AV$174</f>
        <v>27615.945017182134</v>
      </c>
      <c r="AR129" s="85">
        <f>AR$269*Population!AW$174</f>
        <v>29250.106508875739</v>
      </c>
      <c r="AS129" s="85">
        <f>AS$269*Population!AX$174</f>
        <v>31045.406091370558</v>
      </c>
      <c r="AT129" s="85">
        <f>AT$269*Population!AY$174</f>
        <v>32636.814254859612</v>
      </c>
      <c r="AU129" s="85">
        <f>AU$269*Population!AZ$174</f>
        <v>32876.536373507057</v>
      </c>
      <c r="AV129" s="85">
        <f>AV$269*Population!BA$174</f>
        <v>33203.222850983562</v>
      </c>
      <c r="AW129" s="85">
        <f>AW$269*Population!BB$174</f>
        <v>32753.488497970229</v>
      </c>
      <c r="AX129" s="85">
        <f>AX$269*Population!BC$174</f>
        <v>32912.627619559375</v>
      </c>
      <c r="AY129" s="85">
        <f>AY$269*Population!BD$174</f>
        <v>32774.062835660581</v>
      </c>
      <c r="AZ129" s="85">
        <f>AZ$269*Population!BE$174</f>
        <v>31552.515809733293</v>
      </c>
      <c r="BA129" s="85">
        <f>BA$269*Population!BF$174</f>
        <v>30715.198666296194</v>
      </c>
      <c r="BB129" s="85">
        <f>BB$269*Population!BG$174</f>
        <v>29795.557441992078</v>
      </c>
      <c r="BC129" s="85">
        <f>BC$269*Population!BH$174</f>
        <v>29918.06701744669</v>
      </c>
      <c r="BD129" s="85">
        <f>BD$269*Population!BI$174</f>
        <v>28880.453001132504</v>
      </c>
      <c r="BE129" s="85">
        <f>BE$269*Population!BJ$174</f>
        <v>27549.252143068283</v>
      </c>
      <c r="BF129" s="85">
        <f>BF$269*Population!BK$174</f>
        <v>27586.942731277533</v>
      </c>
      <c r="BG129" s="85">
        <f>BG$269*Population!BL$174</f>
        <v>27973.510699826489</v>
      </c>
    </row>
    <row r="130" spans="3:59" x14ac:dyDescent="0.2">
      <c r="C130" s="29">
        <v>65</v>
      </c>
      <c r="F130" s="85">
        <f>F$270*Population!K$175</f>
        <v>14324.729788153913</v>
      </c>
      <c r="G130" s="85">
        <f>G$270*Population!L$175</f>
        <v>14588.751608751609</v>
      </c>
      <c r="H130" s="85">
        <f>H$270*Population!M$175</f>
        <v>14901.571125265393</v>
      </c>
      <c r="I130" s="85">
        <f>I$270*Population!N$175</f>
        <v>15213.789473684212</v>
      </c>
      <c r="J130" s="85">
        <f>J$270*Population!O$175</f>
        <v>15915.146818923327</v>
      </c>
      <c r="K130" s="85">
        <f>K$270*Population!P$175</f>
        <v>16460.15206082433</v>
      </c>
      <c r="L130" s="85">
        <f>L$270*Population!Q$175</f>
        <v>17185.127511591963</v>
      </c>
      <c r="M130" s="85">
        <f>M$270*Population!R$175</f>
        <v>17750.037678975132</v>
      </c>
      <c r="N130" s="85">
        <f>N$270*Population!S$175</f>
        <v>17861.941930618399</v>
      </c>
      <c r="O130" s="85">
        <f>O$270*Population!T$175</f>
        <v>18913.692528735635</v>
      </c>
      <c r="P130" s="85">
        <f>P$270*Population!U$175</f>
        <v>19329.407591344447</v>
      </c>
      <c r="Q130" s="85">
        <f>Q$270*Population!V$175</f>
        <v>20064.56477039068</v>
      </c>
      <c r="R130" s="85">
        <f>R$270*Population!W$175</f>
        <v>20673.884795713326</v>
      </c>
      <c r="S130" s="85">
        <f>S$270*Population!X$175</f>
        <v>20700.765598650927</v>
      </c>
      <c r="T130" s="85">
        <f>T$270*Population!Y$175</f>
        <v>20612.902347737327</v>
      </c>
      <c r="U130" s="85">
        <f>U$270*Population!Z$175</f>
        <v>20072.881773399014</v>
      </c>
      <c r="V130" s="85">
        <f>V$270*Population!AA$175</f>
        <v>19983.935185185182</v>
      </c>
      <c r="W130" s="85">
        <f>W$270*Population!AB$175</f>
        <v>19921.804511278195</v>
      </c>
      <c r="X130" s="85">
        <f>X$270*Population!AC$175</f>
        <v>20347.266949152541</v>
      </c>
      <c r="Y130" s="85">
        <f>Y$270*Population!AD$175</f>
        <v>20710.059171597633</v>
      </c>
      <c r="Z130" s="85">
        <f>Z$270*Population!AE$175</f>
        <v>20681.48667601683</v>
      </c>
      <c r="AA130" s="85">
        <f>AA$270*Population!AF$175</f>
        <v>21235.352981494176</v>
      </c>
      <c r="AB130" s="85">
        <f>AB$270*Population!AG$175</f>
        <v>21162.29036729037</v>
      </c>
      <c r="AC130" s="85">
        <f>AC$270*Population!AH$175</f>
        <v>20535.464657337638</v>
      </c>
      <c r="AD130" s="85">
        <f>AD$270*Population!AI$175</f>
        <v>20020.790251107828</v>
      </c>
      <c r="AE130" s="85">
        <f>AE$270*Population!AJ$175</f>
        <v>19344.809688581314</v>
      </c>
      <c r="AF130" s="85">
        <f>AF$270*Population!AK$175</f>
        <v>18937.111111111113</v>
      </c>
      <c r="AG130" s="85">
        <f>AG$270*Population!AL$175</f>
        <v>18956.324752475248</v>
      </c>
      <c r="AH130" s="85">
        <f>AH$270*Population!AM$175</f>
        <v>18626.828675577159</v>
      </c>
      <c r="AI130" s="85">
        <f>AI$270*Population!AN$175</f>
        <v>19162.512881490289</v>
      </c>
      <c r="AJ130" s="85">
        <f>AJ$270*Population!AO$175</f>
        <v>19565.237724084178</v>
      </c>
      <c r="AK130" s="85">
        <f>AK$270*Population!AP$175</f>
        <v>20130.698822635779</v>
      </c>
      <c r="AL130" s="85">
        <f>AL$270*Population!AQ$175</f>
        <v>20377.061255167231</v>
      </c>
      <c r="AM130" s="85">
        <f>AM$270*Population!AR$175</f>
        <v>21210.301161103045</v>
      </c>
      <c r="AN130" s="85">
        <f>AN$270*Population!AS$175</f>
        <v>21601.661296097387</v>
      </c>
      <c r="AO130" s="85">
        <f>AO$270*Population!AT$175</f>
        <v>21999.68298696724</v>
      </c>
      <c r="AP130" s="85">
        <f>AP$270*Population!AU$175</f>
        <v>22961.56462585034</v>
      </c>
      <c r="AQ130" s="85">
        <f>AQ$270*Population!AV$175</f>
        <v>24071.638269986892</v>
      </c>
      <c r="AR130" s="85">
        <f>AR$270*Population!AW$175</f>
        <v>25243.747263059118</v>
      </c>
      <c r="AS130" s="85">
        <f>AS$270*Population!AX$175</f>
        <v>26737.902843601896</v>
      </c>
      <c r="AT130" s="85">
        <f>AT$270*Population!AY$175</f>
        <v>28381.135272521886</v>
      </c>
      <c r="AU130" s="85">
        <f>AU$270*Population!AZ$175</f>
        <v>29824.062162162161</v>
      </c>
      <c r="AV130" s="85">
        <f>AV$270*Population!BA$175</f>
        <v>30051.6847826087</v>
      </c>
      <c r="AW130" s="85">
        <f>AW$270*Population!BB$175</f>
        <v>30347.076591154262</v>
      </c>
      <c r="AX130" s="85">
        <f>AX$270*Population!BC$175</f>
        <v>29953.931183960987</v>
      </c>
      <c r="AY130" s="85">
        <f>AY$270*Population!BD$175</f>
        <v>30097.058349018556</v>
      </c>
      <c r="AZ130" s="85">
        <f>AZ$270*Population!BE$175</f>
        <v>29967.356260075227</v>
      </c>
      <c r="BA130" s="85">
        <f>BA$270*Population!BF$175</f>
        <v>28848.902338376891</v>
      </c>
      <c r="BB130" s="85">
        <f>BB$270*Population!BG$175</f>
        <v>28094.817903808733</v>
      </c>
      <c r="BC130" s="85">
        <f>BC$270*Population!BH$175</f>
        <v>27249.98584772148</v>
      </c>
      <c r="BD130" s="85">
        <f>BD$270*Population!BI$175</f>
        <v>27372.991689750692</v>
      </c>
      <c r="BE130" s="85">
        <f>BE$270*Population!BJ$175</f>
        <v>26421.563296516568</v>
      </c>
      <c r="BF130" s="85">
        <f>BF$270*Population!BK$175</f>
        <v>25212.087522176229</v>
      </c>
      <c r="BG130" s="85">
        <f>BG$270*Population!BL$175</f>
        <v>25243.770925110133</v>
      </c>
    </row>
    <row r="131" spans="3:59" x14ac:dyDescent="0.2">
      <c r="C131" s="29">
        <v>66</v>
      </c>
      <c r="F131" s="85">
        <f>F$271*Population!K$176</f>
        <v>12539.686684073105</v>
      </c>
      <c r="G131" s="85">
        <f>G$271*Population!L$176</f>
        <v>12817.816441931274</v>
      </c>
      <c r="H131" s="85">
        <f>H$271*Population!M$176</f>
        <v>13090.717372515124</v>
      </c>
      <c r="I131" s="85">
        <f>I$271*Population!N$176</f>
        <v>13402.763045337895</v>
      </c>
      <c r="J131" s="85">
        <f>J$271*Population!O$176</f>
        <v>13695.025423728812</v>
      </c>
      <c r="K131" s="85">
        <f>K$271*Population!P$176</f>
        <v>14344.166666666668</v>
      </c>
      <c r="L131" s="85">
        <f>L$271*Population!Q$176</f>
        <v>14859.790575916229</v>
      </c>
      <c r="M131" s="85">
        <f>M$271*Population!R$176</f>
        <v>15515.902021772939</v>
      </c>
      <c r="N131" s="85">
        <f>N$271*Population!S$176</f>
        <v>16065.87566338135</v>
      </c>
      <c r="O131" s="85">
        <f>O$271*Population!T$176</f>
        <v>16171.638225255972</v>
      </c>
      <c r="P131" s="85">
        <f>P$271*Population!U$176</f>
        <v>17154.371387283238</v>
      </c>
      <c r="Q131" s="85">
        <f>Q$271*Population!V$176</f>
        <v>17547.617689015693</v>
      </c>
      <c r="R131" s="85">
        <f>R$271*Population!W$176</f>
        <v>18226.799862211505</v>
      </c>
      <c r="S131" s="85">
        <f>S$271*Population!X$176</f>
        <v>18802.197913160551</v>
      </c>
      <c r="T131" s="85">
        <f>T$271*Population!Y$176</f>
        <v>18842.697390715013</v>
      </c>
      <c r="U131" s="85">
        <f>U$271*Population!Z$176</f>
        <v>18781.2</v>
      </c>
      <c r="V131" s="85">
        <f>V$271*Population!AA$176</f>
        <v>18307.345351714386</v>
      </c>
      <c r="W131" s="85">
        <f>W$271*Population!AB$176</f>
        <v>18236.452074391989</v>
      </c>
      <c r="X131" s="85">
        <f>X$271*Population!AC$176</f>
        <v>18202.157497303127</v>
      </c>
      <c r="Y131" s="85">
        <f>Y$271*Population!AD$176</f>
        <v>18594.267990074441</v>
      </c>
      <c r="Z131" s="85">
        <f>Z$271*Population!AE$176</f>
        <v>18931.488469601678</v>
      </c>
      <c r="AA131" s="85">
        <f>AA$271*Population!AF$176</f>
        <v>18927.888067581836</v>
      </c>
      <c r="AB131" s="85">
        <f>AB$271*Population!AG$176</f>
        <v>19437.991746905092</v>
      </c>
      <c r="AC131" s="85">
        <f>AC$271*Population!AH$176</f>
        <v>19376.453407510431</v>
      </c>
      <c r="AD131" s="85">
        <f>AD$271*Population!AI$176</f>
        <v>18801.014753508458</v>
      </c>
      <c r="AE131" s="85">
        <f>AE$271*Population!AJ$176</f>
        <v>18339.141058867088</v>
      </c>
      <c r="AF131" s="85">
        <f>AF$271*Population!AK$176</f>
        <v>17732.613723978411</v>
      </c>
      <c r="AG131" s="85">
        <f>AG$271*Population!AL$176</f>
        <v>17367.490055688148</v>
      </c>
      <c r="AH131" s="85">
        <f>AH$271*Population!AM$176</f>
        <v>17390.281857880113</v>
      </c>
      <c r="AI131" s="85">
        <f>AI$271*Population!AN$176</f>
        <v>17086.266233766233</v>
      </c>
      <c r="AJ131" s="85">
        <f>AJ$271*Population!AO$176</f>
        <v>17591.898332009532</v>
      </c>
      <c r="AK131" s="85">
        <f>AK$271*Population!AP$176</f>
        <v>17951.522248243557</v>
      </c>
      <c r="AL131" s="85">
        <f>AL$271*Population!AQ$176</f>
        <v>18483.546423135464</v>
      </c>
      <c r="AM131" s="85">
        <f>AM$271*Population!AR$176</f>
        <v>18717.537650602411</v>
      </c>
      <c r="AN131" s="85">
        <f>AN$271*Population!AS$176</f>
        <v>19478.931297709925</v>
      </c>
      <c r="AO131" s="85">
        <f>AO$271*Population!AT$176</f>
        <v>19840.717360114781</v>
      </c>
      <c r="AP131" s="85">
        <f>AP$271*Population!AU$176</f>
        <v>20197.307692307691</v>
      </c>
      <c r="AQ131" s="85">
        <f>AQ$271*Population!AV$176</f>
        <v>21097.103918228277</v>
      </c>
      <c r="AR131" s="85">
        <f>AR$271*Population!AW$176</f>
        <v>22098.858267716536</v>
      </c>
      <c r="AS131" s="85">
        <f>AS$271*Population!AX$176</f>
        <v>23187.114661654137</v>
      </c>
      <c r="AT131" s="85">
        <f>AT$271*Population!AY$176</f>
        <v>24564.41412043904</v>
      </c>
      <c r="AU131" s="85">
        <f>AU$271*Population!AZ$176</f>
        <v>26069.937782805431</v>
      </c>
      <c r="AV131" s="85">
        <f>AV$271*Population!BA$176</f>
        <v>27398.743909041688</v>
      </c>
      <c r="AW131" s="85">
        <f>AW$271*Population!BB$176</f>
        <v>27600.266666666666</v>
      </c>
      <c r="AX131" s="85">
        <f>AX$271*Population!BC$176</f>
        <v>27884.553065082368</v>
      </c>
      <c r="AY131" s="85">
        <f>AY$271*Population!BD$176</f>
        <v>27505.326823976135</v>
      </c>
      <c r="AZ131" s="85">
        <f>AZ$271*Population!BE$176</f>
        <v>27643.857335127861</v>
      </c>
      <c r="BA131" s="85">
        <f>BA$271*Population!BF$176</f>
        <v>27532.920925228616</v>
      </c>
      <c r="BB131" s="85">
        <f>BB$271*Population!BG$176</f>
        <v>26510.999724593774</v>
      </c>
      <c r="BC131" s="85">
        <f>BC$271*Population!BH$176</f>
        <v>25819.33222036728</v>
      </c>
      <c r="BD131" s="85">
        <f>BD$271*Population!BI$176</f>
        <v>25045.575070821527</v>
      </c>
      <c r="BE131" s="85">
        <f>BE$271*Population!BJ$176</f>
        <v>25162.969226504021</v>
      </c>
      <c r="BF131" s="85">
        <f>BF$271*Population!BK$176</f>
        <v>24282.198923207707</v>
      </c>
      <c r="BG131" s="85">
        <f>BG$271*Population!BL$176</f>
        <v>23174.640638864243</v>
      </c>
    </row>
    <row r="132" spans="3:59" x14ac:dyDescent="0.2">
      <c r="C132" s="29">
        <v>67</v>
      </c>
      <c r="F132" s="85">
        <f>F$272*Population!K$177</f>
        <v>11300.144927536232</v>
      </c>
      <c r="G132" s="85">
        <f>G$272*Population!L$177</f>
        <v>11469.171416045592</v>
      </c>
      <c r="H132" s="85">
        <f>H$272*Population!M$177</f>
        <v>11766.263157894738</v>
      </c>
      <c r="I132" s="85">
        <f>I$272*Population!N$177</f>
        <v>12037.803921568628</v>
      </c>
      <c r="J132" s="85">
        <f>J$272*Population!O$177</f>
        <v>12328.698275862069</v>
      </c>
      <c r="K132" s="85">
        <f>K$272*Population!P$177</f>
        <v>12610.286202477573</v>
      </c>
      <c r="L132" s="85">
        <f>L$272*Population!Q$177</f>
        <v>13204.416873449132</v>
      </c>
      <c r="M132" s="85">
        <f>M$272*Population!R$177</f>
        <v>13687.805273833672</v>
      </c>
      <c r="N132" s="85">
        <f>N$272*Population!S$177</f>
        <v>14314.412685982772</v>
      </c>
      <c r="O132" s="85">
        <f>O$272*Population!T$177</f>
        <v>14833.053435114502</v>
      </c>
      <c r="P132" s="85">
        <f>P$272*Population!U$177</f>
        <v>14954.971363115694</v>
      </c>
      <c r="Q132" s="85">
        <f>Q$272*Population!V$177</f>
        <v>15867.785454545456</v>
      </c>
      <c r="R132" s="85">
        <f>R$272*Population!W$177</f>
        <v>16236.719310839915</v>
      </c>
      <c r="S132" s="85">
        <f>S$272*Population!X$177</f>
        <v>16878.842287694973</v>
      </c>
      <c r="T132" s="85">
        <f>T$272*Population!Y$177</f>
        <v>17421.252963088387</v>
      </c>
      <c r="U132" s="85">
        <f>U$272*Population!Z$177</f>
        <v>17472.976474599385</v>
      </c>
      <c r="V132" s="85">
        <f>V$272*Population!AA$177</f>
        <v>17425.163286352697</v>
      </c>
      <c r="W132" s="85">
        <f>W$272*Population!AB$177</f>
        <v>16988.18763326226</v>
      </c>
      <c r="X132" s="85">
        <f>X$272*Population!AC$177</f>
        <v>16933.493889288282</v>
      </c>
      <c r="Y132" s="85">
        <f>Y$272*Population!AD$177</f>
        <v>16909.537572254332</v>
      </c>
      <c r="Z132" s="85">
        <f>Z$272*Population!AE$177</f>
        <v>17276.887464387462</v>
      </c>
      <c r="AA132" s="85">
        <f>AA$272*Population!AF$177</f>
        <v>17602.667602667603</v>
      </c>
      <c r="AB132" s="85">
        <f>AB$272*Population!AG$177</f>
        <v>17594.273594909861</v>
      </c>
      <c r="AC132" s="85">
        <f>AC$272*Population!AH$177</f>
        <v>18076.160220994476</v>
      </c>
      <c r="AD132" s="85">
        <f>AD$272*Population!AI$177</f>
        <v>18023.842931937172</v>
      </c>
      <c r="AE132" s="85">
        <f>AE$272*Population!AJ$177</f>
        <v>17497.969653179192</v>
      </c>
      <c r="AF132" s="85">
        <f>AF$272*Population!AK$177</f>
        <v>17075.719063545148</v>
      </c>
      <c r="AG132" s="85">
        <f>AG$272*Population!AL$177</f>
        <v>16515.744680851061</v>
      </c>
      <c r="AH132" s="85">
        <f>AH$272*Population!AM$177</f>
        <v>16171.955307262571</v>
      </c>
      <c r="AI132" s="85">
        <f>AI$272*Population!AN$177</f>
        <v>16190.983280254777</v>
      </c>
      <c r="AJ132" s="85">
        <f>AJ$272*Population!AO$177</f>
        <v>15920.472120472121</v>
      </c>
      <c r="AK132" s="85">
        <f>AK$272*Population!AP$177</f>
        <v>16387.510951812026</v>
      </c>
      <c r="AL132" s="85">
        <f>AL$272*Population!AQ$177</f>
        <v>16723.193737769081</v>
      </c>
      <c r="AM132" s="85">
        <f>AM$272*Population!AR$177</f>
        <v>17229.866463181992</v>
      </c>
      <c r="AN132" s="85">
        <f>AN$272*Population!AS$177</f>
        <v>17434.505660377359</v>
      </c>
      <c r="AO132" s="85">
        <f>AO$272*Population!AT$177</f>
        <v>18153.972303206996</v>
      </c>
      <c r="AP132" s="85">
        <f>AP$272*Population!AU$177</f>
        <v>18492.35082674335</v>
      </c>
      <c r="AQ132" s="85">
        <f>AQ$272*Population!AV$177</f>
        <v>18832.022630834512</v>
      </c>
      <c r="AR132" s="85">
        <f>AR$272*Population!AW$177</f>
        <v>19660.054626152272</v>
      </c>
      <c r="AS132" s="85">
        <f>AS$272*Population!AX$177</f>
        <v>20601.216705031242</v>
      </c>
      <c r="AT132" s="85">
        <f>AT$272*Population!AY$177</f>
        <v>21620.659340659342</v>
      </c>
      <c r="AU132" s="85">
        <f>AU$272*Population!AZ$177</f>
        <v>22898.614744351962</v>
      </c>
      <c r="AV132" s="85">
        <f>AV$272*Population!BA$177</f>
        <v>24306.338906205725</v>
      </c>
      <c r="AW132" s="85">
        <f>AW$272*Population!BB$177</f>
        <v>25545.972335231898</v>
      </c>
      <c r="AX132" s="85">
        <f>AX$272*Population!BC$177</f>
        <v>25742.829880043621</v>
      </c>
      <c r="AY132" s="85">
        <f>AY$272*Population!BD$177</f>
        <v>26004.431818181816</v>
      </c>
      <c r="AZ132" s="85">
        <f>AZ$272*Population!BE$177</f>
        <v>25659.336956521736</v>
      </c>
      <c r="BA132" s="85">
        <f>BA$272*Population!BF$177</f>
        <v>25784.605014828794</v>
      </c>
      <c r="BB132" s="85">
        <f>BB$272*Population!BG$177</f>
        <v>25688.53448275862</v>
      </c>
      <c r="BC132" s="85">
        <f>BC$272*Population!BH$177</f>
        <v>24729.671814671816</v>
      </c>
      <c r="BD132" s="85">
        <f>BD$272*Population!BI$177</f>
        <v>24094.154360546112</v>
      </c>
      <c r="BE132" s="85">
        <f>BE$272*Population!BJ$177</f>
        <v>23373.233125354509</v>
      </c>
      <c r="BF132" s="85">
        <f>BF$272*Population!BK$177</f>
        <v>23475.936719400503</v>
      </c>
      <c r="BG132" s="85">
        <f>BG$272*Population!BL$177</f>
        <v>22665.327659574465</v>
      </c>
    </row>
    <row r="133" spans="3:59" x14ac:dyDescent="0.2">
      <c r="C133" s="29">
        <v>68</v>
      </c>
      <c r="F133" s="85">
        <f>F$273*Population!K$178</f>
        <v>10426.941747572815</v>
      </c>
      <c r="G133" s="85">
        <f>G$273*Population!L$178</f>
        <v>10610</v>
      </c>
      <c r="H133" s="85">
        <f>H$273*Population!M$178</f>
        <v>10771.683650863979</v>
      </c>
      <c r="I133" s="85">
        <f>I$273*Population!N$178</f>
        <v>11053.300841825432</v>
      </c>
      <c r="J133" s="85">
        <f>J$273*Population!O$178</f>
        <v>11319.12010558733</v>
      </c>
      <c r="K133" s="85">
        <f>K$273*Population!P$178</f>
        <v>11605.261096605745</v>
      </c>
      <c r="L133" s="85">
        <f>L$273*Population!Q$178</f>
        <v>11871.310344827585</v>
      </c>
      <c r="M133" s="85">
        <f>M$273*Population!R$178</f>
        <v>12448.35976627713</v>
      </c>
      <c r="N133" s="85">
        <f>N$273*Population!S$178</f>
        <v>12912.569558101473</v>
      </c>
      <c r="O133" s="85">
        <f>O$273*Population!T$178</f>
        <v>13514.644549763034</v>
      </c>
      <c r="P133" s="85">
        <f>P$273*Population!U$178</f>
        <v>14012.471131639721</v>
      </c>
      <c r="Q133" s="85">
        <f>Q$273*Population!V$178</f>
        <v>14144.472671285603</v>
      </c>
      <c r="R133" s="85">
        <f>R$273*Population!W$178</f>
        <v>15014.840600952732</v>
      </c>
      <c r="S133" s="85">
        <f>S$273*Population!X$178</f>
        <v>15381.352622061482</v>
      </c>
      <c r="T133" s="85">
        <f>T$273*Population!Y$178</f>
        <v>15995.237430167597</v>
      </c>
      <c r="U133" s="85">
        <f>U$273*Population!Z$178</f>
        <v>16515.787858117328</v>
      </c>
      <c r="V133" s="85">
        <f>V$273*Population!AA$178</f>
        <v>16568.808788190869</v>
      </c>
      <c r="W133" s="85">
        <f>W$273*Population!AB$178</f>
        <v>16536.656282450676</v>
      </c>
      <c r="X133" s="85">
        <f>X$273*Population!AC$178</f>
        <v>16132.36766809728</v>
      </c>
      <c r="Y133" s="85">
        <f>Y$273*Population!AD$178</f>
        <v>16080.535262206149</v>
      </c>
      <c r="Z133" s="85">
        <f>Z$273*Population!AE$178</f>
        <v>16067.051981097784</v>
      </c>
      <c r="AA133" s="85">
        <f>AA$273*Population!AF$178</f>
        <v>16415.67335243553</v>
      </c>
      <c r="AB133" s="85">
        <f>AB$273*Population!AG$178</f>
        <v>16736.124249911754</v>
      </c>
      <c r="AC133" s="85">
        <f>AC$273*Population!AH$178</f>
        <v>16729.353233830843</v>
      </c>
      <c r="AD133" s="85">
        <f>AD$273*Population!AI$178</f>
        <v>17195.560569246791</v>
      </c>
      <c r="AE133" s="85">
        <f>AE$273*Population!AJ$178</f>
        <v>17159.57894736842</v>
      </c>
      <c r="AF133" s="85">
        <f>AF$273*Population!AK$178</f>
        <v>16646.62068965517</v>
      </c>
      <c r="AG133" s="85">
        <f>AG$273*Population!AL$178</f>
        <v>16254.288913773795</v>
      </c>
      <c r="AH133" s="85">
        <f>AH$273*Population!AM$178</f>
        <v>15721.989121989121</v>
      </c>
      <c r="AI133" s="85">
        <f>AI$273*Population!AN$178</f>
        <v>15409.535070140279</v>
      </c>
      <c r="AJ133" s="85">
        <f>AJ$273*Population!AO$178</f>
        <v>15419.520383693043</v>
      </c>
      <c r="AK133" s="85">
        <f>AK$273*Population!AP$178</f>
        <v>15171.691176470589</v>
      </c>
      <c r="AL133" s="85">
        <f>AL$273*Population!AQ$178</f>
        <v>15613.30135891287</v>
      </c>
      <c r="AM133" s="85">
        <f>AM$273*Population!AR$178</f>
        <v>15936.716417910449</v>
      </c>
      <c r="AN133" s="85">
        <f>AN$273*Population!AS$178</f>
        <v>16419.479326186833</v>
      </c>
      <c r="AO133" s="85">
        <f>AO$273*Population!AT$178</f>
        <v>16623.661491859144</v>
      </c>
      <c r="AP133" s="85">
        <f>AP$273*Population!AU$178</f>
        <v>17300.833333333336</v>
      </c>
      <c r="AQ133" s="85">
        <f>AQ$273*Population!AV$178</f>
        <v>17624.945926459986</v>
      </c>
      <c r="AR133" s="85">
        <f>AR$273*Population!AW$178</f>
        <v>17941.787234042553</v>
      </c>
      <c r="AS133" s="85">
        <f>AS$273*Population!AX$178</f>
        <v>18747.770547945205</v>
      </c>
      <c r="AT133" s="85">
        <f>AT$273*Population!AY$178</f>
        <v>19648.021108179419</v>
      </c>
      <c r="AU133" s="85">
        <f>AU$273*Population!AZ$178</f>
        <v>20604.748110831231</v>
      </c>
      <c r="AV133" s="85">
        <f>AV$273*Population!BA$178</f>
        <v>21830.539493293592</v>
      </c>
      <c r="AW133" s="85">
        <f>AW$273*Population!BB$178</f>
        <v>23170.775788576299</v>
      </c>
      <c r="AX133" s="85">
        <f>AX$273*Population!BC$178</f>
        <v>24358.890399782435</v>
      </c>
      <c r="AY133" s="85">
        <f>AY$273*Population!BD$178</f>
        <v>24534.845586225743</v>
      </c>
      <c r="AZ133" s="85">
        <f>AZ$273*Population!BE$178</f>
        <v>24793.506916192026</v>
      </c>
      <c r="BA133" s="85">
        <f>BA$273*Population!BF$178</f>
        <v>24469.18300653595</v>
      </c>
      <c r="BB133" s="85">
        <f>BB$273*Population!BG$178</f>
        <v>24599.081081081084</v>
      </c>
      <c r="BC133" s="85">
        <f>BC$273*Population!BH$178</f>
        <v>24495.758639308857</v>
      </c>
      <c r="BD133" s="85">
        <f>BD$273*Population!BI$178</f>
        <v>23585.918762088975</v>
      </c>
      <c r="BE133" s="85">
        <f>BE$273*Population!BJ$178</f>
        <v>22978.197041585267</v>
      </c>
      <c r="BF133" s="85">
        <f>BF$273*Population!BK$178</f>
        <v>22304.37055981813</v>
      </c>
      <c r="BG133" s="85">
        <f>BG$273*Population!BL$178</f>
        <v>22403.270300333705</v>
      </c>
    </row>
    <row r="134" spans="3:59" x14ac:dyDescent="0.2">
      <c r="C134" s="29">
        <v>69</v>
      </c>
      <c r="F134" s="85">
        <f>F$274*Population!K$179</f>
        <v>7951.5677966101694</v>
      </c>
      <c r="G134" s="85">
        <f>G$274*Population!L$179</f>
        <v>9654.3080357142862</v>
      </c>
      <c r="H134" s="85">
        <f>H$274*Population!M$179</f>
        <v>9817.5863615971284</v>
      </c>
      <c r="I134" s="85">
        <f>I$274*Population!N$179</f>
        <v>9977.5885253249671</v>
      </c>
      <c r="J134" s="85">
        <f>J$274*Population!O$179</f>
        <v>10248.413978494624</v>
      </c>
      <c r="K134" s="85">
        <f>K$274*Population!P$179</f>
        <v>10498.798932384341</v>
      </c>
      <c r="L134" s="85">
        <f>L$274*Population!Q$179</f>
        <v>10765.24857017158</v>
      </c>
      <c r="M134" s="85">
        <f>M$274*Population!R$179</f>
        <v>11021.537456445993</v>
      </c>
      <c r="N134" s="85">
        <f>N$274*Population!S$179</f>
        <v>11571.121416526139</v>
      </c>
      <c r="O134" s="85">
        <f>O$274*Population!T$179</f>
        <v>12010.871900826447</v>
      </c>
      <c r="P134" s="85">
        <f>P$274*Population!U$179</f>
        <v>12582.934609250398</v>
      </c>
      <c r="Q134" s="85">
        <f>Q$274*Population!V$179</f>
        <v>13044.69696969697</v>
      </c>
      <c r="R134" s="85">
        <f>R$274*Population!W$179</f>
        <v>13166.438834951456</v>
      </c>
      <c r="S134" s="85">
        <f>S$274*Population!X$179</f>
        <v>13993.992606284657</v>
      </c>
      <c r="T134" s="85">
        <f>T$274*Population!Y$179</f>
        <v>14342.210871944546</v>
      </c>
      <c r="U134" s="85">
        <f>U$274*Population!Z$179</f>
        <v>14918.239436619719</v>
      </c>
      <c r="V134" s="85">
        <f>V$274*Population!AA$179</f>
        <v>15406.361760660247</v>
      </c>
      <c r="W134" s="85">
        <f>W$274*Population!AB$179</f>
        <v>15465.743944636679</v>
      </c>
      <c r="X134" s="85">
        <f>X$274*Population!AC$179</f>
        <v>15437.817294281731</v>
      </c>
      <c r="Y134" s="85">
        <f>Y$274*Population!AD$179</f>
        <v>15066.635446685879</v>
      </c>
      <c r="Z134" s="85">
        <f>Z$274*Population!AE$179</f>
        <v>15031.781420765028</v>
      </c>
      <c r="AA134" s="85">
        <f>AA$274*Population!AF$179</f>
        <v>15012.835711672155</v>
      </c>
      <c r="AB134" s="85">
        <f>AB$274*Population!AG$179</f>
        <v>15348.755860079336</v>
      </c>
      <c r="AC134" s="85">
        <f>AC$274*Population!AH$179</f>
        <v>15646.767317939608</v>
      </c>
      <c r="AD134" s="85">
        <f>AD$274*Population!AI$179</f>
        <v>15642.095851216023</v>
      </c>
      <c r="AE134" s="85">
        <f>AE$274*Population!AJ$179</f>
        <v>16086.391896611947</v>
      </c>
      <c r="AF134" s="85">
        <f>AF$274*Population!AK$179</f>
        <v>16043.669724770642</v>
      </c>
      <c r="AG134" s="85">
        <f>AG$274*Population!AL$179</f>
        <v>15575.883211678833</v>
      </c>
      <c r="AH134" s="85">
        <f>AH$274*Population!AM$179</f>
        <v>15208.348348348347</v>
      </c>
      <c r="AI134" s="85">
        <f>AI$274*Population!AN$179</f>
        <v>14718.039828192112</v>
      </c>
      <c r="AJ134" s="85">
        <f>AJ$274*Population!AO$179</f>
        <v>14417.946033024567</v>
      </c>
      <c r="AK134" s="85">
        <f>AK$274*Population!AP$179</f>
        <v>14441.124497991968</v>
      </c>
      <c r="AL134" s="85">
        <f>AL$274*Population!AQ$179</f>
        <v>14199.983586376693</v>
      </c>
      <c r="AM134" s="85">
        <f>AM$274*Population!AR$179</f>
        <v>14614.905660377359</v>
      </c>
      <c r="AN134" s="85">
        <f>AN$274*Population!AS$179</f>
        <v>14931.065088757396</v>
      </c>
      <c r="AO134" s="85">
        <f>AO$274*Population!AT$179</f>
        <v>15372.948865820839</v>
      </c>
      <c r="AP134" s="85">
        <f>AP$274*Population!AU$179</f>
        <v>15565.313568985175</v>
      </c>
      <c r="AQ134" s="85">
        <f>AQ$274*Population!AV$179</f>
        <v>16206.209174311929</v>
      </c>
      <c r="AR134" s="85">
        <f>AR$274*Population!AW$179</f>
        <v>16509.659790083242</v>
      </c>
      <c r="AS134" s="85">
        <f>AS$274*Population!AX$179</f>
        <v>16814.250622997508</v>
      </c>
      <c r="AT134" s="85">
        <f>AT$274*Population!AY$179</f>
        <v>17561.525773195877</v>
      </c>
      <c r="AU134" s="85">
        <f>AU$274*Population!AZ$179</f>
        <v>18407.309728656517</v>
      </c>
      <c r="AV134" s="85">
        <f>AV$274*Population!BA$179</f>
        <v>19301.579279848389</v>
      </c>
      <c r="AW134" s="85">
        <f>AW$274*Population!BB$179</f>
        <v>20457.775119617225</v>
      </c>
      <c r="AX134" s="85">
        <f>AX$274*Population!BC$179</f>
        <v>21714.997149372863</v>
      </c>
      <c r="AY134" s="85">
        <f>AY$274*Population!BD$179</f>
        <v>22833.331514324691</v>
      </c>
      <c r="AZ134" s="85">
        <f>AZ$274*Population!BE$179</f>
        <v>22996.41447368421</v>
      </c>
      <c r="BA134" s="85">
        <f>BA$274*Population!BF$179</f>
        <v>23245.299238302501</v>
      </c>
      <c r="BB134" s="85">
        <f>BB$274*Population!BG$179</f>
        <v>22945.62687790221</v>
      </c>
      <c r="BC134" s="85">
        <f>BC$274*Population!BH$179</f>
        <v>23061.680216802168</v>
      </c>
      <c r="BD134" s="85">
        <f>BD$274*Population!BI$179</f>
        <v>22971.39144558744</v>
      </c>
      <c r="BE134" s="85">
        <f>BE$274*Population!BJ$179</f>
        <v>22115.429362880885</v>
      </c>
      <c r="BF134" s="85">
        <f>BF$274*Population!BK$179</f>
        <v>21557.789591494125</v>
      </c>
      <c r="BG134" s="85">
        <f>BG$274*Population!BL$179</f>
        <v>20915.958416405585</v>
      </c>
    </row>
    <row r="135" spans="3:59" x14ac:dyDescent="0.2">
      <c r="C135" s="29">
        <v>70</v>
      </c>
      <c r="F135" s="85">
        <f>F$275*Population!K$180</f>
        <v>6503.6994877632333</v>
      </c>
      <c r="G135" s="85">
        <f>G$275*Population!L$180</f>
        <v>7054.8283261802571</v>
      </c>
      <c r="H135" s="85">
        <f>H$275*Population!M$180</f>
        <v>8599.4205522861012</v>
      </c>
      <c r="I135" s="85">
        <f>I$275*Population!N$180</f>
        <v>8757.7899045020458</v>
      </c>
      <c r="J135" s="85">
        <f>J$275*Population!O$180</f>
        <v>8907.8474114441415</v>
      </c>
      <c r="K135" s="85">
        <f>K$275*Population!P$180</f>
        <v>9160.1452564684514</v>
      </c>
      <c r="L135" s="85">
        <f>L$275*Population!Q$180</f>
        <v>9391.3372354795138</v>
      </c>
      <c r="M135" s="85">
        <f>M$275*Population!R$180</f>
        <v>9638.1745325022257</v>
      </c>
      <c r="N135" s="85">
        <f>N$275*Population!S$180</f>
        <v>9874.8237885462568</v>
      </c>
      <c r="O135" s="85">
        <f>O$275*Population!T$180</f>
        <v>10380.827292110875</v>
      </c>
      <c r="P135" s="85">
        <f>P$275*Population!U$180</f>
        <v>10784.203928123694</v>
      </c>
      <c r="Q135" s="85">
        <f>Q$275*Population!V$180</f>
        <v>11295.985489721887</v>
      </c>
      <c r="R135" s="85">
        <f>R$275*Population!W$180</f>
        <v>11726.855123674912</v>
      </c>
      <c r="S135" s="85">
        <f>S$275*Population!X$180</f>
        <v>11848.552373479795</v>
      </c>
      <c r="T135" s="85">
        <f>T$275*Population!Y$180</f>
        <v>12591.717699775952</v>
      </c>
      <c r="U135" s="85">
        <f>U$275*Population!Z$180</f>
        <v>12910.025782688766</v>
      </c>
      <c r="V135" s="85">
        <f>V$275*Population!AA$180</f>
        <v>13433.825097760398</v>
      </c>
      <c r="W135" s="85">
        <f>W$275*Population!AB$180</f>
        <v>13883.900069396252</v>
      </c>
      <c r="X135" s="85">
        <f>X$275*Population!AC$180</f>
        <v>13937.780104712043</v>
      </c>
      <c r="Y135" s="85">
        <f>Y$275*Population!AD$180</f>
        <v>13924.611326064018</v>
      </c>
      <c r="Z135" s="85">
        <f>Z$275*Population!AE$180</f>
        <v>13584.954594987286</v>
      </c>
      <c r="AA135" s="85">
        <f>AA$275*Population!AF$180</f>
        <v>13554.998163789938</v>
      </c>
      <c r="AB135" s="85">
        <f>AB$275*Population!AG$180</f>
        <v>13551.988196237551</v>
      </c>
      <c r="AC135" s="85">
        <f>AC$275*Population!AH$180</f>
        <v>13857.093023255815</v>
      </c>
      <c r="AD135" s="85">
        <f>AD$275*Population!AI$180</f>
        <v>14128.188976377953</v>
      </c>
      <c r="AE135" s="85">
        <f>AE$275*Population!AJ$180</f>
        <v>14133.813467770975</v>
      </c>
      <c r="AF135" s="85">
        <f>AF$275*Population!AK$180</f>
        <v>14534.89099859353</v>
      </c>
      <c r="AG135" s="85">
        <f>AG$275*Population!AL$180</f>
        <v>14500.071047957372</v>
      </c>
      <c r="AH135" s="85">
        <f>AH$275*Population!AM$180</f>
        <v>14081.271124173401</v>
      </c>
      <c r="AI135" s="85">
        <f>AI$275*Population!AN$180</f>
        <v>13747.466012084593</v>
      </c>
      <c r="AJ135" s="85">
        <f>AJ$275*Population!AO$180</f>
        <v>13303.401413982718</v>
      </c>
      <c r="AK135" s="85">
        <f>AK$275*Population!AP$180</f>
        <v>13043.843661401377</v>
      </c>
      <c r="AL135" s="85">
        <f>AL$275*Population!AQ$180</f>
        <v>13065.024232633279</v>
      </c>
      <c r="AM135" s="85">
        <f>AM$275*Population!AR$180</f>
        <v>12845.379537953795</v>
      </c>
      <c r="AN135" s="85">
        <f>AN$275*Population!AS$180</f>
        <v>13236.36803874092</v>
      </c>
      <c r="AO135" s="85">
        <f>AO$275*Population!AT$180</f>
        <v>13506.646848989298</v>
      </c>
      <c r="AP135" s="85">
        <f>AP$275*Population!AU$180</f>
        <v>13912.282734646582</v>
      </c>
      <c r="AQ135" s="85">
        <f>AQ$275*Population!AV$180</f>
        <v>14087.639419404126</v>
      </c>
      <c r="AR135" s="85">
        <f>AR$275*Population!AW$180</f>
        <v>14667.917434574272</v>
      </c>
      <c r="AS135" s="85">
        <f>AS$275*Population!AX$180</f>
        <v>14953.675027262814</v>
      </c>
      <c r="AT135" s="85">
        <f>AT$275*Population!AY$180</f>
        <v>15223.653914908831</v>
      </c>
      <c r="AU135" s="85">
        <f>AU$275*Population!AZ$180</f>
        <v>15899.020013802621</v>
      </c>
      <c r="AV135" s="85">
        <f>AV$275*Population!BA$180</f>
        <v>16663.920265780733</v>
      </c>
      <c r="AW135" s="85">
        <f>AW$275*Population!BB$180</f>
        <v>17484.452901998095</v>
      </c>
      <c r="AX135" s="85">
        <f>AX$275*Population!BC$180</f>
        <v>18524.437105974182</v>
      </c>
      <c r="AY135" s="85">
        <f>AY$275*Population!BD$180</f>
        <v>19670</v>
      </c>
      <c r="AZ135" s="85">
        <f>AZ$275*Population!BE$180</f>
        <v>20680</v>
      </c>
      <c r="BA135" s="85">
        <f>BA$275*Population!BF$180</f>
        <v>20829.268225584594</v>
      </c>
      <c r="BB135" s="85">
        <f>BB$275*Population!BG$180</f>
        <v>21060.748020748022</v>
      </c>
      <c r="BC135" s="85">
        <f>BC$275*Population!BH$180</f>
        <v>20779.303918881884</v>
      </c>
      <c r="BD135" s="85">
        <f>BD$275*Population!BI$180</f>
        <v>20895</v>
      </c>
      <c r="BE135" s="85">
        <f>BE$275*Population!BJ$180</f>
        <v>20809.348357317402</v>
      </c>
      <c r="BF135" s="85">
        <f>BF$275*Population!BK$180</f>
        <v>20044.429008057796</v>
      </c>
      <c r="BG135" s="85">
        <f>BG$275*Population!BL$180</f>
        <v>19540</v>
      </c>
    </row>
    <row r="136" spans="3:59" x14ac:dyDescent="0.2">
      <c r="C136" s="29">
        <v>71</v>
      </c>
      <c r="F136" s="85">
        <f>F$276*Population!K$181</f>
        <v>5427.2102747909203</v>
      </c>
      <c r="G136" s="85">
        <f>G$276*Population!L$181</f>
        <v>5806.7013287117279</v>
      </c>
      <c r="H136" s="85">
        <f>H$276*Population!M$181</f>
        <v>6306.5613079019076</v>
      </c>
      <c r="I136" s="85">
        <f>I$276*Population!N$181</f>
        <v>7694.6737132352937</v>
      </c>
      <c r="J136" s="85">
        <f>J$276*Population!O$181</f>
        <v>7832.4099722991687</v>
      </c>
      <c r="K136" s="85">
        <f>K$276*Population!P$181</f>
        <v>7976.322580645161</v>
      </c>
      <c r="L136" s="85">
        <f>L$276*Population!Q$181</f>
        <v>8203.6815462494251</v>
      </c>
      <c r="M136" s="85">
        <f>M$276*Population!R$181</f>
        <v>8418.6301369863013</v>
      </c>
      <c r="N136" s="85">
        <f>N$276*Population!S$181</f>
        <v>8648.1190798376192</v>
      </c>
      <c r="O136" s="85">
        <f>O$276*Population!T$181</f>
        <v>8868.9955357142862</v>
      </c>
      <c r="P136" s="85">
        <f>P$276*Population!U$181</f>
        <v>9321.6623488773748</v>
      </c>
      <c r="Q136" s="85">
        <f>Q$276*Population!V$181</f>
        <v>9695.4314720812181</v>
      </c>
      <c r="R136" s="85">
        <f>R$276*Population!W$181</f>
        <v>10167.11256117455</v>
      </c>
      <c r="S136" s="85">
        <f>S$276*Population!X$181</f>
        <v>10561.080222398728</v>
      </c>
      <c r="T136" s="85">
        <f>T$276*Population!Y$181</f>
        <v>10672.654761904761</v>
      </c>
      <c r="U136" s="85">
        <f>U$276*Population!Z$181</f>
        <v>11341.857304643261</v>
      </c>
      <c r="V136" s="85">
        <f>V$276*Population!AA$181</f>
        <v>11635.949367088608</v>
      </c>
      <c r="W136" s="85">
        <f>W$276*Population!AB$181</f>
        <v>12122.27011494253</v>
      </c>
      <c r="X136" s="85">
        <f>X$276*Population!AC$181</f>
        <v>12519.442691903259</v>
      </c>
      <c r="Y136" s="85">
        <f>Y$276*Population!AD$181</f>
        <v>12578.667606626719</v>
      </c>
      <c r="Z136" s="85">
        <f>Z$276*Population!AE$181</f>
        <v>12564.758522727272</v>
      </c>
      <c r="AA136" s="85">
        <f>AA$276*Population!AF$181</f>
        <v>12272.639296187683</v>
      </c>
      <c r="AB136" s="85">
        <f>AB$276*Population!AG$181</f>
        <v>12248.221563542053</v>
      </c>
      <c r="AC136" s="85">
        <f>AC$276*Population!AH$181</f>
        <v>12240.9375</v>
      </c>
      <c r="AD136" s="85">
        <f>AD$276*Population!AI$181</f>
        <v>12525.65042139978</v>
      </c>
      <c r="AE136" s="85">
        <f>AE$276*Population!AJ$181</f>
        <v>12770.357142857143</v>
      </c>
      <c r="AF136" s="85">
        <f>AF$276*Population!AK$181</f>
        <v>12771.785843920145</v>
      </c>
      <c r="AG136" s="85">
        <f>AG$276*Population!AL$181</f>
        <v>13140.212615166549</v>
      </c>
      <c r="AH136" s="85">
        <f>AH$276*Population!AM$181</f>
        <v>13108.514674302076</v>
      </c>
      <c r="AI136" s="85">
        <f>AI$276*Population!AN$181</f>
        <v>12738.845726970034</v>
      </c>
      <c r="AJ136" s="85">
        <f>AJ$276*Population!AO$181</f>
        <v>12434.250950570342</v>
      </c>
      <c r="AK136" s="85">
        <f>AK$276*Population!AP$181</f>
        <v>12037.121391854489</v>
      </c>
      <c r="AL136" s="85">
        <f>AL$276*Population!AQ$181</f>
        <v>11793.382233088836</v>
      </c>
      <c r="AM136" s="85">
        <f>AM$276*Population!AR$181</f>
        <v>11817.427874847623</v>
      </c>
      <c r="AN136" s="85">
        <f>AN$276*Population!AS$181</f>
        <v>11630.087173100872</v>
      </c>
      <c r="AO136" s="85">
        <f>AO$276*Population!AT$181</f>
        <v>11976.923701298701</v>
      </c>
      <c r="AP136" s="85">
        <f>AP$276*Population!AU$181</f>
        <v>12233.046251993621</v>
      </c>
      <c r="AQ136" s="85">
        <f>AQ$276*Population!AV$181</f>
        <v>12597.961165048544</v>
      </c>
      <c r="AR136" s="85">
        <f>AR$276*Population!AW$181</f>
        <v>12761.317204301075</v>
      </c>
      <c r="AS136" s="85">
        <f>AS$276*Population!AX$181</f>
        <v>13277.502778806966</v>
      </c>
      <c r="AT136" s="85">
        <f>AT$276*Population!AY$181</f>
        <v>13535.374497625136</v>
      </c>
      <c r="AU136" s="85">
        <f>AU$276*Population!AZ$181</f>
        <v>13792.306034482757</v>
      </c>
      <c r="AV136" s="85">
        <f>AV$276*Population!BA$181</f>
        <v>14407.43411927878</v>
      </c>
      <c r="AW136" s="85">
        <f>AW$276*Population!BB$181</f>
        <v>15104.005340453939</v>
      </c>
      <c r="AX136" s="85">
        <f>AX$276*Population!BC$181</f>
        <v>15844.931506849316</v>
      </c>
      <c r="AY136" s="85">
        <f>AY$276*Population!BD$181</f>
        <v>16787.397466827504</v>
      </c>
      <c r="AZ136" s="85">
        <f>AZ$276*Population!BE$181</f>
        <v>17822.969244035641</v>
      </c>
      <c r="BA136" s="85">
        <f>BA$276*Population!BF$181</f>
        <v>18743.921892189221</v>
      </c>
      <c r="BB136" s="85">
        <f>BB$276*Population!BG$181</f>
        <v>18881.353591160219</v>
      </c>
      <c r="BC136" s="85">
        <f>BC$276*Population!BH$181</f>
        <v>19083.858591394903</v>
      </c>
      <c r="BD136" s="85">
        <f>BD$276*Population!BI$181</f>
        <v>18842.40440165062</v>
      </c>
      <c r="BE136" s="85">
        <f>BE$276*Population!BJ$181</f>
        <v>18935.118690313779</v>
      </c>
      <c r="BF136" s="85">
        <f>BF$276*Population!BK$181</f>
        <v>18880.239847369856</v>
      </c>
      <c r="BG136" s="85">
        <f>BG$276*Population!BL$181</f>
        <v>18185.923034021194</v>
      </c>
    </row>
    <row r="137" spans="3:59" x14ac:dyDescent="0.2">
      <c r="C137" s="29">
        <v>72</v>
      </c>
      <c r="F137" s="85">
        <f>F$277*Population!K$182</f>
        <v>4064.393939393939</v>
      </c>
      <c r="G137" s="85">
        <f>G$277*Population!L$182</f>
        <v>4749.7144592952609</v>
      </c>
      <c r="H137" s="85">
        <f>H$277*Population!M$182</f>
        <v>5091.9459141681364</v>
      </c>
      <c r="I137" s="85">
        <f>I$277*Population!N$182</f>
        <v>5543.070953436807</v>
      </c>
      <c r="J137" s="85">
        <f>J$277*Population!O$182</f>
        <v>6768.3590462833099</v>
      </c>
      <c r="K137" s="85">
        <f>K$277*Population!P$182</f>
        <v>6902.2383857343966</v>
      </c>
      <c r="L137" s="85">
        <f>L$277*Population!Q$182</f>
        <v>7036.7041198501865</v>
      </c>
      <c r="M137" s="85">
        <f>M$277*Population!R$182</f>
        <v>7247.1435250116874</v>
      </c>
      <c r="N137" s="85">
        <f>N$277*Population!S$182</f>
        <v>7438.1371640407788</v>
      </c>
      <c r="O137" s="85">
        <f>O$277*Population!T$182</f>
        <v>7648.695652173913</v>
      </c>
      <c r="P137" s="85">
        <f>P$277*Population!U$182</f>
        <v>7849.4341330918969</v>
      </c>
      <c r="Q137" s="85">
        <f>Q$277*Population!V$182</f>
        <v>8258.7915936952722</v>
      </c>
      <c r="R137" s="85">
        <f>R$277*Population!W$182</f>
        <v>8586.9181311615939</v>
      </c>
      <c r="S137" s="85">
        <f>S$277*Population!X$182</f>
        <v>9022.2479338842986</v>
      </c>
      <c r="T137" s="85">
        <f>T$277*Population!Y$182</f>
        <v>9371.0860820595335</v>
      </c>
      <c r="U137" s="85">
        <f>U$277*Population!Z$182</f>
        <v>9472.4427480916038</v>
      </c>
      <c r="V137" s="85">
        <f>V$277*Population!AA$182</f>
        <v>10081.581964081008</v>
      </c>
      <c r="W137" s="85">
        <f>W$277*Population!AB$182</f>
        <v>10347.4802259887</v>
      </c>
      <c r="X137" s="85">
        <f>X$277*Population!AC$182</f>
        <v>10775.997094079186</v>
      </c>
      <c r="Y137" s="85">
        <f>Y$277*Population!AD$182</f>
        <v>11144.516129032258</v>
      </c>
      <c r="Z137" s="85">
        <f>Z$277*Population!AE$182</f>
        <v>11198.770491803278</v>
      </c>
      <c r="AA137" s="85">
        <f>AA$277*Population!AF$182</f>
        <v>11190.355220667385</v>
      </c>
      <c r="AB137" s="85">
        <f>AB$277*Population!AG$182</f>
        <v>10929.214814814815</v>
      </c>
      <c r="AC137" s="85">
        <f>AC$277*Population!AH$182</f>
        <v>10912.480359147025</v>
      </c>
      <c r="AD137" s="85">
        <f>AD$277*Population!AI$182</f>
        <v>10909.755914382276</v>
      </c>
      <c r="AE137" s="85">
        <f>AE$277*Population!AJ$182</f>
        <v>11169.086538461539</v>
      </c>
      <c r="AF137" s="85">
        <f>AF$277*Population!AK$182</f>
        <v>11382.071350564251</v>
      </c>
      <c r="AG137" s="85">
        <f>AG$277*Population!AL$182</f>
        <v>11393.423654339071</v>
      </c>
      <c r="AH137" s="85">
        <f>AH$277*Population!AM$182</f>
        <v>11718.770550393137</v>
      </c>
      <c r="AI137" s="85">
        <f>AI$277*Population!AN$182</f>
        <v>11700.469144713101</v>
      </c>
      <c r="AJ137" s="85">
        <f>AJ$277*Population!AO$182</f>
        <v>11365.624766878031</v>
      </c>
      <c r="AK137" s="85">
        <f>AK$277*Population!AP$182</f>
        <v>11100.524904214561</v>
      </c>
      <c r="AL137" s="85">
        <f>AL$277*Population!AQ$182</f>
        <v>10754.306772908367</v>
      </c>
      <c r="AM137" s="85">
        <f>AM$277*Population!AR$182</f>
        <v>10538.054187192118</v>
      </c>
      <c r="AN137" s="85">
        <f>AN$277*Population!AS$182</f>
        <v>10554.132569558102</v>
      </c>
      <c r="AO137" s="85">
        <f>AO$277*Population!AT$182</f>
        <v>10393.752611784372</v>
      </c>
      <c r="AP137" s="85">
        <f>AP$277*Population!AU$182</f>
        <v>10701.593137254902</v>
      </c>
      <c r="AQ137" s="85">
        <f>AQ$277*Population!AV$182</f>
        <v>10928.772563176895</v>
      </c>
      <c r="AR137" s="85">
        <f>AR$277*Population!AW$182</f>
        <v>11251.864009378663</v>
      </c>
      <c r="AS137" s="85">
        <f>AS$277*Population!AX$182</f>
        <v>11398.779451525686</v>
      </c>
      <c r="AT137" s="85">
        <f>AT$277*Population!AY$182</f>
        <v>11870.950428624674</v>
      </c>
      <c r="AU137" s="85">
        <f>AU$277*Population!AZ$182</f>
        <v>12100.455547391624</v>
      </c>
      <c r="AV137" s="85">
        <f>AV$277*Population!BA$182</f>
        <v>12329.765258215963</v>
      </c>
      <c r="AW137" s="85">
        <f>AW$277*Population!BB$182</f>
        <v>12878.877657720461</v>
      </c>
      <c r="AX137" s="85">
        <f>AX$277*Population!BC$182</f>
        <v>13507.174496644297</v>
      </c>
      <c r="AY137" s="85">
        <f>AY$277*Population!BD$182</f>
        <v>14168.443804034581</v>
      </c>
      <c r="AZ137" s="85">
        <f>AZ$277*Population!BE$182</f>
        <v>15006.603030303031</v>
      </c>
      <c r="BA137" s="85">
        <f>BA$277*Population!BF$182</f>
        <v>15943.292894280763</v>
      </c>
      <c r="BB137" s="85">
        <f>BB$277*Population!BG$182</f>
        <v>16762.973197015752</v>
      </c>
      <c r="BC137" s="85">
        <f>BC$277*Population!BH$182</f>
        <v>16900.06661115737</v>
      </c>
      <c r="BD137" s="85">
        <f>BD$277*Population!BI$182</f>
        <v>17081.023947151116</v>
      </c>
      <c r="BE137" s="85">
        <f>BE$277*Population!BJ$182</f>
        <v>16861.121856866539</v>
      </c>
      <c r="BF137" s="85">
        <f>BF$277*Population!BK$182</f>
        <v>16963.491367497947</v>
      </c>
      <c r="BG137" s="85">
        <f>BG$277*Population!BL$182</f>
        <v>16905.692391899291</v>
      </c>
    </row>
    <row r="138" spans="3:59" x14ac:dyDescent="0.2">
      <c r="C138" s="29">
        <v>73</v>
      </c>
      <c r="F138" s="85">
        <f>F$278*Population!K$183</f>
        <v>3910.0822264389631</v>
      </c>
      <c r="G138" s="85">
        <f>G$278*Population!L$183</f>
        <v>3652.2947368421051</v>
      </c>
      <c r="H138" s="85">
        <f>H$278*Population!M$183</f>
        <v>4266.7410161090456</v>
      </c>
      <c r="I138" s="85">
        <f>I$278*Population!N$183</f>
        <v>4583.6908328340323</v>
      </c>
      <c r="J138" s="85">
        <f>J$278*Population!O$183</f>
        <v>4982.8119706380585</v>
      </c>
      <c r="K138" s="85">
        <f>K$278*Population!P$183</f>
        <v>6085.971428571429</v>
      </c>
      <c r="L138" s="85">
        <f>L$278*Population!Q$183</f>
        <v>6209.5269947443858</v>
      </c>
      <c r="M138" s="85">
        <f>M$278*Population!R$183</f>
        <v>6336.9795140543119</v>
      </c>
      <c r="N138" s="85">
        <f>N$278*Population!S$183</f>
        <v>6519.2015209125475</v>
      </c>
      <c r="O138" s="85">
        <f>O$278*Population!T$183</f>
        <v>6700.1177578897787</v>
      </c>
      <c r="P138" s="85">
        <f>P$278*Population!U$183</f>
        <v>6894.6046511627901</v>
      </c>
      <c r="Q138" s="85">
        <f>Q$278*Population!V$183</f>
        <v>7075.2505747126434</v>
      </c>
      <c r="R138" s="85">
        <f>R$278*Population!W$183</f>
        <v>7452.1600000000008</v>
      </c>
      <c r="S138" s="85">
        <f>S$278*Population!X$183</f>
        <v>7756.3620539599651</v>
      </c>
      <c r="T138" s="85">
        <f>T$278*Population!Y$183</f>
        <v>8141.0566037735853</v>
      </c>
      <c r="U138" s="85">
        <f>U$278*Population!Z$183</f>
        <v>8455.6973898858068</v>
      </c>
      <c r="V138" s="85">
        <f>V$278*Population!AA$183</f>
        <v>8556.9991856677516</v>
      </c>
      <c r="W138" s="85">
        <f>W$278*Population!AB$183</f>
        <v>9102.6713124274102</v>
      </c>
      <c r="X138" s="85">
        <f>X$278*Population!AC$183</f>
        <v>9348.9889355207943</v>
      </c>
      <c r="Y138" s="85">
        <f>Y$278*Population!AD$183</f>
        <v>9739.381898454747</v>
      </c>
      <c r="Z138" s="85">
        <f>Z$278*Population!AE$183</f>
        <v>10071.862217438105</v>
      </c>
      <c r="AA138" s="85">
        <f>AA$278*Population!AF$183</f>
        <v>10122.279120086549</v>
      </c>
      <c r="AB138" s="85">
        <f>AB$278*Population!AG$183</f>
        <v>10117.197822141561</v>
      </c>
      <c r="AC138" s="85">
        <f>AC$278*Population!AH$183</f>
        <v>9879.9438202247202</v>
      </c>
      <c r="AD138" s="85">
        <f>AD$278*Population!AI$183</f>
        <v>9863.721633888048</v>
      </c>
      <c r="AE138" s="85">
        <f>AE$278*Population!AJ$183</f>
        <v>9867.8140417457307</v>
      </c>
      <c r="AF138" s="85">
        <f>AF$278*Population!AK$183</f>
        <v>10099.066118789689</v>
      </c>
      <c r="AG138" s="85">
        <f>AG$278*Population!AL$183</f>
        <v>10298.264067671938</v>
      </c>
      <c r="AH138" s="85">
        <f>AH$278*Population!AM$183</f>
        <v>10312.544378698225</v>
      </c>
      <c r="AI138" s="85">
        <f>AI$278*Population!AN$183</f>
        <v>10605.393217893217</v>
      </c>
      <c r="AJ138" s="85">
        <f>AJ$278*Population!AO$183</f>
        <v>10588.040786598689</v>
      </c>
      <c r="AK138" s="85">
        <f>AK$278*Population!AP$183</f>
        <v>10286.106094808127</v>
      </c>
      <c r="AL138" s="85">
        <f>AL$278*Population!AQ$183</f>
        <v>10054.603788171627</v>
      </c>
      <c r="AM138" s="85">
        <f>AM$278*Population!AR$183</f>
        <v>9727.2851405622478</v>
      </c>
      <c r="AN138" s="85">
        <f>AN$278*Population!AS$183</f>
        <v>9538.3036822507238</v>
      </c>
      <c r="AO138" s="85">
        <f>AO$278*Population!AT$183</f>
        <v>9556.7010309278357</v>
      </c>
      <c r="AP138" s="85">
        <f>AP$278*Population!AU$183</f>
        <v>9413.70947368421</v>
      </c>
      <c r="AQ138" s="85">
        <f>AQ$278*Population!AV$183</f>
        <v>9694.7489711934159</v>
      </c>
      <c r="AR138" s="85">
        <f>AR$278*Population!AW$183</f>
        <v>9898.424242424242</v>
      </c>
      <c r="AS138" s="85">
        <f>AS$278*Population!AX$183</f>
        <v>10197.142857142857</v>
      </c>
      <c r="AT138" s="85">
        <f>AT$278*Population!AY$183</f>
        <v>10332.39502332815</v>
      </c>
      <c r="AU138" s="85">
        <f>AU$278*Population!AZ$183</f>
        <v>10756.87921980495</v>
      </c>
      <c r="AV138" s="85">
        <f>AV$278*Population!BA$183</f>
        <v>10966.890942698707</v>
      </c>
      <c r="AW138" s="85">
        <f>AW$278*Population!BB$183</f>
        <v>11173.408430232557</v>
      </c>
      <c r="AX138" s="85">
        <f>AX$278*Population!BC$183</f>
        <v>11673.618513323983</v>
      </c>
      <c r="AY138" s="85">
        <f>AY$278*Population!BD$183</f>
        <v>12243.385082686465</v>
      </c>
      <c r="AZ138" s="85">
        <f>AZ$278*Population!BE$183</f>
        <v>12848.019323671499</v>
      </c>
      <c r="BA138" s="85">
        <f>BA$278*Population!BF$183</f>
        <v>13620.310880829014</v>
      </c>
      <c r="BB138" s="85">
        <f>BB$278*Population!BG$183</f>
        <v>14454.320557491288</v>
      </c>
      <c r="BC138" s="85">
        <f>BC$278*Population!BH$183</f>
        <v>15213.205555555554</v>
      </c>
      <c r="BD138" s="85">
        <f>BD$278*Population!BI$183</f>
        <v>15327.949790794979</v>
      </c>
      <c r="BE138" s="85">
        <f>BE$278*Population!BJ$183</f>
        <v>15497.338865836791</v>
      </c>
      <c r="BF138" s="85">
        <f>BF$278*Population!BK$183</f>
        <v>15313.092726263187</v>
      </c>
      <c r="BG138" s="85">
        <f>BG$278*Population!BL$183</f>
        <v>15396.709801762116</v>
      </c>
    </row>
    <row r="139" spans="3:59" x14ac:dyDescent="0.2">
      <c r="C139" s="29">
        <v>74</v>
      </c>
      <c r="F139" s="85">
        <f>F$279*Population!K$184</f>
        <v>3290</v>
      </c>
      <c r="G139" s="85">
        <f>G$279*Population!L$184</f>
        <v>3485.0420168067226</v>
      </c>
      <c r="H139" s="85">
        <f>H$279*Population!M$184</f>
        <v>3277.6470588235293</v>
      </c>
      <c r="I139" s="85">
        <f>I$279*Population!N$184</f>
        <v>3832.7042431918935</v>
      </c>
      <c r="J139" s="85">
        <f>J$279*Population!O$184</f>
        <v>4105.0183598531212</v>
      </c>
      <c r="K139" s="85">
        <f>K$279*Population!P$184</f>
        <v>4465.1412103746397</v>
      </c>
      <c r="L139" s="85">
        <f>L$279*Population!Q$184</f>
        <v>5453.7463556851317</v>
      </c>
      <c r="M139" s="85">
        <f>M$279*Population!R$184</f>
        <v>5564.2864101315145</v>
      </c>
      <c r="N139" s="85">
        <f>N$279*Population!S$184</f>
        <v>5674.4854368932038</v>
      </c>
      <c r="O139" s="85">
        <f>O$279*Population!T$184</f>
        <v>5842.1307506053263</v>
      </c>
      <c r="P139" s="85">
        <f>P$279*Population!U$184</f>
        <v>6002.8776978417263</v>
      </c>
      <c r="Q139" s="85">
        <f>Q$279*Population!V$184</f>
        <v>6180.7007575757571</v>
      </c>
      <c r="R139" s="85">
        <f>R$279*Population!W$184</f>
        <v>6351.3189897100092</v>
      </c>
      <c r="S139" s="85">
        <f>S$279*Population!X$184</f>
        <v>6682.8197017623143</v>
      </c>
      <c r="T139" s="85">
        <f>T$279*Population!Y$184</f>
        <v>6956.0371517027861</v>
      </c>
      <c r="U139" s="85">
        <f>U$279*Population!Z$184</f>
        <v>7297.1763202725724</v>
      </c>
      <c r="V139" s="85">
        <f>V$279*Population!AA$184</f>
        <v>7584.4946147473065</v>
      </c>
      <c r="W139" s="85">
        <f>W$279*Population!AB$184</f>
        <v>7675.6345597354275</v>
      </c>
      <c r="X139" s="85">
        <f>X$279*Population!AC$184</f>
        <v>8168.1100196463658</v>
      </c>
      <c r="Y139" s="85">
        <f>Y$279*Population!AD$184</f>
        <v>8387.9256965944278</v>
      </c>
      <c r="Z139" s="85">
        <f>Z$279*Population!AE$184</f>
        <v>8740.0149198060426</v>
      </c>
      <c r="AA139" s="85">
        <f>AA$279*Population!AF$184</f>
        <v>9036.7224445252814</v>
      </c>
      <c r="AB139" s="85">
        <f>AB$279*Population!AG$184</f>
        <v>9080.1242236024846</v>
      </c>
      <c r="AC139" s="85">
        <f>AC$279*Population!AH$184</f>
        <v>9081.5</v>
      </c>
      <c r="AD139" s="85">
        <f>AD$279*Population!AI$184</f>
        <v>8875.4493742889663</v>
      </c>
      <c r="AE139" s="85">
        <f>AE$279*Population!AJ$184</f>
        <v>8855.9264931087291</v>
      </c>
      <c r="AF139" s="85">
        <f>AF$279*Population!AK$184</f>
        <v>8860.4992319508456</v>
      </c>
      <c r="AG139" s="85">
        <f>AG$279*Population!AL$184</f>
        <v>9067.8911564625851</v>
      </c>
      <c r="AH139" s="85">
        <f>AH$279*Population!AM$184</f>
        <v>9252.0111524163567</v>
      </c>
      <c r="AI139" s="85">
        <f>AI$279*Population!AN$184</f>
        <v>9262.9372197309422</v>
      </c>
      <c r="AJ139" s="85">
        <f>AJ$279*Population!AO$184</f>
        <v>9523.6055413780523</v>
      </c>
      <c r="AK139" s="85">
        <f>AK$279*Population!AP$184</f>
        <v>9514.7350993377477</v>
      </c>
      <c r="AL139" s="85">
        <f>AL$279*Population!AQ$184</f>
        <v>9248.9361702127662</v>
      </c>
      <c r="AM139" s="85">
        <f>AM$279*Population!AR$184</f>
        <v>9032.8521264143583</v>
      </c>
      <c r="AN139" s="85">
        <f>AN$279*Population!AS$184</f>
        <v>8747.0085123631943</v>
      </c>
      <c r="AO139" s="85">
        <f>AO$279*Population!AT$184</f>
        <v>8581.628392484341</v>
      </c>
      <c r="AP139" s="85">
        <f>AP$279*Population!AU$184</f>
        <v>8602.0382695507487</v>
      </c>
      <c r="AQ139" s="85">
        <f>AQ$279*Population!AV$184</f>
        <v>8462.3684210526317</v>
      </c>
      <c r="AR139" s="85">
        <f>AR$279*Population!AW$184</f>
        <v>8720.3526970954372</v>
      </c>
      <c r="AS139" s="85">
        <f>AS$279*Population!AX$184</f>
        <v>8907.6995114006513</v>
      </c>
      <c r="AT139" s="85">
        <f>AT$279*Population!AY$184</f>
        <v>9171.3639968279149</v>
      </c>
      <c r="AU139" s="85">
        <f>AU$279*Population!AZ$184</f>
        <v>9298.9263322884017</v>
      </c>
      <c r="AV139" s="85">
        <f>AV$279*Population!BA$184</f>
        <v>9686.689342403628</v>
      </c>
      <c r="AW139" s="85">
        <f>AW$279*Population!BB$184</f>
        <v>9870.5921787709485</v>
      </c>
      <c r="AX139" s="85">
        <f>AX$279*Population!BC$184</f>
        <v>10054.046834979876</v>
      </c>
      <c r="AY139" s="85">
        <f>AY$279*Population!BD$184</f>
        <v>10509.09636427815</v>
      </c>
      <c r="AZ139" s="85">
        <f>AZ$279*Population!BE$184</f>
        <v>11024.76222826087</v>
      </c>
      <c r="BA139" s="85">
        <f>BA$279*Population!BF$184</f>
        <v>11576.116693679092</v>
      </c>
      <c r="BB139" s="85">
        <f>BB$279*Population!BG$184</f>
        <v>12263.59398957375</v>
      </c>
      <c r="BC139" s="85">
        <f>BC$279*Population!BH$184</f>
        <v>13026.812737364884</v>
      </c>
      <c r="BD139" s="85">
        <f>BD$279*Population!BI$184</f>
        <v>13705.895501536741</v>
      </c>
      <c r="BE139" s="85">
        <f>BE$279*Population!BJ$184</f>
        <v>13818.280022446688</v>
      </c>
      <c r="BF139" s="85">
        <f>BF$279*Population!BK$184</f>
        <v>13972.161936560935</v>
      </c>
      <c r="BG139" s="85">
        <f>BG$279*Population!BL$184</f>
        <v>13796.544794864638</v>
      </c>
    </row>
    <row r="140" spans="3:59" x14ac:dyDescent="0.2">
      <c r="C140" s="29">
        <v>75</v>
      </c>
      <c r="F140" s="85">
        <f>F$280*Population!K$185</f>
        <v>2664.1490138787435</v>
      </c>
      <c r="G140" s="85">
        <f>G$280*Population!L$185</f>
        <v>2969.8639455782313</v>
      </c>
      <c r="H140" s="85">
        <f>H$280*Population!M$185</f>
        <v>3151.0809018567638</v>
      </c>
      <c r="I140" s="85">
        <f>I$280*Population!N$185</f>
        <v>2947.8324761204995</v>
      </c>
      <c r="J140" s="85">
        <f>J$280*Population!O$185</f>
        <v>3433.3073929961092</v>
      </c>
      <c r="K140" s="85">
        <f>K$280*Population!P$185</f>
        <v>3673.7507827175955</v>
      </c>
      <c r="L140" s="85">
        <f>L$280*Population!Q$185</f>
        <v>3994.7051886792451</v>
      </c>
      <c r="M140" s="85">
        <f>M$280*Population!R$185</f>
        <v>4861.6393442622948</v>
      </c>
      <c r="N140" s="85">
        <f>N$280*Population!S$185</f>
        <v>4952.0856147336981</v>
      </c>
      <c r="O140" s="85">
        <f>O$280*Population!T$185</f>
        <v>5035.0024789291028</v>
      </c>
      <c r="P140" s="85">
        <f>P$280*Population!U$185</f>
        <v>5188.1858625803261</v>
      </c>
      <c r="Q140" s="85">
        <f>Q$280*Population!V$185</f>
        <v>5318.747553816047</v>
      </c>
      <c r="R140" s="85">
        <f>R$280*Population!W$185</f>
        <v>5476.7567567567567</v>
      </c>
      <c r="S140" s="85">
        <f>S$280*Population!X$185</f>
        <v>5617.2354623450901</v>
      </c>
      <c r="T140" s="85">
        <f>T$280*Population!Y$185</f>
        <v>5909.2541436464089</v>
      </c>
      <c r="U140" s="85">
        <f>U$280*Population!Z$185</f>
        <v>6142.615938766322</v>
      </c>
      <c r="V140" s="85">
        <f>V$280*Population!AA$185</f>
        <v>6443.5441941074523</v>
      </c>
      <c r="W140" s="85">
        <f>W$280*Population!AB$185</f>
        <v>6689.9326032013478</v>
      </c>
      <c r="X140" s="85">
        <f>X$280*Population!AC$185</f>
        <v>6763.5378151260502</v>
      </c>
      <c r="Y140" s="85">
        <f>Y$280*Population!AD$185</f>
        <v>7199.8283433133738</v>
      </c>
      <c r="Z140" s="85">
        <f>Z$280*Population!AE$185</f>
        <v>7386.308962264151</v>
      </c>
      <c r="AA140" s="85">
        <f>AA$280*Population!AF$185</f>
        <v>7692.9924242424249</v>
      </c>
      <c r="AB140" s="85">
        <f>AB$280*Population!AG$185</f>
        <v>7953.9091915836107</v>
      </c>
      <c r="AC140" s="85">
        <f>AC$280*Population!AH$185</f>
        <v>7993.6990363232017</v>
      </c>
      <c r="AD140" s="85">
        <f>AD$280*Population!AI$185</f>
        <v>7987.5093214019398</v>
      </c>
      <c r="AE140" s="85">
        <f>AE$280*Population!AJ$185</f>
        <v>7802.9400461183704</v>
      </c>
      <c r="AF140" s="85">
        <f>AF$280*Population!AK$185</f>
        <v>7793.0760279286269</v>
      </c>
      <c r="AG140" s="85">
        <f>AG$280*Population!AL$185</f>
        <v>7798.1796966161019</v>
      </c>
      <c r="AH140" s="85">
        <f>AH$280*Population!AM$185</f>
        <v>7971.0022953328235</v>
      </c>
      <c r="AI140" s="85">
        <f>AI$280*Population!AN$185</f>
        <v>8133.6281520511848</v>
      </c>
      <c r="AJ140" s="85">
        <f>AJ$280*Population!AO$185</f>
        <v>8140.9493192133132</v>
      </c>
      <c r="AK140" s="85">
        <f>AK$280*Population!AP$185</f>
        <v>8379.4800884955748</v>
      </c>
      <c r="AL140" s="85">
        <f>AL$280*Population!AQ$185</f>
        <v>8361.5587797619064</v>
      </c>
      <c r="AM140" s="85">
        <f>AM$280*Population!AR$185</f>
        <v>8128.1213983864773</v>
      </c>
      <c r="AN140" s="85">
        <f>AN$280*Population!AS$185</f>
        <v>7941.5772870662458</v>
      </c>
      <c r="AO140" s="85">
        <f>AO$280*Population!AT$185</f>
        <v>7693.0098280098282</v>
      </c>
      <c r="AP140" s="85">
        <f>AP$280*Population!AU$185</f>
        <v>7547.322934232714</v>
      </c>
      <c r="AQ140" s="85">
        <f>AQ$280*Population!AV$185</f>
        <v>7562.570348593028</v>
      </c>
      <c r="AR140" s="85">
        <f>AR$280*Population!AW$185</f>
        <v>7440.548414738646</v>
      </c>
      <c r="AS140" s="85">
        <f>AS$280*Population!AX$185</f>
        <v>7664.7760569275842</v>
      </c>
      <c r="AT140" s="85">
        <f>AT$280*Population!AY$185</f>
        <v>7835.1027115858669</v>
      </c>
      <c r="AU140" s="85">
        <f>AU$280*Population!AZ$185</f>
        <v>8074.2199999999993</v>
      </c>
      <c r="AV140" s="85">
        <f>AV$280*Population!BA$185</f>
        <v>8189.7629395495851</v>
      </c>
      <c r="AW140" s="85">
        <f>AW$280*Population!BB$185</f>
        <v>8526.5828571428574</v>
      </c>
      <c r="AX140" s="85">
        <f>AX$280*Population!BC$185</f>
        <v>8694.8235735735743</v>
      </c>
      <c r="AY140" s="85">
        <f>AY$280*Population!BD$185</f>
        <v>8858.462389380531</v>
      </c>
      <c r="AZ140" s="85">
        <f>AZ$280*Population!BE$185</f>
        <v>9260.7043756670228</v>
      </c>
      <c r="BA140" s="85">
        <f>BA$280*Population!BF$185</f>
        <v>9718.4325804243672</v>
      </c>
      <c r="BB140" s="85">
        <f>BB$280*Population!BG$185</f>
        <v>10201.110022853412</v>
      </c>
      <c r="BC140" s="85">
        <f>BC$280*Population!BH$185</f>
        <v>10807.547869054972</v>
      </c>
      <c r="BD140" s="85">
        <f>BD$280*Population!BI$185</f>
        <v>11487</v>
      </c>
      <c r="BE140" s="85">
        <f>BE$280*Population!BJ$185</f>
        <v>12089.665260196905</v>
      </c>
      <c r="BF140" s="85">
        <f>BF$280*Population!BK$185</f>
        <v>12179.559446484043</v>
      </c>
      <c r="BG140" s="85">
        <f>BG$280*Population!BL$185</f>
        <v>12328.600223964168</v>
      </c>
    </row>
    <row r="141" spans="3:59" x14ac:dyDescent="0.2">
      <c r="C141" s="29">
        <v>76</v>
      </c>
      <c r="F141" s="85">
        <f>F$281*Population!K$186</f>
        <v>2053.0698065601346</v>
      </c>
      <c r="G141" s="85">
        <f>G$281*Population!L$186</f>
        <v>2396.3936889556721</v>
      </c>
      <c r="H141" s="85">
        <f>H$281*Population!M$186</f>
        <v>2654.4156752974109</v>
      </c>
      <c r="I141" s="85">
        <f>I$281*Population!N$186</f>
        <v>2806.5439672801635</v>
      </c>
      <c r="J141" s="85">
        <f>J$281*Population!O$186</f>
        <v>2620</v>
      </c>
      <c r="K141" s="85">
        <f>K$281*Population!P$186</f>
        <v>3045.9387483355526</v>
      </c>
      <c r="L141" s="85">
        <f>L$281*Population!Q$186</f>
        <v>3242.4470134874759</v>
      </c>
      <c r="M141" s="85">
        <f>M$281*Population!R$186</f>
        <v>3514.2442563482468</v>
      </c>
      <c r="N141" s="85">
        <f>N$281*Population!S$186</f>
        <v>4267.3027989821885</v>
      </c>
      <c r="O141" s="85">
        <f>O$281*Population!T$186</f>
        <v>4339.8165137614678</v>
      </c>
      <c r="P141" s="85">
        <f>P$281*Population!U$186</f>
        <v>4415.5149670218161</v>
      </c>
      <c r="Q141" s="85">
        <f>Q$281*Population!V$186</f>
        <v>4534.1253791708796</v>
      </c>
      <c r="R141" s="85">
        <f>R$281*Population!W$186</f>
        <v>4656.9784892446223</v>
      </c>
      <c r="S141" s="85">
        <f>S$281*Population!X$186</f>
        <v>4772.7218934911243</v>
      </c>
      <c r="T141" s="85">
        <f>T$281*Population!Y$186</f>
        <v>4893.1094890510949</v>
      </c>
      <c r="U141" s="85">
        <f>U$281*Population!Z$186</f>
        <v>5140.2066697980272</v>
      </c>
      <c r="V141" s="85">
        <f>V$281*Population!AA$186</f>
        <v>5342.1120293847562</v>
      </c>
      <c r="W141" s="85">
        <f>W$281*Population!AB$186</f>
        <v>5600.4593639575978</v>
      </c>
      <c r="X141" s="85">
        <f>X$281*Population!AC$186</f>
        <v>5821.030485186775</v>
      </c>
      <c r="Y141" s="85">
        <f>Y$281*Population!AD$186</f>
        <v>5879.1912708600776</v>
      </c>
      <c r="Z141" s="85">
        <f>Z$281*Population!AE$186</f>
        <v>6254.8130081300815</v>
      </c>
      <c r="AA141" s="85">
        <f>AA$281*Population!AF$186</f>
        <v>6418.16</v>
      </c>
      <c r="AB141" s="85">
        <f>AB$281*Population!AG$186</f>
        <v>6676.15562403698</v>
      </c>
      <c r="AC141" s="85">
        <f>AC$281*Population!AH$186</f>
        <v>6902.0487804878048</v>
      </c>
      <c r="AD141" s="85">
        <f>AD$281*Population!AI$186</f>
        <v>6940.8436911487761</v>
      </c>
      <c r="AE141" s="85">
        <f>AE$281*Population!AJ$186</f>
        <v>6931.4956455887914</v>
      </c>
      <c r="AF141" s="85">
        <f>AF$281*Population!AK$186</f>
        <v>6767.4131876706988</v>
      </c>
      <c r="AG141" s="85">
        <f>AG$281*Population!AL$186</f>
        <v>6761.4566929133853</v>
      </c>
      <c r="AH141" s="85">
        <f>AH$281*Population!AM$186</f>
        <v>6759.3725335438048</v>
      </c>
      <c r="AI141" s="85">
        <f>AI$281*Population!AN$186</f>
        <v>6918.4788513775702</v>
      </c>
      <c r="AJ141" s="85">
        <f>AJ$281*Population!AO$186</f>
        <v>7059.4315146890503</v>
      </c>
      <c r="AK141" s="85">
        <f>AK$281*Population!AP$186</f>
        <v>7060.5593869731802</v>
      </c>
      <c r="AL141" s="85">
        <f>AL$281*Population!AQ$186</f>
        <v>7266.8135973104227</v>
      </c>
      <c r="AM141" s="85">
        <f>AM$281*Population!AR$186</f>
        <v>7253.6610169491523</v>
      </c>
      <c r="AN141" s="85">
        <f>AN$281*Population!AS$186</f>
        <v>7059.6967340590973</v>
      </c>
      <c r="AO141" s="85">
        <f>AO$281*Population!AT$186</f>
        <v>6895.0678371907425</v>
      </c>
      <c r="AP141" s="85">
        <f>AP$281*Population!AU$186</f>
        <v>6681.3753106876557</v>
      </c>
      <c r="AQ141" s="85">
        <f>AQ$281*Population!AV$186</f>
        <v>6551.2579957356074</v>
      </c>
      <c r="AR141" s="85">
        <f>AR$281*Population!AW$186</f>
        <v>6562.9711375212219</v>
      </c>
      <c r="AS141" s="85">
        <f>AS$281*Population!AX$186</f>
        <v>6461.5504547423134</v>
      </c>
      <c r="AT141" s="85">
        <f>AT$281*Population!AY$186</f>
        <v>6661.8274111675119</v>
      </c>
      <c r="AU141" s="85">
        <f>AU$281*Population!AZ$186</f>
        <v>6802.7800829875523</v>
      </c>
      <c r="AV141" s="85">
        <f>AV$281*Population!BA$186</f>
        <v>7017.4434571890151</v>
      </c>
      <c r="AW141" s="85">
        <f>AW$281*Population!BB$186</f>
        <v>7110.4706820901474</v>
      </c>
      <c r="AX141" s="85">
        <f>AX$281*Population!BC$186</f>
        <v>7410.657439446366</v>
      </c>
      <c r="AY141" s="85">
        <f>AY$281*Population!BD$186</f>
        <v>7552.2756531616815</v>
      </c>
      <c r="AZ141" s="85">
        <f>AZ$281*Population!BE$186</f>
        <v>7703.880208333333</v>
      </c>
      <c r="BA141" s="85">
        <f>BA$281*Population!BF$186</f>
        <v>8050.3802008608327</v>
      </c>
      <c r="BB141" s="85">
        <f>BB$281*Population!BG$186</f>
        <v>8445.6314699792947</v>
      </c>
      <c r="BC141" s="85">
        <f>BC$281*Population!BH$186</f>
        <v>8868.1375452451466</v>
      </c>
      <c r="BD141" s="85">
        <f>BD$281*Population!BI$186</f>
        <v>9404.6685340802978</v>
      </c>
      <c r="BE141" s="85">
        <f>BE$281*Population!BJ$186</f>
        <v>9989.9229401304092</v>
      </c>
      <c r="BF141" s="85">
        <f>BF$281*Population!BK$186</f>
        <v>10515.93085860017</v>
      </c>
      <c r="BG141" s="85">
        <f>BG$281*Population!BL$186</f>
        <v>10610.139362912401</v>
      </c>
    </row>
    <row r="142" spans="3:59" x14ac:dyDescent="0.2">
      <c r="C142" s="29">
        <v>77</v>
      </c>
      <c r="F142" s="85">
        <f>F$282*Population!K$187</f>
        <v>1708.4636118598385</v>
      </c>
      <c r="G142" s="85">
        <f>G$282*Population!L$187</f>
        <v>1830.4166666666665</v>
      </c>
      <c r="H142" s="85">
        <f>H$282*Population!M$187</f>
        <v>2118.3553141970519</v>
      </c>
      <c r="I142" s="85">
        <f>I$282*Population!N$187</f>
        <v>2346.6064981949457</v>
      </c>
      <c r="J142" s="85">
        <f>J$282*Population!O$187</f>
        <v>2467.8089887640449</v>
      </c>
      <c r="K142" s="85">
        <f>K$282*Population!P$187</f>
        <v>2301.7884914463452</v>
      </c>
      <c r="L142" s="85">
        <f>L$282*Population!Q$187</f>
        <v>2666.3424657534247</v>
      </c>
      <c r="M142" s="85">
        <f>M$282*Population!R$187</f>
        <v>2841.2227362855251</v>
      </c>
      <c r="N142" s="85">
        <f>N$282*Population!S$187</f>
        <v>3073.8160348042265</v>
      </c>
      <c r="O142" s="85">
        <f>O$282*Population!T$187</f>
        <v>3725.5148980658651</v>
      </c>
      <c r="P142" s="85">
        <f>P$282*Population!U$187</f>
        <v>3787.7551020408164</v>
      </c>
      <c r="Q142" s="85">
        <f>Q$282*Population!V$187</f>
        <v>3838.0010411244143</v>
      </c>
      <c r="R142" s="85">
        <f>R$282*Population!W$187</f>
        <v>3940.4043545878694</v>
      </c>
      <c r="S142" s="85">
        <f>S$282*Population!X$187</f>
        <v>4042.8856996412101</v>
      </c>
      <c r="T142" s="85">
        <f>T$282*Population!Y$187</f>
        <v>4147.0368500757195</v>
      </c>
      <c r="U142" s="85">
        <f>U$282*Population!Z$187</f>
        <v>4249.4223107569724</v>
      </c>
      <c r="V142" s="85">
        <f>V$282*Population!AA$187</f>
        <v>4452.3631123919304</v>
      </c>
      <c r="W142" s="85">
        <f>W$282*Population!AB$187</f>
        <v>4630.6147348662598</v>
      </c>
      <c r="X142" s="85">
        <f>X$282*Population!AC$187</f>
        <v>4851.182310469314</v>
      </c>
      <c r="Y142" s="85">
        <f>Y$282*Population!AD$187</f>
        <v>5040.4559403770272</v>
      </c>
      <c r="Z142" s="85">
        <f>Z$282*Population!AE$187</f>
        <v>5088.759825327511</v>
      </c>
      <c r="AA142" s="85">
        <f>AA$282*Population!AF$187</f>
        <v>5411.2686567164183</v>
      </c>
      <c r="AB142" s="85">
        <f>AB$282*Population!AG$187</f>
        <v>5551.7985318107667</v>
      </c>
      <c r="AC142" s="85">
        <f>AC$282*Population!AH$187</f>
        <v>5779.038461538461</v>
      </c>
      <c r="AD142" s="85">
        <f>AD$282*Population!AI$187</f>
        <v>5965.0152905198775</v>
      </c>
      <c r="AE142" s="85">
        <f>AE$282*Population!AJ$187</f>
        <v>5998.0444785276077</v>
      </c>
      <c r="AF142" s="85">
        <f>AF$282*Population!AK$187</f>
        <v>5990.782273603083</v>
      </c>
      <c r="AG142" s="85">
        <f>AG$282*Population!AL$187</f>
        <v>5852.5714285714284</v>
      </c>
      <c r="AH142" s="85">
        <f>AH$282*Population!AM$187</f>
        <v>5843.4573829531819</v>
      </c>
      <c r="AI142" s="85">
        <f>AI$282*Population!AN$187</f>
        <v>5841.5557337610271</v>
      </c>
      <c r="AJ142" s="85">
        <f>AJ$282*Population!AO$187</f>
        <v>5976.9649191959006</v>
      </c>
      <c r="AK142" s="85">
        <f>AK$282*Population!AP$187</f>
        <v>6104.430673896205</v>
      </c>
      <c r="AL142" s="85">
        <f>AL$282*Population!AQ$187</f>
        <v>6107.448463632828</v>
      </c>
      <c r="AM142" s="85">
        <f>AM$282*Population!AR$187</f>
        <v>6289.4732853353544</v>
      </c>
      <c r="AN142" s="85">
        <f>AN$282*Population!AS$187</f>
        <v>6271.4247517188696</v>
      </c>
      <c r="AO142" s="85">
        <f>AO$282*Population!AT$187</f>
        <v>6106.7560110366576</v>
      </c>
      <c r="AP142" s="85">
        <f>AP$282*Population!AU$187</f>
        <v>5971.6942984229681</v>
      </c>
      <c r="AQ142" s="85">
        <f>AQ$282*Population!AV$187</f>
        <v>5775.2916491817041</v>
      </c>
      <c r="AR142" s="85">
        <f>AR$282*Population!AW$187</f>
        <v>5666.8566493955095</v>
      </c>
      <c r="AS142" s="85">
        <f>AS$282*Population!AX$187</f>
        <v>5683.3691448216587</v>
      </c>
      <c r="AT142" s="85">
        <f>AT$282*Population!AY$187</f>
        <v>5599.6932515337421</v>
      </c>
      <c r="AU142" s="85">
        <f>AU$282*Population!AZ$187</f>
        <v>5771.3564398801882</v>
      </c>
      <c r="AV142" s="85">
        <f>AV$282*Population!BA$187</f>
        <v>5891.63239613932</v>
      </c>
      <c r="AW142" s="85">
        <f>AW$282*Population!BB$187</f>
        <v>6082.1723152307068</v>
      </c>
      <c r="AX142" s="85">
        <f>AX$282*Population!BC$187</f>
        <v>6161.0923014913342</v>
      </c>
      <c r="AY142" s="85">
        <f>AY$282*Population!BD$187</f>
        <v>6427.6223776223769</v>
      </c>
      <c r="AZ142" s="85">
        <f>AZ$282*Population!BE$187</f>
        <v>6554.2922723794954</v>
      </c>
      <c r="BA142" s="85">
        <f>BA$282*Population!BF$187</f>
        <v>6680.3643876784372</v>
      </c>
      <c r="BB142" s="85">
        <f>BB$282*Population!BG$187</f>
        <v>6988.8591090184709</v>
      </c>
      <c r="BC142" s="85">
        <f>BC$282*Population!BH$187</f>
        <v>7328.3281086729367</v>
      </c>
      <c r="BD142" s="85">
        <f>BD$282*Population!BI$187</f>
        <v>7694.1182331451346</v>
      </c>
      <c r="BE142" s="85">
        <f>BE$282*Population!BJ$187</f>
        <v>8161.0709798994967</v>
      </c>
      <c r="BF142" s="85">
        <f>BF$282*Population!BK$187</f>
        <v>8676.3157894736833</v>
      </c>
      <c r="BG142" s="85">
        <f>BG$282*Population!BL$187</f>
        <v>9133.4381251786235</v>
      </c>
    </row>
    <row r="143" spans="3:59" x14ac:dyDescent="0.2">
      <c r="C143" s="29">
        <v>78</v>
      </c>
      <c r="F143" s="85">
        <f>F$283*Population!K$188</f>
        <v>1387.2771792360431</v>
      </c>
      <c r="G143" s="85">
        <f>G$283*Population!L$188</f>
        <v>1501.5642458100558</v>
      </c>
      <c r="H143" s="85">
        <f>H$283*Population!M$188</f>
        <v>1604.2034203420342</v>
      </c>
      <c r="I143" s="85">
        <f>I$283*Population!N$188</f>
        <v>1860</v>
      </c>
      <c r="J143" s="85">
        <f>J$283*Population!O$188</f>
        <v>2058.4603886397608</v>
      </c>
      <c r="K143" s="85">
        <f>K$283*Population!P$188</f>
        <v>2160.5377906976746</v>
      </c>
      <c r="L143" s="85">
        <f>L$283*Population!Q$188</f>
        <v>2001.6064257028113</v>
      </c>
      <c r="M143" s="85">
        <f>M$283*Population!R$188</f>
        <v>2316.718528995757</v>
      </c>
      <c r="N143" s="85">
        <f>N$283*Population!S$188</f>
        <v>2470.0613496932515</v>
      </c>
      <c r="O143" s="85">
        <f>O$283*Population!T$188</f>
        <v>2663.4080717488787</v>
      </c>
      <c r="P143" s="85">
        <f>P$283*Population!U$188</f>
        <v>3223.8362068965516</v>
      </c>
      <c r="Q143" s="85">
        <f>Q$283*Population!V$188</f>
        <v>3275.8081896551726</v>
      </c>
      <c r="R143" s="85">
        <f>R$283*Population!W$188</f>
        <v>3318.2217461167647</v>
      </c>
      <c r="S143" s="85">
        <f>S$283*Population!X$188</f>
        <v>3407.0111880660625</v>
      </c>
      <c r="T143" s="85">
        <f>T$283*Population!Y$188</f>
        <v>3489.1521853607164</v>
      </c>
      <c r="U143" s="85">
        <f>U$283*Population!Z$188</f>
        <v>3575.7646448937271</v>
      </c>
      <c r="V143" s="85">
        <f>V$283*Population!AA$188</f>
        <v>3666.0398569238628</v>
      </c>
      <c r="W143" s="85">
        <f>W$283*Population!AB$188</f>
        <v>3849.4137931034484</v>
      </c>
      <c r="X143" s="85">
        <f>X$283*Population!AC$188</f>
        <v>3992.3809523809523</v>
      </c>
      <c r="Y143" s="85">
        <f>Y$283*Population!AD$188</f>
        <v>4184.7619047619046</v>
      </c>
      <c r="Z143" s="85">
        <f>Z$283*Population!AE$188</f>
        <v>4338.9636608344545</v>
      </c>
      <c r="AA143" s="85">
        <f>AA$283*Population!AF$188</f>
        <v>4379.3297587131365</v>
      </c>
      <c r="AB143" s="85">
        <f>AB$283*Population!AG$188</f>
        <v>4657.1767698177191</v>
      </c>
      <c r="AC143" s="85">
        <f>AC$283*Population!AH$188</f>
        <v>4775.0749999999998</v>
      </c>
      <c r="AD143" s="85">
        <f>AD$283*Population!AI$188</f>
        <v>4975.8396793587181</v>
      </c>
      <c r="AE143" s="85">
        <f>AE$283*Population!AJ$188</f>
        <v>5139.902458056964</v>
      </c>
      <c r="AF143" s="85">
        <f>AF$283*Population!AK$188</f>
        <v>5170.1408450704221</v>
      </c>
      <c r="AG143" s="85">
        <f>AG$283*Population!AL$188</f>
        <v>5160.4440078585458</v>
      </c>
      <c r="AH143" s="85">
        <f>AH$283*Population!AM$188</f>
        <v>5042.7184466019417</v>
      </c>
      <c r="AI143" s="85">
        <f>AI$283*Population!AN$188</f>
        <v>5028.8259274357933</v>
      </c>
      <c r="AJ143" s="85">
        <f>AJ$283*Population!AO$188</f>
        <v>5039.4120048999594</v>
      </c>
      <c r="AK143" s="85">
        <f>AK$283*Population!AP$188</f>
        <v>5149.4223826714806</v>
      </c>
      <c r="AL143" s="85">
        <f>AL$283*Population!AQ$188</f>
        <v>5255.7801418439722</v>
      </c>
      <c r="AM143" s="85">
        <f>AM$283*Population!AR$188</f>
        <v>5266.1629746835442</v>
      </c>
      <c r="AN143" s="85">
        <f>AN$283*Population!AS$188</f>
        <v>5416.3328197226501</v>
      </c>
      <c r="AO143" s="85">
        <f>AO$283*Population!AT$188</f>
        <v>5414.8524844720496</v>
      </c>
      <c r="AP143" s="85">
        <f>AP$283*Population!AU$188</f>
        <v>5269.1913530824668</v>
      </c>
      <c r="AQ143" s="85">
        <f>AQ$283*Population!AV$188</f>
        <v>5151.4367816091954</v>
      </c>
      <c r="AR143" s="85">
        <f>AR$283*Population!AW$188</f>
        <v>4985.3492333901186</v>
      </c>
      <c r="AS143" s="85">
        <f>AS$283*Population!AX$188</f>
        <v>4891.5768725361368</v>
      </c>
      <c r="AT143" s="85">
        <f>AT$283*Population!AY$188</f>
        <v>4909.8823529411766</v>
      </c>
      <c r="AU143" s="85">
        <f>AU$283*Population!AZ$188</f>
        <v>4833.878276321635</v>
      </c>
      <c r="AV143" s="85">
        <f>AV$283*Population!BA$188</f>
        <v>4980.0520381613187</v>
      </c>
      <c r="AW143" s="85">
        <f>AW$283*Population!BB$188</f>
        <v>5098.7244897959181</v>
      </c>
      <c r="AX143" s="85">
        <f>AX$283*Population!BC$188</f>
        <v>5252.6716294458238</v>
      </c>
      <c r="AY143" s="85">
        <f>AY$283*Population!BD$188</f>
        <v>5333.1836734693879</v>
      </c>
      <c r="AZ143" s="85">
        <f>AZ$283*Population!BE$188</f>
        <v>5550.8611875737315</v>
      </c>
      <c r="BA143" s="85">
        <f>BA$283*Population!BF$188</f>
        <v>5663.0274874177312</v>
      </c>
      <c r="BB143" s="85">
        <f>BB$283*Population!BG$188</f>
        <v>5779.4374762447742</v>
      </c>
      <c r="BC143" s="85">
        <f>BC$283*Population!BH$188</f>
        <v>6045.9706959706964</v>
      </c>
      <c r="BD143" s="85">
        <f>BD$283*Population!BI$188</f>
        <v>6342.352112676057</v>
      </c>
      <c r="BE143" s="85">
        <f>BE$283*Population!BJ$188</f>
        <v>6664.6525679758306</v>
      </c>
      <c r="BF143" s="85">
        <f>BF$283*Population!BK$188</f>
        <v>7073.4687400825132</v>
      </c>
      <c r="BG143" s="85">
        <f>BG$283*Population!BL$188</f>
        <v>7516.0887949260041</v>
      </c>
    </row>
    <row r="144" spans="3:59" x14ac:dyDescent="0.2">
      <c r="C144" s="29">
        <v>79</v>
      </c>
      <c r="F144" s="85">
        <f>F$284*Population!K$189</f>
        <v>1110</v>
      </c>
      <c r="G144" s="85">
        <f>G$284*Population!L$189</f>
        <v>1220</v>
      </c>
      <c r="H144" s="85">
        <f>H$284*Population!M$189</f>
        <v>1313.5984481086325</v>
      </c>
      <c r="I144" s="85">
        <f>I$284*Population!N$189</f>
        <v>1396.0637300843487</v>
      </c>
      <c r="J144" s="85">
        <f>J$284*Population!O$189</f>
        <v>1620</v>
      </c>
      <c r="K144" s="85">
        <f>K$284*Population!P$189</f>
        <v>1778.6180124223604</v>
      </c>
      <c r="L144" s="85">
        <f>L$284*Population!Q$189</f>
        <v>1861.5384615384614</v>
      </c>
      <c r="M144" s="85">
        <f>M$284*Population!R$189</f>
        <v>1731.4416666666666</v>
      </c>
      <c r="N144" s="85">
        <f>N$284*Population!S$189</f>
        <v>1997.0674486803521</v>
      </c>
      <c r="O144" s="85">
        <f>O$284*Population!T$189</f>
        <v>2127.480592801694</v>
      </c>
      <c r="P144" s="85">
        <f>P$284*Population!U$189</f>
        <v>2293.035122597747</v>
      </c>
      <c r="Q144" s="85">
        <f>Q$284*Population!V$189</f>
        <v>2782.3385300668151</v>
      </c>
      <c r="R144" s="85">
        <f>R$284*Population!W$189</f>
        <v>2814.0233722871453</v>
      </c>
      <c r="S144" s="85">
        <f>S$284*Population!X$189</f>
        <v>2858.4190160309563</v>
      </c>
      <c r="T144" s="85">
        <f>T$284*Population!Y$189</f>
        <v>2932.3846153846152</v>
      </c>
      <c r="U144" s="85">
        <f>U$284*Population!Z$189</f>
        <v>2994.1725447639719</v>
      </c>
      <c r="V144" s="85">
        <f>V$284*Population!AA$189</f>
        <v>3072.7976508275492</v>
      </c>
      <c r="W144" s="85">
        <f>W$284*Population!AB$189</f>
        <v>3141.3249211356469</v>
      </c>
      <c r="X144" s="85">
        <f>X$284*Population!AC$189</f>
        <v>3303.1306990881462</v>
      </c>
      <c r="Y144" s="85">
        <f>Y$284*Population!AD$189</f>
        <v>3423.3069698467625</v>
      </c>
      <c r="Z144" s="85">
        <f>Z$284*Population!AE$189</f>
        <v>3585.3133903133908</v>
      </c>
      <c r="AA144" s="85">
        <f>AA$284*Population!AF$189</f>
        <v>3720.6909258406263</v>
      </c>
      <c r="AB144" s="85">
        <f>AB$284*Population!AG$189</f>
        <v>3761.0449129239232</v>
      </c>
      <c r="AC144" s="85">
        <f>AC$284*Population!AH$189</f>
        <v>3996.6623207301177</v>
      </c>
      <c r="AD144" s="85">
        <f>AD$284*Population!AI$189</f>
        <v>4102.459436379163</v>
      </c>
      <c r="AE144" s="85">
        <f>AE$284*Population!AJ$189</f>
        <v>4272.5615763546803</v>
      </c>
      <c r="AF144" s="85">
        <f>AF$284*Population!AK$189</f>
        <v>4414.8881789137376</v>
      </c>
      <c r="AG144" s="85">
        <f>AG$284*Population!AL$189</f>
        <v>4432.3649459783919</v>
      </c>
      <c r="AH144" s="85">
        <f>AH$284*Population!AM$189</f>
        <v>4434.5520289272799</v>
      </c>
      <c r="AI144" s="85">
        <f>AI$284*Population!AN$189</f>
        <v>4333.5675899131875</v>
      </c>
      <c r="AJ144" s="85">
        <f>AJ$284*Population!AO$189</f>
        <v>4327.8059950041634</v>
      </c>
      <c r="AK144" s="85">
        <f>AK$284*Population!AP$189</f>
        <v>4326.1750000000002</v>
      </c>
      <c r="AL144" s="85">
        <f>AL$284*Population!AQ$189</f>
        <v>4423.7479541734856</v>
      </c>
      <c r="AM144" s="85">
        <f>AM$284*Population!AR$189</f>
        <v>4521.1570912012858</v>
      </c>
      <c r="AN144" s="85">
        <f>AN$284*Population!AS$189</f>
        <v>4527.0858524788391</v>
      </c>
      <c r="AO144" s="85">
        <f>AO$284*Population!AT$189</f>
        <v>4657.7119309262171</v>
      </c>
      <c r="AP144" s="85">
        <f>AP$284*Population!AU$189</f>
        <v>4652.347826086957</v>
      </c>
      <c r="AQ144" s="85">
        <f>AQ$284*Population!AV$189</f>
        <v>4524.270578647107</v>
      </c>
      <c r="AR144" s="85">
        <f>AR$284*Population!AW$189</f>
        <v>4428.061821219716</v>
      </c>
      <c r="AS144" s="85">
        <f>AS$284*Population!AX$189</f>
        <v>4288.5838025119101</v>
      </c>
      <c r="AT144" s="85">
        <f>AT$284*Population!AY$189</f>
        <v>4210.284951024043</v>
      </c>
      <c r="AU144" s="85">
        <f>AU$284*Population!AZ$189</f>
        <v>4230.2922940655444</v>
      </c>
      <c r="AV144" s="85">
        <f>AV$284*Population!BA$189</f>
        <v>4162.2292418772568</v>
      </c>
      <c r="AW144" s="85">
        <f>AW$284*Population!BB$189</f>
        <v>4294.1435490973145</v>
      </c>
      <c r="AX144" s="85">
        <f>AX$284*Population!BC$189</f>
        <v>4389.9179974104445</v>
      </c>
      <c r="AY144" s="85">
        <f>AY$284*Population!BD$189</f>
        <v>4531.3470415442716</v>
      </c>
      <c r="AZ144" s="85">
        <f>AZ$284*Population!BE$189</f>
        <v>4600.3062913907288</v>
      </c>
      <c r="BA144" s="85">
        <f>BA$284*Population!BF$189</f>
        <v>4793.620414673047</v>
      </c>
      <c r="BB144" s="85">
        <f>BB$284*Population!BG$189</f>
        <v>4889.85484503727</v>
      </c>
      <c r="BC144" s="85">
        <f>BC$284*Population!BH$189</f>
        <v>4994.4397381594144</v>
      </c>
      <c r="BD144" s="85">
        <f>BD$284*Population!BI$189</f>
        <v>5222.3562152133582</v>
      </c>
      <c r="BE144" s="85">
        <f>BE$284*Population!BJ$189</f>
        <v>5480.8630527817404</v>
      </c>
      <c r="BF144" s="85">
        <f>BF$284*Population!BK$189</f>
        <v>5764.9031600407752</v>
      </c>
      <c r="BG144" s="85">
        <f>BG$284*Population!BL$189</f>
        <v>6115.8670520231208</v>
      </c>
    </row>
    <row r="145" spans="1:59" x14ac:dyDescent="0.2">
      <c r="C145" s="29" t="s">
        <v>1267</v>
      </c>
      <c r="F145" s="85">
        <f>F$285*SUM(Population!K$190:K$200)</f>
        <v>4189.9656562639984</v>
      </c>
      <c r="G145" s="85">
        <f>G$285*SUM(Population!L$190:L$200)</f>
        <v>4501.3056724212965</v>
      </c>
      <c r="H145" s="85">
        <f>H$285*SUM(Population!M$190:M$200)</f>
        <v>4789.2195395845029</v>
      </c>
      <c r="I145" s="85">
        <f>I$285*SUM(Population!N$190:N$200)</f>
        <v>5089.6285249457706</v>
      </c>
      <c r="J145" s="85">
        <f>J$285*SUM(Population!O$190:O$200)</f>
        <v>5482.7473532871518</v>
      </c>
      <c r="K145" s="85">
        <f>K$285*SUM(Population!P$190:P$200)</f>
        <v>5978.3150548354943</v>
      </c>
      <c r="L145" s="85">
        <f>L$285*SUM(Population!Q$190:Q$200)</f>
        <v>6564.9392043442331</v>
      </c>
      <c r="M145" s="85">
        <f>M$285*SUM(Population!R$190:R$200)</f>
        <v>7061.7808680049347</v>
      </c>
      <c r="N145" s="85">
        <f>N$285*SUM(Population!S$190:S$200)</f>
        <v>7351.8647007805721</v>
      </c>
      <c r="O145" s="85">
        <f>O$285*SUM(Population!T$190:T$200)</f>
        <v>7846.0080770425593</v>
      </c>
      <c r="P145" s="85">
        <f>P$285*SUM(Population!U$190:U$200)</f>
        <v>8441.2113427526929</v>
      </c>
      <c r="Q145" s="85">
        <f>Q$285*SUM(Population!V$190:V$200)</f>
        <v>8944.1309255079013</v>
      </c>
      <c r="R145" s="85">
        <f>R$285*SUM(Population!W$190:W$200)</f>
        <v>9839.2051934380215</v>
      </c>
      <c r="S145" s="85">
        <f>S$285*SUM(Population!X$190:X$200)</f>
        <v>10651.391756834888</v>
      </c>
      <c r="T145" s="85">
        <f>T$285*SUM(Population!Y$190:Y$200)</f>
        <v>11346.512355333123</v>
      </c>
      <c r="U145" s="85">
        <f>U$285*SUM(Population!Z$190:Z$200)</f>
        <v>12045.982142857143</v>
      </c>
      <c r="V145" s="85">
        <f>V$285*SUM(Population!AA$190:AA$200)</f>
        <v>12658.43472073995</v>
      </c>
      <c r="W145" s="85">
        <f>W$285*SUM(Population!AB$190:AB$200)</f>
        <v>13265.522886963639</v>
      </c>
      <c r="X145" s="85">
        <f>X$285*SUM(Population!AC$190:AC$200)</f>
        <v>13763.800904977375</v>
      </c>
      <c r="Y145" s="85">
        <f>Y$285*SUM(Population!AD$190:AD$200)</f>
        <v>14384.555205047318</v>
      </c>
      <c r="Z145" s="85">
        <f>Z$285*SUM(Population!AE$190:AE$200)</f>
        <v>14998.176845943481</v>
      </c>
      <c r="AA145" s="85">
        <f>AA$285*SUM(Population!AF$190:AF$200)</f>
        <v>15618.260564204611</v>
      </c>
      <c r="AB145" s="85">
        <f>AB$285*SUM(Population!AG$190:AG$200)</f>
        <v>16343.204376268892</v>
      </c>
      <c r="AC145" s="85">
        <f>AC$285*SUM(Population!AH$190:AH$200)</f>
        <v>16955.273916598526</v>
      </c>
      <c r="AD145" s="85">
        <f>AD$285*SUM(Population!AI$190:AI$200)</f>
        <v>17581.86596583443</v>
      </c>
      <c r="AE145" s="85">
        <f>AE$285*SUM(Population!AJ$190:AJ$200)</f>
        <v>18314.60491570181</v>
      </c>
      <c r="AF145" s="85">
        <f>AF$285*SUM(Population!AK$190:AK$200)</f>
        <v>19046.446961894955</v>
      </c>
      <c r="AG145" s="85">
        <f>AG$285*SUM(Population!AL$190:AL$200)</f>
        <v>19766.054524801209</v>
      </c>
      <c r="AH145" s="85">
        <f>AH$285*SUM(Population!AM$190:AM$200)</f>
        <v>20503.987335964026</v>
      </c>
      <c r="AI145" s="85">
        <f>AI$285*SUM(Population!AN$190:AN$200)</f>
        <v>21030.141875613455</v>
      </c>
      <c r="AJ145" s="85">
        <f>AJ$285*SUM(Population!AO$190:AO$200)</f>
        <v>21366.972076788828</v>
      </c>
      <c r="AK145" s="85">
        <f>AK$285*SUM(Population!AP$190:AP$200)</f>
        <v>21707.781867990754</v>
      </c>
      <c r="AL145" s="85">
        <f>AL$285*SUM(Population!AQ$190:AQ$200)</f>
        <v>22033.298266285135</v>
      </c>
      <c r="AM145" s="85">
        <f>AM$285*SUM(Population!AR$190:AR$200)</f>
        <v>22373.128154215276</v>
      </c>
      <c r="AN145" s="85">
        <f>AN$285*SUM(Population!AS$190:AS$200)</f>
        <v>22717.144483754219</v>
      </c>
      <c r="AO145" s="85">
        <f>AO$285*SUM(Population!AT$190:AT$200)</f>
        <v>23061.704854991189</v>
      </c>
      <c r="AP145" s="85">
        <f>AP$285*SUM(Population!AU$190:AU$200)</f>
        <v>23503.113668611069</v>
      </c>
      <c r="AQ145" s="85">
        <f>AQ$285*SUM(Population!AV$190:AV$200)</f>
        <v>23753.626117372718</v>
      </c>
      <c r="AR145" s="85">
        <f>AR$285*SUM(Population!AW$190:AW$200)</f>
        <v>23998.684210526317</v>
      </c>
      <c r="AS145" s="85">
        <f>AS$285*SUM(Population!AX$190:AX$200)</f>
        <v>24045.677596881447</v>
      </c>
      <c r="AT145" s="85">
        <f>AT$285*SUM(Population!AY$190:AY$200)</f>
        <v>23995.50913041821</v>
      </c>
      <c r="AU145" s="85">
        <f>AU$285*SUM(Population!AZ$190:AZ$200)</f>
        <v>23952.609308885756</v>
      </c>
      <c r="AV145" s="85">
        <f>AV$285*SUM(Population!BA$190:BA$200)</f>
        <v>23900.438379140778</v>
      </c>
      <c r="AW145" s="85">
        <f>AW$285*SUM(Population!BB$190:BB$200)</f>
        <v>23750.189068408388</v>
      </c>
      <c r="AX145" s="85">
        <f>AX$285*SUM(Population!BC$190:BC$200)</f>
        <v>23810.159590714724</v>
      </c>
      <c r="AY145" s="85">
        <f>AY$285*SUM(Population!BD$190:BD$200)</f>
        <v>23875.693597560974</v>
      </c>
      <c r="AZ145" s="85">
        <f>AZ$285*SUM(Population!BE$190:BE$200)</f>
        <v>24155.138662316476</v>
      </c>
      <c r="BA145" s="85">
        <f>BA$285*SUM(Population!BF$190:BF$200)</f>
        <v>24442.053429929816</v>
      </c>
      <c r="BB145" s="85">
        <f>BB$285*SUM(Population!BG$190:BG$200)</f>
        <v>24838.018321181527</v>
      </c>
      <c r="BC145" s="85">
        <f>BC$285*SUM(Population!BH$190:BH$200)</f>
        <v>25222.522655816534</v>
      </c>
      <c r="BD145" s="85">
        <f>BD$285*SUM(Population!BI$190:BI$200)</f>
        <v>25732.806049757059</v>
      </c>
      <c r="BE145" s="85">
        <f>BE$285*SUM(Population!BJ$190:BJ$200)</f>
        <v>26349.665636010643</v>
      </c>
      <c r="BF145" s="85">
        <f>BF$285*SUM(Population!BK$190:BK$200)</f>
        <v>27107.006099925955</v>
      </c>
      <c r="BG145" s="85">
        <f>BG$285*SUM(Population!BL$190:BL$200)</f>
        <v>28085.028413983124</v>
      </c>
    </row>
    <row r="146" spans="1:59" x14ac:dyDescent="0.2">
      <c r="C146" s="76" t="s">
        <v>1270</v>
      </c>
      <c r="F146" s="86">
        <f t="shared" ref="F146:BG146" si="3">SUM(F$80:F$145)</f>
        <v>1312575.9442900871</v>
      </c>
      <c r="G146" s="86">
        <f t="shared" si="3"/>
        <v>1349342.6300174349</v>
      </c>
      <c r="H146" s="86">
        <f t="shared" si="3"/>
        <v>1383025.4131010238</v>
      </c>
      <c r="I146" s="86">
        <f t="shared" si="3"/>
        <v>1412804.8884978658</v>
      </c>
      <c r="J146" s="86">
        <f t="shared" si="3"/>
        <v>1438538.870759723</v>
      </c>
      <c r="K146" s="86">
        <f t="shared" si="3"/>
        <v>1460047.4803358975</v>
      </c>
      <c r="L146" s="86">
        <f t="shared" si="3"/>
        <v>1477717.3237743843</v>
      </c>
      <c r="M146" s="86">
        <f t="shared" si="3"/>
        <v>1491350.1498146672</v>
      </c>
      <c r="N146" s="86">
        <f t="shared" si="3"/>
        <v>1504895.4213126523</v>
      </c>
      <c r="O146" s="86">
        <f t="shared" si="3"/>
        <v>1518386.333579263</v>
      </c>
      <c r="P146" s="86">
        <f t="shared" si="3"/>
        <v>1532027.9983613812</v>
      </c>
      <c r="Q146" s="86">
        <f t="shared" si="3"/>
        <v>1545006.3490909201</v>
      </c>
      <c r="R146" s="86">
        <f t="shared" si="3"/>
        <v>1557727.2752930077</v>
      </c>
      <c r="S146" s="86">
        <f t="shared" si="3"/>
        <v>1569981.5101634029</v>
      </c>
      <c r="T146" s="86">
        <f t="shared" si="3"/>
        <v>1581610.147626987</v>
      </c>
      <c r="U146" s="86">
        <f t="shared" si="3"/>
        <v>1592944.3797668896</v>
      </c>
      <c r="V146" s="86">
        <f t="shared" si="3"/>
        <v>1603748.9161095314</v>
      </c>
      <c r="W146" s="86">
        <f t="shared" si="3"/>
        <v>1614244.2228615654</v>
      </c>
      <c r="X146" s="86">
        <f t="shared" si="3"/>
        <v>1624454.922545515</v>
      </c>
      <c r="Y146" s="86">
        <f t="shared" si="3"/>
        <v>1634623.1791669189</v>
      </c>
      <c r="Z146" s="86">
        <f t="shared" si="3"/>
        <v>1644747.122679102</v>
      </c>
      <c r="AA146" s="86">
        <f t="shared" si="3"/>
        <v>1654868.3442677022</v>
      </c>
      <c r="AB146" s="86">
        <f t="shared" si="3"/>
        <v>1665206.4212736536</v>
      </c>
      <c r="AC146" s="86">
        <f t="shared" si="3"/>
        <v>1675604.2054762105</v>
      </c>
      <c r="AD146" s="86">
        <f t="shared" si="3"/>
        <v>1686057.4508000654</v>
      </c>
      <c r="AE146" s="86">
        <f t="shared" si="3"/>
        <v>1696882.321192347</v>
      </c>
      <c r="AF146" s="86">
        <f t="shared" si="3"/>
        <v>1707686.7937972529</v>
      </c>
      <c r="AG146" s="86">
        <f t="shared" si="3"/>
        <v>1718537.7351058063</v>
      </c>
      <c r="AH146" s="86">
        <f t="shared" si="3"/>
        <v>1729307.3831662496</v>
      </c>
      <c r="AI146" s="86">
        <f t="shared" si="3"/>
        <v>1740002.4808620187</v>
      </c>
      <c r="AJ146" s="86">
        <f t="shared" si="3"/>
        <v>1750390.4331150865</v>
      </c>
      <c r="AK146" s="86">
        <f t="shared" si="3"/>
        <v>1760561.178808616</v>
      </c>
      <c r="AL146" s="86">
        <f t="shared" si="3"/>
        <v>1770556.9791899086</v>
      </c>
      <c r="AM146" s="86">
        <f t="shared" si="3"/>
        <v>1780074.9750275151</v>
      </c>
      <c r="AN146" s="86">
        <f t="shared" si="3"/>
        <v>1789345.2473326011</v>
      </c>
      <c r="AO146" s="86">
        <f t="shared" si="3"/>
        <v>1798105.1016638875</v>
      </c>
      <c r="AP146" s="86">
        <f t="shared" si="3"/>
        <v>1806515.0712648157</v>
      </c>
      <c r="AQ146" s="86">
        <f t="shared" si="3"/>
        <v>1814239.0500750504</v>
      </c>
      <c r="AR146" s="86">
        <f t="shared" si="3"/>
        <v>1821389.3723559051</v>
      </c>
      <c r="AS146" s="86">
        <f t="shared" si="3"/>
        <v>1827952.5186894292</v>
      </c>
      <c r="AT146" s="86">
        <f t="shared" si="3"/>
        <v>1833784.8726853714</v>
      </c>
      <c r="AU146" s="86">
        <f t="shared" si="3"/>
        <v>1839092.546700106</v>
      </c>
      <c r="AV146" s="86">
        <f t="shared" si="3"/>
        <v>1843823.9813117119</v>
      </c>
      <c r="AW146" s="86">
        <f t="shared" si="3"/>
        <v>1847871.8845759961</v>
      </c>
      <c r="AX146" s="86">
        <f t="shared" si="3"/>
        <v>1851691.9464395954</v>
      </c>
      <c r="AY146" s="86">
        <f t="shared" si="3"/>
        <v>1854951.037882637</v>
      </c>
      <c r="AZ146" s="86">
        <f t="shared" si="3"/>
        <v>1857866.143168123</v>
      </c>
      <c r="BA146" s="86">
        <f t="shared" si="3"/>
        <v>1860447.9632997322</v>
      </c>
      <c r="BB146" s="86">
        <f t="shared" si="3"/>
        <v>1862891.6250444215</v>
      </c>
      <c r="BC146" s="86">
        <f t="shared" si="3"/>
        <v>1865135.9666507482</v>
      </c>
      <c r="BD146" s="86">
        <f t="shared" si="3"/>
        <v>1867490.1768545727</v>
      </c>
      <c r="BE146" s="86">
        <f t="shared" si="3"/>
        <v>1869608.3336042813</v>
      </c>
      <c r="BF146" s="86">
        <f t="shared" si="3"/>
        <v>1871816.7398022567</v>
      </c>
      <c r="BG146" s="86">
        <f t="shared" si="3"/>
        <v>1874142.5584232898</v>
      </c>
    </row>
    <row r="148" spans="1:59" x14ac:dyDescent="0.2">
      <c r="A148" s="76" t="s">
        <v>1271</v>
      </c>
    </row>
    <row r="149" spans="1:59" x14ac:dyDescent="0.2">
      <c r="A149" s="76" t="s">
        <v>1272</v>
      </c>
      <c r="C149" s="76" t="s">
        <v>1266</v>
      </c>
    </row>
    <row r="150" spans="1:59" x14ac:dyDescent="0.2">
      <c r="C150" s="29">
        <v>15</v>
      </c>
      <c r="F150" s="87">
        <v>0.21848184818481847</v>
      </c>
      <c r="G150" s="87">
        <v>0.21354688021354687</v>
      </c>
      <c r="H150" s="87">
        <v>0.20875303924973948</v>
      </c>
      <c r="I150" s="87">
        <v>0.20442571127502634</v>
      </c>
      <c r="J150" s="87">
        <v>0.2</v>
      </c>
      <c r="K150" s="87">
        <v>0.19603753910323254</v>
      </c>
      <c r="L150" s="87">
        <v>0.19232076112810056</v>
      </c>
      <c r="M150" s="87">
        <v>0.18903036238981391</v>
      </c>
      <c r="N150" s="87">
        <v>0.1857682619647355</v>
      </c>
      <c r="O150" s="87">
        <v>0.18254475703324807</v>
      </c>
      <c r="P150" s="87">
        <v>0.1796313651983755</v>
      </c>
      <c r="Q150" s="87">
        <v>0.17725966145001598</v>
      </c>
      <c r="R150" s="87">
        <v>0.17453598176489743</v>
      </c>
      <c r="S150" s="87">
        <v>0.17220744680851063</v>
      </c>
      <c r="T150" s="87">
        <v>0.17022008253094911</v>
      </c>
      <c r="U150" s="87">
        <v>0.16805555555555557</v>
      </c>
      <c r="V150" s="87">
        <v>0.16620973269362577</v>
      </c>
      <c r="W150" s="87">
        <v>0.16474576271186442</v>
      </c>
      <c r="X150" s="87">
        <v>0.16291568693315417</v>
      </c>
      <c r="Y150" s="87">
        <v>0.16183816183816183</v>
      </c>
      <c r="Z150" s="87">
        <v>0.16044899306701882</v>
      </c>
      <c r="AA150" s="87">
        <v>0.15929203539823009</v>
      </c>
      <c r="AB150" s="87">
        <v>0.15792901335070009</v>
      </c>
      <c r="AC150" s="87">
        <v>0.15711046323291222</v>
      </c>
      <c r="AD150" s="87">
        <v>0.1560786842953886</v>
      </c>
      <c r="AE150" s="87">
        <v>0.15525554484088716</v>
      </c>
      <c r="AF150" s="87">
        <v>0.15458627325208468</v>
      </c>
      <c r="AG150" s="87">
        <v>0.15411727010573534</v>
      </c>
      <c r="AH150" s="87">
        <v>0.15342729019859064</v>
      </c>
      <c r="AI150" s="87">
        <v>0.15293363257454312</v>
      </c>
      <c r="AJ150" s="87">
        <v>0.1525369299935774</v>
      </c>
      <c r="AK150" s="87">
        <v>0.15191503057611844</v>
      </c>
      <c r="AL150" s="87">
        <v>0.15171078114912848</v>
      </c>
      <c r="AM150" s="87">
        <v>0.15145631067961166</v>
      </c>
      <c r="AN150" s="87">
        <v>0.15115147583522542</v>
      </c>
      <c r="AO150" s="87">
        <v>0.15107212475633527</v>
      </c>
      <c r="AP150" s="87">
        <v>0.15089430894308944</v>
      </c>
      <c r="AQ150" s="87">
        <v>0.15056910569105691</v>
      </c>
      <c r="AR150" s="87">
        <v>0.15052015604681404</v>
      </c>
      <c r="AS150" s="87">
        <v>0.15032467532467533</v>
      </c>
      <c r="AT150" s="87">
        <v>0.15012970168612191</v>
      </c>
      <c r="AU150" s="87">
        <v>0.15025906735751296</v>
      </c>
      <c r="AV150" s="87">
        <v>0.1500646830530401</v>
      </c>
      <c r="AW150" s="87">
        <v>0.15019379844961239</v>
      </c>
      <c r="AX150" s="87">
        <v>0.1500968366688186</v>
      </c>
      <c r="AY150" s="87">
        <v>0.14995162850693325</v>
      </c>
      <c r="AZ150" s="87">
        <v>0.14990328820116053</v>
      </c>
      <c r="BA150" s="87">
        <v>0.15017724782468578</v>
      </c>
      <c r="BB150" s="87">
        <v>0.15012886597938144</v>
      </c>
      <c r="BC150" s="87">
        <v>0.15003219575016097</v>
      </c>
      <c r="BD150" s="87">
        <v>0.14988742360887744</v>
      </c>
      <c r="BE150" s="87">
        <v>0.15001606167683906</v>
      </c>
      <c r="BF150" s="87">
        <v>0.150096215522771</v>
      </c>
      <c r="BG150" s="87">
        <v>0.15012804097311139</v>
      </c>
    </row>
    <row r="151" spans="1:59" x14ac:dyDescent="0.2">
      <c r="C151" s="29">
        <v>16</v>
      </c>
      <c r="F151" s="87">
        <v>0.32849915682967962</v>
      </c>
      <c r="G151" s="87">
        <v>0.32637756765568959</v>
      </c>
      <c r="H151" s="87">
        <v>0.32440476190476192</v>
      </c>
      <c r="I151" s="87">
        <v>0.32266941864465082</v>
      </c>
      <c r="J151" s="87">
        <v>0.32080723729993044</v>
      </c>
      <c r="K151" s="87">
        <v>0.31909805261359753</v>
      </c>
      <c r="L151" s="87">
        <v>0.31749311294765842</v>
      </c>
      <c r="M151" s="87">
        <v>0.31605520026926959</v>
      </c>
      <c r="N151" s="87">
        <v>0.31478485926884503</v>
      </c>
      <c r="O151" s="87">
        <v>0.31345613487355606</v>
      </c>
      <c r="P151" s="87">
        <v>0.31251980982567351</v>
      </c>
      <c r="Q151" s="87">
        <v>0.31133828996282525</v>
      </c>
      <c r="R151" s="87">
        <v>0.31022475466919913</v>
      </c>
      <c r="S151" s="87">
        <v>0.30923176242737249</v>
      </c>
      <c r="T151" s="87">
        <v>0.30830039525691699</v>
      </c>
      <c r="U151" s="87">
        <v>0.30766609880749574</v>
      </c>
      <c r="V151" s="87">
        <v>0.30684554523563812</v>
      </c>
      <c r="W151" s="87">
        <v>0.30594227504244481</v>
      </c>
      <c r="X151" s="87">
        <v>0.30534094726234462</v>
      </c>
      <c r="Y151" s="87">
        <v>0.30492676431424764</v>
      </c>
      <c r="Z151" s="87">
        <v>0.30429042904290426</v>
      </c>
      <c r="AA151" s="87">
        <v>0.30366492146596857</v>
      </c>
      <c r="AB151" s="87">
        <v>0.30334524196167589</v>
      </c>
      <c r="AC151" s="87">
        <v>0.30309877340219499</v>
      </c>
      <c r="AD151" s="87">
        <v>0.30240770465489569</v>
      </c>
      <c r="AE151" s="87">
        <v>0.30210997442455245</v>
      </c>
      <c r="AF151" s="87">
        <v>0.30210325047801145</v>
      </c>
      <c r="AG151" s="87">
        <v>0.30174880763116058</v>
      </c>
      <c r="AH151" s="87">
        <v>0.30136551286122576</v>
      </c>
      <c r="AI151" s="87">
        <v>0.30136551286122576</v>
      </c>
      <c r="AJ151" s="87">
        <v>0.30092151255163646</v>
      </c>
      <c r="AK151" s="87">
        <v>0.3008595988538682</v>
      </c>
      <c r="AL151" s="87">
        <v>0.30057434588385451</v>
      </c>
      <c r="AM151" s="87">
        <v>0.30070377479206656</v>
      </c>
      <c r="AN151" s="87">
        <v>0.30051314945477869</v>
      </c>
      <c r="AO151" s="87">
        <v>0.30022500803600127</v>
      </c>
      <c r="AP151" s="87">
        <v>0.30038634900193173</v>
      </c>
      <c r="AQ151" s="87">
        <v>0.30035449564937156</v>
      </c>
      <c r="AR151" s="87">
        <v>0.30012894906511928</v>
      </c>
      <c r="AS151" s="87">
        <v>0.30025773195876287</v>
      </c>
      <c r="AT151" s="87">
        <v>0.29996781461216609</v>
      </c>
      <c r="AU151" s="87">
        <v>0.30022500803600127</v>
      </c>
      <c r="AV151" s="87">
        <v>0.3001605136436597</v>
      </c>
      <c r="AW151" s="87">
        <v>0.3</v>
      </c>
      <c r="AX151" s="87">
        <v>0.30003202049311561</v>
      </c>
      <c r="AY151" s="87">
        <v>0.30006397952655151</v>
      </c>
      <c r="AZ151" s="87">
        <v>0.29987212276214836</v>
      </c>
      <c r="BA151" s="87">
        <v>0.3</v>
      </c>
      <c r="BB151" s="87">
        <v>0.29990418396678376</v>
      </c>
      <c r="BC151" s="87">
        <v>0.30012771392081738</v>
      </c>
      <c r="BD151" s="87">
        <v>0.29993618379068282</v>
      </c>
      <c r="BE151" s="87">
        <v>0.2999681224099458</v>
      </c>
      <c r="BF151" s="87">
        <v>0.29990448901623684</v>
      </c>
      <c r="BG151" s="87">
        <v>0.3000635727908455</v>
      </c>
    </row>
    <row r="152" spans="1:59" x14ac:dyDescent="0.2">
      <c r="C152" s="29">
        <v>17</v>
      </c>
      <c r="F152" s="87">
        <v>0.48177083333333331</v>
      </c>
      <c r="G152" s="87">
        <v>0.48181514848181517</v>
      </c>
      <c r="H152" s="87">
        <v>0.48169744088111432</v>
      </c>
      <c r="I152" s="87">
        <v>0.48160315374507229</v>
      </c>
      <c r="J152" s="87">
        <v>0.4813802528185856</v>
      </c>
      <c r="K152" s="87">
        <v>0.48117443868739207</v>
      </c>
      <c r="L152" s="87">
        <v>0.48100407055630934</v>
      </c>
      <c r="M152" s="87">
        <v>0.48119015047879615</v>
      </c>
      <c r="N152" s="87">
        <v>0.48110999665663656</v>
      </c>
      <c r="O152" s="87">
        <v>0.48087431693989069</v>
      </c>
      <c r="P152" s="87">
        <v>0.48091839900713623</v>
      </c>
      <c r="Q152" s="87">
        <v>0.4806299212598425</v>
      </c>
      <c r="R152" s="87">
        <v>0.48060344827586204</v>
      </c>
      <c r="S152" s="87">
        <v>0.48065429380308272</v>
      </c>
      <c r="T152" s="87">
        <v>0.48060275729400448</v>
      </c>
      <c r="U152" s="87">
        <v>0.48036649214659688</v>
      </c>
      <c r="V152" s="87">
        <v>0.48037889039242221</v>
      </c>
      <c r="W152" s="87">
        <v>0.4801912568306011</v>
      </c>
      <c r="X152" s="87">
        <v>0.48044504383007419</v>
      </c>
      <c r="Y152" s="87">
        <v>0.48048048048048048</v>
      </c>
      <c r="Z152" s="87">
        <v>0.48048941798941797</v>
      </c>
      <c r="AA152" s="87">
        <v>0.4801704359226483</v>
      </c>
      <c r="AB152" s="87">
        <v>0.48016905071521454</v>
      </c>
      <c r="AC152" s="87">
        <v>0.48015488867376571</v>
      </c>
      <c r="AD152" s="87">
        <v>0.4799615261301699</v>
      </c>
      <c r="AE152" s="87">
        <v>0.48006379585326953</v>
      </c>
      <c r="AF152" s="87">
        <v>0.48015242934264846</v>
      </c>
      <c r="AG152" s="87">
        <v>0.47989870212092434</v>
      </c>
      <c r="AH152" s="87">
        <v>0.48025276461295419</v>
      </c>
      <c r="AI152" s="87">
        <v>0.47996213316503628</v>
      </c>
      <c r="AJ152" s="87">
        <v>0.48012618296529969</v>
      </c>
      <c r="AK152" s="87">
        <v>0.4799494790022103</v>
      </c>
      <c r="AL152" s="87">
        <v>0.48007590132827327</v>
      </c>
      <c r="AM152" s="87">
        <v>0.47987321711568937</v>
      </c>
      <c r="AN152" s="87">
        <v>0.47982205274864953</v>
      </c>
      <c r="AO152" s="87">
        <v>0.47992351816443596</v>
      </c>
      <c r="AP152" s="87">
        <v>0.48003832641328648</v>
      </c>
      <c r="AQ152" s="87">
        <v>0.48016634676903391</v>
      </c>
      <c r="AR152" s="87">
        <v>0.47998719180275379</v>
      </c>
      <c r="AS152" s="87">
        <v>0.47998719180275379</v>
      </c>
      <c r="AT152" s="87">
        <v>0.48</v>
      </c>
      <c r="AU152" s="87">
        <v>0.47985933503836314</v>
      </c>
      <c r="AV152" s="87">
        <v>0.47988505747126436</v>
      </c>
      <c r="AW152" s="87">
        <v>0.4799107142857143</v>
      </c>
      <c r="AX152" s="87">
        <v>0.47993630573248408</v>
      </c>
      <c r="AY152" s="87">
        <v>0.47996183206106868</v>
      </c>
      <c r="AZ152" s="87">
        <v>0.47982205274864953</v>
      </c>
      <c r="BA152" s="87">
        <v>0.47983486821213084</v>
      </c>
      <c r="BB152" s="87">
        <v>0.48</v>
      </c>
      <c r="BC152" s="87">
        <v>0.48016502697556329</v>
      </c>
      <c r="BD152" s="87">
        <v>0.47986045036473202</v>
      </c>
      <c r="BE152" s="87">
        <v>0.47987321711568937</v>
      </c>
      <c r="BF152" s="87">
        <v>0.48020272410516313</v>
      </c>
      <c r="BG152" s="87">
        <v>0.4799114204365707</v>
      </c>
    </row>
    <row r="153" spans="1:59" x14ac:dyDescent="0.2">
      <c r="C153" s="29">
        <v>18</v>
      </c>
      <c r="F153" s="87">
        <v>0.57225248317846844</v>
      </c>
      <c r="G153" s="87">
        <v>0.5722114764667956</v>
      </c>
      <c r="H153" s="87">
        <v>0.57233122713668105</v>
      </c>
      <c r="I153" s="87">
        <v>0.57248950597352277</v>
      </c>
      <c r="J153" s="87">
        <v>0.57236411263916176</v>
      </c>
      <c r="K153" s="87">
        <v>0.57235274089206678</v>
      </c>
      <c r="L153" s="87">
        <v>0.57211703958691906</v>
      </c>
      <c r="M153" s="87">
        <v>0.5723461798512508</v>
      </c>
      <c r="N153" s="87">
        <v>0.57225630538513972</v>
      </c>
      <c r="O153" s="87">
        <v>0.57247584138620455</v>
      </c>
      <c r="P153" s="87">
        <v>0.57225248317846844</v>
      </c>
      <c r="Q153" s="87">
        <v>0.57222394061243431</v>
      </c>
      <c r="R153" s="87">
        <v>0.57237048665620094</v>
      </c>
      <c r="S153" s="87">
        <v>0.57226142988646822</v>
      </c>
      <c r="T153" s="87">
        <v>0.57227971150830981</v>
      </c>
      <c r="U153" s="87">
        <v>0.57238734419942472</v>
      </c>
      <c r="V153" s="87">
        <v>0.57240704500978479</v>
      </c>
      <c r="W153" s="87">
        <v>0.57215104517869186</v>
      </c>
      <c r="X153" s="87">
        <v>0.57215793056501019</v>
      </c>
      <c r="Y153" s="87">
        <v>0.572244623655914</v>
      </c>
      <c r="Z153" s="87">
        <v>0.57214095744680848</v>
      </c>
      <c r="AA153" s="87">
        <v>0.57232289950576609</v>
      </c>
      <c r="AB153" s="87">
        <v>0.57236197321136884</v>
      </c>
      <c r="AC153" s="87">
        <v>0.57240038872691934</v>
      </c>
      <c r="AD153" s="87">
        <v>0.57220971373431972</v>
      </c>
      <c r="AE153" s="87">
        <v>0.57238734419942472</v>
      </c>
      <c r="AF153" s="87">
        <v>0.57215511760966309</v>
      </c>
      <c r="AG153" s="87">
        <v>0.57233301677746118</v>
      </c>
      <c r="AH153" s="87">
        <v>0.57242032186809721</v>
      </c>
      <c r="AI153" s="87">
        <v>0.57241813602015112</v>
      </c>
      <c r="AJ153" s="87">
        <v>0.57232704402515722</v>
      </c>
      <c r="AK153" s="87">
        <v>0.57232704402515722</v>
      </c>
      <c r="AL153" s="87">
        <v>0.57237256135934556</v>
      </c>
      <c r="AM153" s="87">
        <v>0.57250945775535944</v>
      </c>
      <c r="AN153" s="87">
        <v>0.57219589257503944</v>
      </c>
      <c r="AO153" s="87">
        <v>0.57237884067152356</v>
      </c>
      <c r="AP153" s="87">
        <v>0.57224515719275959</v>
      </c>
      <c r="AQ153" s="87">
        <v>0.57224697644812217</v>
      </c>
      <c r="AR153" s="87">
        <v>0.57220274147274464</v>
      </c>
      <c r="AS153" s="87">
        <v>0.57243139757498407</v>
      </c>
      <c r="AT153" s="87">
        <v>0.57211231652839822</v>
      </c>
      <c r="AU153" s="87">
        <v>0.57224880382775123</v>
      </c>
      <c r="AV153" s="87">
        <v>0.57233906947100066</v>
      </c>
      <c r="AW153" s="87">
        <v>0.57224697644812217</v>
      </c>
      <c r="AX153" s="87">
        <v>0.57229107086113762</v>
      </c>
      <c r="AY153" s="87">
        <v>0.57219930180894951</v>
      </c>
      <c r="AZ153" s="87">
        <v>0.57228915662650603</v>
      </c>
      <c r="BA153" s="87">
        <v>0.57237884067152356</v>
      </c>
      <c r="BB153" s="87">
        <v>0.57233301677746118</v>
      </c>
      <c r="BC153" s="87">
        <v>0.57228725086997789</v>
      </c>
      <c r="BD153" s="87">
        <v>0.57242251739405436</v>
      </c>
      <c r="BE153" s="87">
        <v>0.5722415428390768</v>
      </c>
      <c r="BF153" s="87">
        <v>0.57219589257503944</v>
      </c>
      <c r="BG153" s="87">
        <v>0.57228535353535348</v>
      </c>
    </row>
    <row r="154" spans="1:59" x14ac:dyDescent="0.2">
      <c r="C154" s="29">
        <v>19</v>
      </c>
      <c r="F154" s="87">
        <v>0.61869814932992984</v>
      </c>
      <c r="G154" s="87">
        <v>0.61849163774061222</v>
      </c>
      <c r="H154" s="87">
        <v>0.61863592699327574</v>
      </c>
      <c r="I154" s="87">
        <v>0.61856010568031705</v>
      </c>
      <c r="J154" s="87">
        <v>0.61866581141757537</v>
      </c>
      <c r="K154" s="87">
        <v>0.61853658536585365</v>
      </c>
      <c r="L154" s="87">
        <v>0.61866125760649082</v>
      </c>
      <c r="M154" s="87">
        <v>0.61859193438140803</v>
      </c>
      <c r="N154" s="87">
        <v>0.61866398120174559</v>
      </c>
      <c r="O154" s="87">
        <v>0.61861252115059218</v>
      </c>
      <c r="P154" s="87">
        <v>0.61846459298477829</v>
      </c>
      <c r="Q154" s="87">
        <v>0.61871419478039469</v>
      </c>
      <c r="R154" s="87">
        <v>0.61862323294406885</v>
      </c>
      <c r="S154" s="87">
        <v>0.6185277604491578</v>
      </c>
      <c r="T154" s="87">
        <v>0.61859756097560981</v>
      </c>
      <c r="U154" s="87">
        <v>0.61869158878504671</v>
      </c>
      <c r="V154" s="87">
        <v>0.61873015873015869</v>
      </c>
      <c r="W154" s="87">
        <v>0.61852331606217614</v>
      </c>
      <c r="X154" s="87">
        <v>0.61868095078674257</v>
      </c>
      <c r="Y154" s="87">
        <v>0.61845217979046974</v>
      </c>
      <c r="Z154" s="87">
        <v>0.61861861861861867</v>
      </c>
      <c r="AA154" s="87">
        <v>0.61868603499504782</v>
      </c>
      <c r="AB154" s="87">
        <v>0.61845549738219896</v>
      </c>
      <c r="AC154" s="87">
        <v>0.61855335711968862</v>
      </c>
      <c r="AD154" s="87">
        <v>0.61840411840411835</v>
      </c>
      <c r="AE154" s="87">
        <v>0.61833280102203769</v>
      </c>
      <c r="AF154" s="87">
        <v>0.61873015873015869</v>
      </c>
      <c r="AG154" s="87">
        <v>0.61856646668771709</v>
      </c>
      <c r="AH154" s="87">
        <v>0.61855345911949688</v>
      </c>
      <c r="AI154" s="87">
        <v>0.61849529780564261</v>
      </c>
      <c r="AJ154" s="87">
        <v>0.61870503597122306</v>
      </c>
      <c r="AK154" s="87">
        <v>0.61855670103092786</v>
      </c>
      <c r="AL154" s="87">
        <v>0.61855670103092786</v>
      </c>
      <c r="AM154" s="87">
        <v>0.61863082213191622</v>
      </c>
      <c r="AN154" s="87">
        <v>0.61865998747651851</v>
      </c>
      <c r="AO154" s="87">
        <v>0.61844995293379357</v>
      </c>
      <c r="AP154" s="87">
        <v>0.61862806796727499</v>
      </c>
      <c r="AQ154" s="87">
        <v>0.61861198738170342</v>
      </c>
      <c r="AR154" s="87">
        <v>0.61871640847296872</v>
      </c>
      <c r="AS154" s="87">
        <v>0.61842938568714378</v>
      </c>
      <c r="AT154" s="87">
        <v>0.61870047543581619</v>
      </c>
      <c r="AU154" s="87">
        <v>0.61870047543581619</v>
      </c>
      <c r="AV154" s="87">
        <v>0.61862527716186255</v>
      </c>
      <c r="AW154" s="87">
        <v>0.61867088607594933</v>
      </c>
      <c r="AX154" s="87">
        <v>0.6185208596713021</v>
      </c>
      <c r="AY154" s="87">
        <v>0.61868686868686873</v>
      </c>
      <c r="AZ154" s="87">
        <v>0.61853720050441363</v>
      </c>
      <c r="BA154" s="87">
        <v>0.61838790931989929</v>
      </c>
      <c r="BB154" s="87">
        <v>0.61843346964454227</v>
      </c>
      <c r="BC154" s="87">
        <v>0.61867337315309656</v>
      </c>
      <c r="BD154" s="87">
        <v>0.61879321181646763</v>
      </c>
      <c r="BE154" s="87">
        <v>0.61840452261306533</v>
      </c>
      <c r="BF154" s="87">
        <v>0.61852433281004715</v>
      </c>
      <c r="BG154" s="87">
        <v>0.61844995293379357</v>
      </c>
    </row>
    <row r="155" spans="1:59" x14ac:dyDescent="0.2">
      <c r="C155" s="29">
        <v>20</v>
      </c>
      <c r="F155" s="87">
        <v>0.6749688667496887</v>
      </c>
      <c r="G155" s="87">
        <v>0.67525125628140703</v>
      </c>
      <c r="H155" s="87">
        <v>0.67512531328320802</v>
      </c>
      <c r="I155" s="87">
        <v>0.6751430387794024</v>
      </c>
      <c r="J155" s="87">
        <v>0.67496723460026209</v>
      </c>
      <c r="K155" s="87">
        <v>0.67526265520534856</v>
      </c>
      <c r="L155" s="87">
        <v>0.67527437056165263</v>
      </c>
      <c r="M155" s="87">
        <v>0.67527675276752763</v>
      </c>
      <c r="N155" s="87">
        <v>0.67514411664971175</v>
      </c>
      <c r="O155" s="87">
        <v>0.67521652231845442</v>
      </c>
      <c r="P155" s="87">
        <v>0.67505874454514936</v>
      </c>
      <c r="Q155" s="87">
        <v>0.67498358502954692</v>
      </c>
      <c r="R155" s="87">
        <v>0.67519747235387051</v>
      </c>
      <c r="S155" s="87">
        <v>0.67510677242220862</v>
      </c>
      <c r="T155" s="87">
        <v>0.67523219814241486</v>
      </c>
      <c r="U155" s="87">
        <v>0.67514380865879509</v>
      </c>
      <c r="V155" s="87">
        <v>0.6750154607297465</v>
      </c>
      <c r="W155" s="87">
        <v>0.67517328292375556</v>
      </c>
      <c r="X155" s="87">
        <v>0.67502410800385726</v>
      </c>
      <c r="Y155" s="87">
        <v>0.67519096645632681</v>
      </c>
      <c r="Z155" s="87">
        <v>0.67515923566878977</v>
      </c>
      <c r="AA155" s="87">
        <v>0.6749420721615359</v>
      </c>
      <c r="AB155" s="87">
        <v>0.67507369800196526</v>
      </c>
      <c r="AC155" s="87">
        <v>0.67500000000000004</v>
      </c>
      <c r="AD155" s="87">
        <v>0.67514488087572444</v>
      </c>
      <c r="AE155" s="87">
        <v>0.67496807151979565</v>
      </c>
      <c r="AF155" s="87">
        <v>0.67533291058972733</v>
      </c>
      <c r="AG155" s="87">
        <v>0.67517328292375556</v>
      </c>
      <c r="AH155" s="87">
        <v>0.67502350360388597</v>
      </c>
      <c r="AI155" s="87">
        <v>0.67509363295880154</v>
      </c>
      <c r="AJ155" s="87">
        <v>0.67517112632233978</v>
      </c>
      <c r="AK155" s="87">
        <v>0.67525613163613785</v>
      </c>
      <c r="AL155" s="87">
        <v>0.67503875968992244</v>
      </c>
      <c r="AM155" s="87">
        <v>0.67503875968992244</v>
      </c>
      <c r="AN155" s="87">
        <v>0.67514737821905058</v>
      </c>
      <c r="AO155" s="87">
        <v>0.6751631955237799</v>
      </c>
      <c r="AP155" s="87">
        <v>0.67507788161993765</v>
      </c>
      <c r="AQ155" s="87">
        <v>0.67520299812617113</v>
      </c>
      <c r="AR155" s="87">
        <v>0.6750156543519098</v>
      </c>
      <c r="AS155" s="87">
        <v>0.67524317540006273</v>
      </c>
      <c r="AT155" s="87">
        <v>0.67504714016341927</v>
      </c>
      <c r="AU155" s="87">
        <v>0.67505504875747091</v>
      </c>
      <c r="AV155" s="87">
        <v>0.67505504875747091</v>
      </c>
      <c r="AW155" s="87">
        <v>0.67515723270440253</v>
      </c>
      <c r="AX155" s="87">
        <v>0.67493718592964824</v>
      </c>
      <c r="AY155" s="87">
        <v>0.67503136762860727</v>
      </c>
      <c r="AZ155" s="87">
        <v>0.67512531328320802</v>
      </c>
      <c r="BA155" s="87">
        <v>0.67521902377972465</v>
      </c>
      <c r="BB155" s="87">
        <v>0.67500000000000004</v>
      </c>
      <c r="BC155" s="87">
        <v>0.67499219481735873</v>
      </c>
      <c r="BD155" s="87">
        <v>0.67519500780031205</v>
      </c>
      <c r="BE155" s="87">
        <v>0.67529631940112289</v>
      </c>
      <c r="BF155" s="87">
        <v>0.67518703241895262</v>
      </c>
      <c r="BG155" s="87">
        <v>0.67497662823309446</v>
      </c>
    </row>
    <row r="156" spans="1:59" x14ac:dyDescent="0.2">
      <c r="C156" s="29">
        <v>21</v>
      </c>
      <c r="F156" s="87">
        <v>0.693603744149766</v>
      </c>
      <c r="G156" s="87">
        <v>0.69339913633559536</v>
      </c>
      <c r="H156" s="87">
        <v>0.69346733668341709</v>
      </c>
      <c r="I156" s="87">
        <v>0.69360902255639101</v>
      </c>
      <c r="J156" s="87">
        <v>0.69357914812460264</v>
      </c>
      <c r="K156" s="87">
        <v>0.69364351245085187</v>
      </c>
      <c r="L156" s="87">
        <v>0.69350732017823047</v>
      </c>
      <c r="M156" s="87">
        <v>0.69367333763718531</v>
      </c>
      <c r="N156" s="87">
        <v>0.6934942991281019</v>
      </c>
      <c r="O156" s="87">
        <v>0.69379450661241093</v>
      </c>
      <c r="P156" s="87">
        <v>0.69353764157228515</v>
      </c>
      <c r="Q156" s="87">
        <v>0.6935213158778113</v>
      </c>
      <c r="R156" s="87">
        <v>0.69369665134602754</v>
      </c>
      <c r="S156" s="87">
        <v>0.69361970941250795</v>
      </c>
      <c r="T156" s="87">
        <v>0.69341061622940814</v>
      </c>
      <c r="U156" s="87">
        <v>0.69349845201238391</v>
      </c>
      <c r="V156" s="87">
        <v>0.69361186799878893</v>
      </c>
      <c r="W156" s="87">
        <v>0.69356833642547933</v>
      </c>
      <c r="X156" s="87">
        <v>0.69344675488342788</v>
      </c>
      <c r="Y156" s="87">
        <v>0.69366763098682094</v>
      </c>
      <c r="Z156" s="87">
        <v>0.69345732314845565</v>
      </c>
      <c r="AA156" s="87">
        <v>0.69359704994971505</v>
      </c>
      <c r="AB156" s="87">
        <v>0.69347898047004308</v>
      </c>
      <c r="AC156" s="87">
        <v>0.69341631182443497</v>
      </c>
      <c r="AD156" s="87">
        <v>0.69350649350649352</v>
      </c>
      <c r="AE156" s="87">
        <v>0.69359510782104927</v>
      </c>
      <c r="AF156" s="87">
        <v>0.69348659003831414</v>
      </c>
      <c r="AG156" s="87">
        <v>0.69350237717908081</v>
      </c>
      <c r="AH156" s="87">
        <v>0.69376181474480147</v>
      </c>
      <c r="AI156" s="87">
        <v>0.6935130053274835</v>
      </c>
      <c r="AJ156" s="87">
        <v>0.693603744149766</v>
      </c>
      <c r="AK156" s="87">
        <v>0.6933125972006221</v>
      </c>
      <c r="AL156" s="87">
        <v>0.69357342440235947</v>
      </c>
      <c r="AM156" s="87">
        <v>0.69364341085271319</v>
      </c>
      <c r="AN156" s="87">
        <v>0.69342839429634218</v>
      </c>
      <c r="AO156" s="87">
        <v>0.69345330437480612</v>
      </c>
      <c r="AP156" s="87">
        <v>0.69359850839030457</v>
      </c>
      <c r="AQ156" s="87">
        <v>0.69355341015260041</v>
      </c>
      <c r="AR156" s="87">
        <v>0.6934124258507649</v>
      </c>
      <c r="AS156" s="87">
        <v>0.69358372456964001</v>
      </c>
      <c r="AT156" s="87">
        <v>0.69353826850690092</v>
      </c>
      <c r="AU156" s="87">
        <v>0.69337103361608543</v>
      </c>
      <c r="AV156" s="87">
        <v>0.69339622641509435</v>
      </c>
      <c r="AW156" s="87">
        <v>0.69339622641509435</v>
      </c>
      <c r="AX156" s="87">
        <v>0.6934926123860421</v>
      </c>
      <c r="AY156" s="87">
        <v>0.69346733668341709</v>
      </c>
      <c r="AZ156" s="87">
        <v>0.69353826850690092</v>
      </c>
      <c r="BA156" s="87">
        <v>0.69339179455057942</v>
      </c>
      <c r="BB156" s="87">
        <v>0.69346262120738189</v>
      </c>
      <c r="BC156" s="87">
        <v>0.69374999999999998</v>
      </c>
      <c r="BD156" s="87">
        <v>0.69372463315641586</v>
      </c>
      <c r="BE156" s="87">
        <v>0.69338739862757326</v>
      </c>
      <c r="BF156" s="87">
        <v>0.69348300592454004</v>
      </c>
      <c r="BG156" s="87">
        <v>0.6935785536159601</v>
      </c>
    </row>
    <row r="157" spans="1:59" x14ac:dyDescent="0.2">
      <c r="C157" s="29">
        <v>22</v>
      </c>
      <c r="F157" s="87">
        <v>0.71331689272503085</v>
      </c>
      <c r="G157" s="87">
        <v>0.71322160148975788</v>
      </c>
      <c r="H157" s="87">
        <v>0.71317829457364346</v>
      </c>
      <c r="I157" s="87">
        <v>0.71306818181818177</v>
      </c>
      <c r="J157" s="87">
        <v>0.71307086614173232</v>
      </c>
      <c r="K157" s="87">
        <v>0.71332694151486098</v>
      </c>
      <c r="L157" s="87">
        <v>0.71301482701812191</v>
      </c>
      <c r="M157" s="87">
        <v>0.71296000000000004</v>
      </c>
      <c r="N157" s="87">
        <v>0.71317326411421156</v>
      </c>
      <c r="O157" s="87">
        <v>0.71298482293423271</v>
      </c>
      <c r="P157" s="87">
        <v>0.71292192294578927</v>
      </c>
      <c r="Q157" s="87">
        <v>0.71299397186872071</v>
      </c>
      <c r="R157" s="87">
        <v>0.71312858589267636</v>
      </c>
      <c r="S157" s="87">
        <v>0.71310663585341694</v>
      </c>
      <c r="T157" s="87">
        <v>0.71324229914258497</v>
      </c>
      <c r="U157" s="87">
        <v>0.71305947271612513</v>
      </c>
      <c r="V157" s="87">
        <v>0.71313005600497825</v>
      </c>
      <c r="W157" s="87">
        <v>0.71311226041983566</v>
      </c>
      <c r="X157" s="87">
        <v>0.71317588564325674</v>
      </c>
      <c r="Y157" s="87">
        <v>0.71310956301456618</v>
      </c>
      <c r="Z157" s="87">
        <v>0.71308562197092085</v>
      </c>
      <c r="AA157" s="87">
        <v>0.71318864774624369</v>
      </c>
      <c r="AB157" s="87">
        <v>0.71317829457364346</v>
      </c>
      <c r="AC157" s="87">
        <v>0.71314475873544092</v>
      </c>
      <c r="AD157" s="87">
        <v>0.7128745472505762</v>
      </c>
      <c r="AE157" s="87">
        <v>0.71312010443864227</v>
      </c>
      <c r="AF157" s="87">
        <v>0.71326860841423945</v>
      </c>
      <c r="AG157" s="87">
        <v>0.7130937098844673</v>
      </c>
      <c r="AH157" s="87">
        <v>0.71319311663479923</v>
      </c>
      <c r="AI157" s="87">
        <v>0.71310956301456618</v>
      </c>
      <c r="AJ157" s="87">
        <v>0.71307086614173232</v>
      </c>
      <c r="AK157" s="87">
        <v>0.71329987452948562</v>
      </c>
      <c r="AL157" s="87">
        <v>0.71325828642901812</v>
      </c>
      <c r="AM157" s="87">
        <v>0.71326053042121684</v>
      </c>
      <c r="AN157" s="87">
        <v>0.71299470239950136</v>
      </c>
      <c r="AO157" s="87">
        <v>0.71308411214953271</v>
      </c>
      <c r="AP157" s="87">
        <v>0.71312753352042402</v>
      </c>
      <c r="AQ157" s="87">
        <v>0.71299188007495318</v>
      </c>
      <c r="AR157" s="87">
        <v>0.71298904538341157</v>
      </c>
      <c r="AS157" s="87">
        <v>0.71289614057106998</v>
      </c>
      <c r="AT157" s="87">
        <v>0.71311733249449516</v>
      </c>
      <c r="AU157" s="87">
        <v>0.71333964049195842</v>
      </c>
      <c r="AV157" s="87">
        <v>0.71320277953253319</v>
      </c>
      <c r="AW157" s="87">
        <v>0.7130214917825537</v>
      </c>
      <c r="AX157" s="87">
        <v>0.71324691748340185</v>
      </c>
      <c r="AY157" s="87">
        <v>0.71311216429699842</v>
      </c>
      <c r="AZ157" s="87">
        <v>0.71306818181818177</v>
      </c>
      <c r="BA157" s="87">
        <v>0.71311475409836067</v>
      </c>
      <c r="BB157" s="87">
        <v>0.71293673276676106</v>
      </c>
      <c r="BC157" s="87">
        <v>0.71298333857277585</v>
      </c>
      <c r="BD157" s="87">
        <v>0.71325376884422109</v>
      </c>
      <c r="BE157" s="87">
        <v>0.71320991528082833</v>
      </c>
      <c r="BF157" s="87">
        <v>0.71285266457680252</v>
      </c>
      <c r="BG157" s="87">
        <v>0.71325603259166404</v>
      </c>
    </row>
    <row r="158" spans="1:59" x14ac:dyDescent="0.2">
      <c r="C158" s="29">
        <v>23</v>
      </c>
      <c r="F158" s="87">
        <v>0.72323356988583776</v>
      </c>
      <c r="G158" s="87">
        <v>0.72369624885635864</v>
      </c>
      <c r="H158" s="87">
        <v>0.72427727696611754</v>
      </c>
      <c r="I158" s="87">
        <v>0.72475924200062136</v>
      </c>
      <c r="J158" s="87">
        <v>0.72517394054395956</v>
      </c>
      <c r="K158" s="87">
        <v>0.72555205047318616</v>
      </c>
      <c r="L158" s="87">
        <v>0.72599231754161331</v>
      </c>
      <c r="M158" s="87">
        <v>0.72607260726072609</v>
      </c>
      <c r="N158" s="87">
        <v>0.72628205128205126</v>
      </c>
      <c r="O158" s="87">
        <v>0.7266818329541761</v>
      </c>
      <c r="P158" s="87">
        <v>0.72702702702702704</v>
      </c>
      <c r="Q158" s="87">
        <v>0.72745901639344257</v>
      </c>
      <c r="R158" s="87">
        <v>0.72760818517276082</v>
      </c>
      <c r="S158" s="87">
        <v>0.72785665990534143</v>
      </c>
      <c r="T158" s="87">
        <v>0.72817460317460314</v>
      </c>
      <c r="U158" s="87">
        <v>0.72837150127226458</v>
      </c>
      <c r="V158" s="87">
        <v>0.72850122850122845</v>
      </c>
      <c r="W158" s="87">
        <v>0.72880299251870329</v>
      </c>
      <c r="X158" s="87">
        <v>0.72882388787324803</v>
      </c>
      <c r="Y158" s="87">
        <v>0.72891378773731719</v>
      </c>
      <c r="Z158" s="87">
        <v>0.72882968601332065</v>
      </c>
      <c r="AA158" s="87">
        <v>0.72912621359223306</v>
      </c>
      <c r="AB158" s="87">
        <v>0.72909698996655514</v>
      </c>
      <c r="AC158" s="87">
        <v>0.72923700202565833</v>
      </c>
      <c r="AD158" s="87">
        <v>0.72933333333333328</v>
      </c>
      <c r="AE158" s="87">
        <v>0.72955145118733511</v>
      </c>
      <c r="AF158" s="87">
        <v>0.72932330827067671</v>
      </c>
      <c r="AG158" s="87">
        <v>0.72965964343598055</v>
      </c>
      <c r="AH158" s="87">
        <v>0.72966891674702672</v>
      </c>
      <c r="AI158" s="87">
        <v>0.72973835354179961</v>
      </c>
      <c r="AJ158" s="87">
        <v>0.72978116079923883</v>
      </c>
      <c r="AK158" s="87">
        <v>0.72965299684542584</v>
      </c>
      <c r="AL158" s="87">
        <v>0.7298146402764687</v>
      </c>
      <c r="AM158" s="87">
        <v>0.7300344503601629</v>
      </c>
      <c r="AN158" s="87">
        <v>0.73</v>
      </c>
      <c r="AO158" s="87">
        <v>0.73002496878901368</v>
      </c>
      <c r="AP158" s="87">
        <v>0.72979719188767556</v>
      </c>
      <c r="AQ158" s="87">
        <v>0.72985633978763276</v>
      </c>
      <c r="AR158" s="87">
        <v>0.73005943071629653</v>
      </c>
      <c r="AS158" s="87">
        <v>0.73009404388714738</v>
      </c>
      <c r="AT158" s="87">
        <v>0.73004399748585791</v>
      </c>
      <c r="AU158" s="87">
        <v>0.72999369880277254</v>
      </c>
      <c r="AV158" s="87">
        <v>0.73002841806125673</v>
      </c>
      <c r="AW158" s="87">
        <v>0.72991777356103726</v>
      </c>
      <c r="AX158" s="87">
        <v>0.72997784108895225</v>
      </c>
      <c r="AY158" s="87">
        <v>0.72997784108895225</v>
      </c>
      <c r="AZ158" s="87">
        <v>0.73006329113924051</v>
      </c>
      <c r="BA158" s="87">
        <v>0.73000316155548528</v>
      </c>
      <c r="BB158" s="87">
        <v>0.73002841806125673</v>
      </c>
      <c r="BC158" s="87">
        <v>0.72982345523329129</v>
      </c>
      <c r="BD158" s="87">
        <v>0.72984886649874059</v>
      </c>
      <c r="BE158" s="87">
        <v>0.72987421383647799</v>
      </c>
      <c r="BF158" s="87">
        <v>0.7298146402764687</v>
      </c>
      <c r="BG158" s="87">
        <v>0.72998430141287285</v>
      </c>
    </row>
    <row r="159" spans="1:59" x14ac:dyDescent="0.2">
      <c r="C159" s="29">
        <v>24</v>
      </c>
      <c r="F159" s="87">
        <v>0.73379145503435916</v>
      </c>
      <c r="G159" s="87">
        <v>0.73503494378608325</v>
      </c>
      <c r="H159" s="87">
        <v>0.73631386861313863</v>
      </c>
      <c r="I159" s="87">
        <v>0.73713577185368873</v>
      </c>
      <c r="J159" s="87">
        <v>0.73799938061319292</v>
      </c>
      <c r="K159" s="87">
        <v>0.73896595208070615</v>
      </c>
      <c r="L159" s="87">
        <v>0.739937106918239</v>
      </c>
      <c r="M159" s="87">
        <v>0.7405871091257179</v>
      </c>
      <c r="N159" s="87">
        <v>0.74169134583744656</v>
      </c>
      <c r="O159" s="87">
        <v>0.74240971556407798</v>
      </c>
      <c r="P159" s="87">
        <v>0.74303305249513929</v>
      </c>
      <c r="Q159" s="87">
        <v>0.74343434343434345</v>
      </c>
      <c r="R159" s="87">
        <v>0.7442969016002724</v>
      </c>
      <c r="S159" s="87">
        <v>0.74481605351170566</v>
      </c>
      <c r="T159" s="87">
        <v>0.7451971688574317</v>
      </c>
      <c r="U159" s="87">
        <v>0.74555042847725772</v>
      </c>
      <c r="V159" s="87">
        <v>0.7460367786937222</v>
      </c>
      <c r="W159" s="87">
        <v>0.74647887323943662</v>
      </c>
      <c r="X159" s="87">
        <v>0.74704785581106281</v>
      </c>
      <c r="Y159" s="87">
        <v>0.74749316317228809</v>
      </c>
      <c r="Z159" s="87">
        <v>0.74767225325884545</v>
      </c>
      <c r="AA159" s="87">
        <v>0.74794433902593294</v>
      </c>
      <c r="AB159" s="87">
        <v>0.74806451612903224</v>
      </c>
      <c r="AC159" s="87">
        <v>0.74833333333333329</v>
      </c>
      <c r="AD159" s="87">
        <v>0.74831763122476447</v>
      </c>
      <c r="AE159" s="87">
        <v>0.7485049833887043</v>
      </c>
      <c r="AF159" s="87">
        <v>0.74884944115713348</v>
      </c>
      <c r="AG159" s="87">
        <v>0.74910394265232971</v>
      </c>
      <c r="AH159" s="87">
        <v>0.74927302100161552</v>
      </c>
      <c r="AI159" s="87">
        <v>0.74911887215636019</v>
      </c>
      <c r="AJ159" s="87">
        <v>0.74960229080496343</v>
      </c>
      <c r="AK159" s="87">
        <v>0.74960480556433762</v>
      </c>
      <c r="AL159" s="87">
        <v>0.74968553459119491</v>
      </c>
      <c r="AM159" s="87">
        <v>0.74976511118070777</v>
      </c>
      <c r="AN159" s="87">
        <v>0.74992194817358726</v>
      </c>
      <c r="AO159" s="87">
        <v>0.74984423676012457</v>
      </c>
      <c r="AP159" s="87">
        <v>0.74984443061605477</v>
      </c>
      <c r="AQ159" s="87">
        <v>0.74961119751166405</v>
      </c>
      <c r="AR159" s="87">
        <v>0.75</v>
      </c>
      <c r="AS159" s="87">
        <v>0.74992204552541319</v>
      </c>
      <c r="AT159" s="87">
        <v>0.75</v>
      </c>
      <c r="AU159" s="87">
        <v>0.75</v>
      </c>
      <c r="AV159" s="87">
        <v>0.75</v>
      </c>
      <c r="AW159" s="87">
        <v>0.74976392823418314</v>
      </c>
      <c r="AX159" s="87">
        <v>0.75</v>
      </c>
      <c r="AY159" s="87">
        <v>0.75007888923950772</v>
      </c>
      <c r="AZ159" s="87">
        <v>0.74976333228147685</v>
      </c>
      <c r="BA159" s="87">
        <v>0.75015772870662456</v>
      </c>
      <c r="BB159" s="87">
        <v>0.75007878978884335</v>
      </c>
      <c r="BC159" s="87">
        <v>0.74984266834487101</v>
      </c>
      <c r="BD159" s="87">
        <v>0.74984286612193585</v>
      </c>
      <c r="BE159" s="87">
        <v>0.75015693659761451</v>
      </c>
      <c r="BF159" s="87">
        <v>0.74984326018808778</v>
      </c>
      <c r="BG159" s="87">
        <v>0.75007829627309741</v>
      </c>
    </row>
    <row r="160" spans="1:59" x14ac:dyDescent="0.2">
      <c r="C160" s="29">
        <v>25</v>
      </c>
      <c r="F160" s="87">
        <v>0.73998164576323033</v>
      </c>
      <c r="G160" s="87">
        <v>0.7414906103286385</v>
      </c>
      <c r="H160" s="87">
        <v>0.742684766214178</v>
      </c>
      <c r="I160" s="87">
        <v>0.74426328502415462</v>
      </c>
      <c r="J160" s="87">
        <v>0.74553846153846148</v>
      </c>
      <c r="K160" s="87">
        <v>0.74638794958499843</v>
      </c>
      <c r="L160" s="87">
        <v>0.74773082942097024</v>
      </c>
      <c r="M160" s="87">
        <v>0.74867311895098343</v>
      </c>
      <c r="N160" s="87">
        <v>0.7497624326892619</v>
      </c>
      <c r="O160" s="87">
        <v>0.75057133529219722</v>
      </c>
      <c r="P160" s="87">
        <v>0.75134792261338412</v>
      </c>
      <c r="Q160" s="87">
        <v>0.75209003215434078</v>
      </c>
      <c r="R160" s="87">
        <v>0.75275643167390582</v>
      </c>
      <c r="S160" s="87">
        <v>0.75346166835528539</v>
      </c>
      <c r="T160" s="87">
        <v>0.75414731254147316</v>
      </c>
      <c r="U160" s="87">
        <v>0.75459712470745566</v>
      </c>
      <c r="V160" s="87">
        <v>0.75506867233485941</v>
      </c>
      <c r="W160" s="87">
        <v>0.75550660792951541</v>
      </c>
      <c r="X160" s="87">
        <v>0.75623100303951363</v>
      </c>
      <c r="Y160" s="87">
        <v>0.75663170882171504</v>
      </c>
      <c r="Z160" s="87">
        <v>0.75716440422322773</v>
      </c>
      <c r="AA160" s="87">
        <v>0.75723967960566851</v>
      </c>
      <c r="AB160" s="87">
        <v>0.75768989328311365</v>
      </c>
      <c r="AC160" s="87">
        <v>0.75800256081946227</v>
      </c>
      <c r="AD160" s="87">
        <v>0.75793650793650791</v>
      </c>
      <c r="AE160" s="87">
        <v>0.75834445927903871</v>
      </c>
      <c r="AF160" s="87">
        <v>0.7587343441001978</v>
      </c>
      <c r="AG160" s="87">
        <v>0.75864318330071756</v>
      </c>
      <c r="AH160" s="87">
        <v>0.75881021661817005</v>
      </c>
      <c r="AI160" s="87">
        <v>0.75921769798012184</v>
      </c>
      <c r="AJ160" s="87">
        <v>0.75930047694753577</v>
      </c>
      <c r="AK160" s="87">
        <v>0.75939374802652349</v>
      </c>
      <c r="AL160" s="87">
        <v>0.75964857232507055</v>
      </c>
      <c r="AM160" s="87">
        <v>0.75967540574282144</v>
      </c>
      <c r="AN160" s="87">
        <v>0.75971401927261428</v>
      </c>
      <c r="AO160" s="87">
        <v>0.75983885962193987</v>
      </c>
      <c r="AP160" s="87">
        <v>0.75974025974025972</v>
      </c>
      <c r="AQ160" s="87">
        <v>0.75972822730080292</v>
      </c>
      <c r="AR160" s="87">
        <v>0.7598024081506638</v>
      </c>
      <c r="AS160" s="87">
        <v>0.75988875154511748</v>
      </c>
      <c r="AT160" s="87">
        <v>0.75982667904673473</v>
      </c>
      <c r="AU160" s="87">
        <v>0.75992555831265507</v>
      </c>
      <c r="AV160" s="87">
        <v>0.75995024875621886</v>
      </c>
      <c r="AW160" s="87">
        <v>0.7599750623441397</v>
      </c>
      <c r="AX160" s="87">
        <v>0.76007497656982193</v>
      </c>
      <c r="AY160" s="87">
        <v>0.76001251564455574</v>
      </c>
      <c r="AZ160" s="87">
        <v>0.76010021922956472</v>
      </c>
      <c r="BA160" s="87">
        <v>0.76010021922956472</v>
      </c>
      <c r="BB160" s="87">
        <v>0.75993740219092332</v>
      </c>
      <c r="BC160" s="87">
        <v>0.75984990619136961</v>
      </c>
      <c r="BD160" s="87">
        <v>0.7598376014990631</v>
      </c>
      <c r="BE160" s="87">
        <v>0.76013724266999372</v>
      </c>
      <c r="BF160" s="87">
        <v>0.76012461059190028</v>
      </c>
      <c r="BG160" s="87">
        <v>0.76011200995644057</v>
      </c>
    </row>
    <row r="161" spans="3:59" x14ac:dyDescent="0.2">
      <c r="C161" s="29">
        <v>26</v>
      </c>
      <c r="F161" s="87">
        <v>0.74245792315020642</v>
      </c>
      <c r="G161" s="87">
        <v>0.74386594853381205</v>
      </c>
      <c r="H161" s="87">
        <v>0.74557586306933565</v>
      </c>
      <c r="I161" s="87">
        <v>0.74709215627796</v>
      </c>
      <c r="J161" s="87">
        <v>0.74843330349149506</v>
      </c>
      <c r="K161" s="87">
        <v>0.74977196716327155</v>
      </c>
      <c r="L161" s="87">
        <v>0.75113947128532366</v>
      </c>
      <c r="M161" s="87">
        <v>0.75231910946196656</v>
      </c>
      <c r="N161" s="87">
        <v>0.75323874151758174</v>
      </c>
      <c r="O161" s="87">
        <v>0.75438047559449317</v>
      </c>
      <c r="P161" s="87">
        <v>0.75531914893617025</v>
      </c>
      <c r="Q161" s="87">
        <v>0.75595238095238093</v>
      </c>
      <c r="R161" s="87">
        <v>0.75674817402349948</v>
      </c>
      <c r="S161" s="87">
        <v>0.75758575197889177</v>
      </c>
      <c r="T161" s="87">
        <v>0.7583333333333333</v>
      </c>
      <c r="U161" s="87">
        <v>0.75892564690468389</v>
      </c>
      <c r="V161" s="87">
        <v>0.75973597359735978</v>
      </c>
      <c r="W161" s="87">
        <v>0.76009041007426537</v>
      </c>
      <c r="X161" s="87">
        <v>0.76064656512278517</v>
      </c>
      <c r="Y161" s="87">
        <v>0.76118954641033343</v>
      </c>
      <c r="Z161" s="87">
        <v>0.76165803108808294</v>
      </c>
      <c r="AA161" s="87">
        <v>0.76207513416815742</v>
      </c>
      <c r="AB161" s="87">
        <v>0.76225266362252664</v>
      </c>
      <c r="AC161" s="87">
        <v>0.76279069767441865</v>
      </c>
      <c r="AD161" s="87">
        <v>0.7628833386025925</v>
      </c>
      <c r="AE161" s="87">
        <v>0.76330395037544896</v>
      </c>
      <c r="AF161" s="87">
        <v>0.76342668863261942</v>
      </c>
      <c r="AG161" s="87">
        <v>0.76374877969411004</v>
      </c>
      <c r="AH161" s="87">
        <v>0.76392914653784216</v>
      </c>
      <c r="AI161" s="87">
        <v>0.76404853128991057</v>
      </c>
      <c r="AJ161" s="87">
        <v>0.76440785307156434</v>
      </c>
      <c r="AK161" s="87">
        <v>0.76444723618090449</v>
      </c>
      <c r="AL161" s="87">
        <v>0.76426566884939195</v>
      </c>
      <c r="AM161" s="87">
        <v>0.76472411655300687</v>
      </c>
      <c r="AN161" s="87">
        <v>0.76472402096823933</v>
      </c>
      <c r="AO161" s="87">
        <v>0.7645072152287381</v>
      </c>
      <c r="AP161" s="87">
        <v>0.76461585552494649</v>
      </c>
      <c r="AQ161" s="87">
        <v>0.76481368356750157</v>
      </c>
      <c r="AR161" s="87">
        <v>0.76502898992981383</v>
      </c>
      <c r="AS161" s="87">
        <v>0.76479560707748628</v>
      </c>
      <c r="AT161" s="87">
        <v>0.76488549618320612</v>
      </c>
      <c r="AU161" s="87">
        <v>0.76513761467889907</v>
      </c>
      <c r="AV161" s="87">
        <v>0.76494023904382469</v>
      </c>
      <c r="AW161" s="87">
        <v>0.76497695852534564</v>
      </c>
      <c r="AX161" s="87">
        <v>0.76501385894672003</v>
      </c>
      <c r="AY161" s="87">
        <v>0.7651234567901235</v>
      </c>
      <c r="AZ161" s="87">
        <v>0.7650695517774343</v>
      </c>
      <c r="BA161" s="87">
        <v>0.7651608910891089</v>
      </c>
      <c r="BB161" s="87">
        <v>0.7651608910891089</v>
      </c>
      <c r="BC161" s="87">
        <v>0.76499690785405072</v>
      </c>
      <c r="BD161" s="87">
        <v>0.76490577695396977</v>
      </c>
      <c r="BE161" s="87">
        <v>0.76488738043813642</v>
      </c>
      <c r="BF161" s="87">
        <v>0.76517719568567022</v>
      </c>
      <c r="BG161" s="87">
        <v>0.76492307692307693</v>
      </c>
    </row>
    <row r="162" spans="3:59" x14ac:dyDescent="0.2">
      <c r="C162" s="29">
        <v>27</v>
      </c>
      <c r="F162" s="87">
        <v>0.74368000000000001</v>
      </c>
      <c r="G162" s="87">
        <v>0.74549968963376789</v>
      </c>
      <c r="H162" s="87">
        <v>0.74711964549483012</v>
      </c>
      <c r="I162" s="87">
        <v>0.74871060171919768</v>
      </c>
      <c r="J162" s="87">
        <v>0.75007359434795406</v>
      </c>
      <c r="K162" s="87">
        <v>0.7516205067766647</v>
      </c>
      <c r="L162" s="87">
        <v>0.75300120048019203</v>
      </c>
      <c r="M162" s="87">
        <v>0.75412293853073464</v>
      </c>
      <c r="N162" s="87">
        <v>0.75533862111043315</v>
      </c>
      <c r="O162" s="87">
        <v>0.756238587948874</v>
      </c>
      <c r="P162" s="87">
        <v>0.75740740740740742</v>
      </c>
      <c r="Q162" s="87">
        <v>0.75842339478703114</v>
      </c>
      <c r="R162" s="87">
        <v>0.75950540958268931</v>
      </c>
      <c r="S162" s="87">
        <v>0.76033834586466165</v>
      </c>
      <c r="T162" s="87">
        <v>0.76072821846553962</v>
      </c>
      <c r="U162" s="87">
        <v>0.76149802890932983</v>
      </c>
      <c r="V162" s="87">
        <v>0.76202776880852441</v>
      </c>
      <c r="W162" s="87">
        <v>0.76284970722186074</v>
      </c>
      <c r="X162" s="87">
        <v>0.76313276026743071</v>
      </c>
      <c r="Y162" s="87">
        <v>0.76380368098159512</v>
      </c>
      <c r="Z162" s="87">
        <v>0.76453143534994072</v>
      </c>
      <c r="AA162" s="87">
        <v>0.76481203007518794</v>
      </c>
      <c r="AB162" s="87">
        <v>0.76515597410241321</v>
      </c>
      <c r="AC162" s="87">
        <v>0.76539501351757289</v>
      </c>
      <c r="AD162" s="87">
        <v>0.76567757724074637</v>
      </c>
      <c r="AE162" s="87">
        <v>0.76613657623947617</v>
      </c>
      <c r="AF162" s="87">
        <v>0.76658081133290401</v>
      </c>
      <c r="AG162" s="87">
        <v>0.76648262422864566</v>
      </c>
      <c r="AH162" s="87">
        <v>0.76676291305742705</v>
      </c>
      <c r="AI162" s="87">
        <v>0.76691013020006349</v>
      </c>
      <c r="AJ162" s="87">
        <v>0.76700251889168769</v>
      </c>
      <c r="AK162" s="87">
        <v>0.76733291692692063</v>
      </c>
      <c r="AL162" s="87">
        <v>0.76734820322180919</v>
      </c>
      <c r="AM162" s="87">
        <v>0.76769230769230767</v>
      </c>
      <c r="AN162" s="87">
        <v>0.76758409785932724</v>
      </c>
      <c r="AO162" s="87">
        <v>0.76756921204745965</v>
      </c>
      <c r="AP162" s="87">
        <v>0.76787878787878783</v>
      </c>
      <c r="AQ162" s="87">
        <v>0.76797583081570997</v>
      </c>
      <c r="AR162" s="87">
        <v>0.76786252637925834</v>
      </c>
      <c r="AS162" s="87">
        <v>0.76784101174345076</v>
      </c>
      <c r="AT162" s="87">
        <v>0.76791089704996984</v>
      </c>
      <c r="AU162" s="87">
        <v>0.76800241036456762</v>
      </c>
      <c r="AV162" s="87">
        <v>0.76795413397706702</v>
      </c>
      <c r="AW162" s="87">
        <v>0.76806773510734805</v>
      </c>
      <c r="AX162" s="87">
        <v>0.76811154895422851</v>
      </c>
      <c r="AY162" s="87">
        <v>0.76785171680340325</v>
      </c>
      <c r="AZ162" s="87">
        <v>0.7679658952496955</v>
      </c>
      <c r="BA162" s="87">
        <v>0.76791704788045134</v>
      </c>
      <c r="BB162" s="87">
        <v>0.76800976800976806</v>
      </c>
      <c r="BC162" s="87">
        <v>0.76800976800976806</v>
      </c>
      <c r="BD162" s="87">
        <v>0.76784624771201948</v>
      </c>
      <c r="BE162" s="87">
        <v>0.76805851874428532</v>
      </c>
      <c r="BF162" s="87">
        <v>0.76803652968036529</v>
      </c>
      <c r="BG162" s="87">
        <v>0.7680145941015506</v>
      </c>
    </row>
    <row r="163" spans="3:59" x14ac:dyDescent="0.2">
      <c r="C163" s="29">
        <v>28</v>
      </c>
      <c r="F163" s="87">
        <v>0.74263000993706529</v>
      </c>
      <c r="G163" s="87">
        <v>0.74460768990309467</v>
      </c>
      <c r="H163" s="87">
        <v>0.74663402692778458</v>
      </c>
      <c r="I163" s="87">
        <v>0.74817837365199646</v>
      </c>
      <c r="J163" s="87">
        <v>0.75</v>
      </c>
      <c r="K163" s="87">
        <v>0.75137961080453097</v>
      </c>
      <c r="L163" s="87">
        <v>0.75319767441860463</v>
      </c>
      <c r="M163" s="87">
        <v>0.7545885139135583</v>
      </c>
      <c r="N163" s="87">
        <v>0.75569358178053825</v>
      </c>
      <c r="O163" s="87">
        <v>0.75691937424789413</v>
      </c>
      <c r="P163" s="87">
        <v>0.75810324129651863</v>
      </c>
      <c r="Q163" s="87">
        <v>0.75928180158247105</v>
      </c>
      <c r="R163" s="87">
        <v>0.7600250626566416</v>
      </c>
      <c r="S163" s="87">
        <v>0.76112126751980502</v>
      </c>
      <c r="T163" s="87">
        <v>0.76196356900277862</v>
      </c>
      <c r="U163" s="87">
        <v>0.76265214606021781</v>
      </c>
      <c r="V163" s="87">
        <v>0.76343042071197409</v>
      </c>
      <c r="W163" s="87">
        <v>0.7642379891823099</v>
      </c>
      <c r="X163" s="87">
        <v>0.76474358974358969</v>
      </c>
      <c r="Y163" s="87">
        <v>0.76529651710072166</v>
      </c>
      <c r="Z163" s="87">
        <v>0.76564862413063195</v>
      </c>
      <c r="AA163" s="87">
        <v>0.76630593740859898</v>
      </c>
      <c r="AB163" s="87">
        <v>0.76683476713141496</v>
      </c>
      <c r="AC163" s="87">
        <v>0.76713124274099886</v>
      </c>
      <c r="AD163" s="87">
        <v>0.76770370370370367</v>
      </c>
      <c r="AE163" s="87">
        <v>0.76802413273001513</v>
      </c>
      <c r="AF163" s="87">
        <v>0.7682139563479865</v>
      </c>
      <c r="AG163" s="87">
        <v>0.76847446875991121</v>
      </c>
      <c r="AH163" s="87">
        <v>0.76863999999999999</v>
      </c>
      <c r="AI163" s="87">
        <v>0.76889029402466014</v>
      </c>
      <c r="AJ163" s="87">
        <v>0.76901408450704223</v>
      </c>
      <c r="AK163" s="87">
        <v>0.76908752327746743</v>
      </c>
      <c r="AL163" s="87">
        <v>0.76915974145891042</v>
      </c>
      <c r="AM163" s="87">
        <v>0.76939523518631647</v>
      </c>
      <c r="AN163" s="87">
        <v>0.76948741279951471</v>
      </c>
      <c r="AO163" s="87">
        <v>0.76967138981006933</v>
      </c>
      <c r="AP163" s="87">
        <v>0.7696460707858428</v>
      </c>
      <c r="AQ163" s="87">
        <v>0.76964445772333434</v>
      </c>
      <c r="AR163" s="87">
        <v>0.76973488233541854</v>
      </c>
      <c r="AS163" s="87">
        <v>0.76991676575505352</v>
      </c>
      <c r="AT163" s="87">
        <v>0.76989311163895491</v>
      </c>
      <c r="AU163" s="87">
        <v>0.76989311163895491</v>
      </c>
      <c r="AV163" s="87">
        <v>0.77005347593582885</v>
      </c>
      <c r="AW163" s="87">
        <v>0.77000892591490633</v>
      </c>
      <c r="AX163" s="87">
        <v>0.76982707215265356</v>
      </c>
      <c r="AY163" s="87">
        <v>0.76987447698744771</v>
      </c>
      <c r="AZ163" s="87">
        <v>0.76992210904733371</v>
      </c>
      <c r="BA163" s="87">
        <v>0.77003902731912344</v>
      </c>
      <c r="BB163" s="87">
        <v>0.76999398677089592</v>
      </c>
      <c r="BC163" s="87">
        <v>0.77008727053866988</v>
      </c>
      <c r="BD163" s="87">
        <v>0.77008727053866988</v>
      </c>
      <c r="BE163" s="87">
        <v>0.77015643802647415</v>
      </c>
      <c r="BF163" s="87">
        <v>0.76983173076923073</v>
      </c>
      <c r="BG163" s="87">
        <v>0.77010804321728688</v>
      </c>
    </row>
    <row r="164" spans="3:59" x14ac:dyDescent="0.2">
      <c r="C164" s="29">
        <v>29</v>
      </c>
      <c r="F164" s="87">
        <v>0.74137353433835851</v>
      </c>
      <c r="G164" s="87">
        <v>0.74305106658047837</v>
      </c>
      <c r="H164" s="87">
        <v>0.74546014158202523</v>
      </c>
      <c r="I164" s="87">
        <v>0.7472130159686653</v>
      </c>
      <c r="J164" s="87">
        <v>0.7489227233553577</v>
      </c>
      <c r="K164" s="87">
        <v>0.75069715560513106</v>
      </c>
      <c r="L164" s="87">
        <v>0.75207557973089034</v>
      </c>
      <c r="M164" s="87">
        <v>0.75386819484240686</v>
      </c>
      <c r="N164" s="87">
        <v>0.75503062117235342</v>
      </c>
      <c r="O164" s="87">
        <v>0.7563392596910522</v>
      </c>
      <c r="P164" s="87">
        <v>0.75755779490219322</v>
      </c>
      <c r="Q164" s="87">
        <v>0.75872264931992905</v>
      </c>
      <c r="R164" s="87">
        <v>0.75959232613908878</v>
      </c>
      <c r="S164" s="87">
        <v>0.76064157927205434</v>
      </c>
      <c r="T164" s="87">
        <v>0.76170468187274909</v>
      </c>
      <c r="U164" s="87">
        <v>0.76223776223776218</v>
      </c>
      <c r="V164" s="87">
        <v>0.76300031515915534</v>
      </c>
      <c r="W164" s="87">
        <v>0.76376950015918499</v>
      </c>
      <c r="X164" s="87">
        <v>0.76455854727614281</v>
      </c>
      <c r="Y164" s="87">
        <v>0.76505834121728167</v>
      </c>
      <c r="Z164" s="87">
        <v>0.7658325610132839</v>
      </c>
      <c r="AA164" s="87">
        <v>0.76616026213881439</v>
      </c>
      <c r="AB164" s="87">
        <v>0.76679158258864222</v>
      </c>
      <c r="AC164" s="87">
        <v>0.76680303915838688</v>
      </c>
      <c r="AD164" s="87">
        <v>0.76738197424892707</v>
      </c>
      <c r="AE164" s="87">
        <v>0.76765907764156449</v>
      </c>
      <c r="AF164" s="87">
        <v>0.76797385620915037</v>
      </c>
      <c r="AG164" s="87">
        <v>0.76815980629539948</v>
      </c>
      <c r="AH164" s="87">
        <v>0.76841448189762795</v>
      </c>
      <c r="AI164" s="87">
        <v>0.76857682619647361</v>
      </c>
      <c r="AJ164" s="87">
        <v>0.76882389545737395</v>
      </c>
      <c r="AK164" s="87">
        <v>0.76894639556377076</v>
      </c>
      <c r="AL164" s="87">
        <v>0.76932477849068137</v>
      </c>
      <c r="AM164" s="87">
        <v>0.76962715974537743</v>
      </c>
      <c r="AN164" s="87">
        <v>0.76962406015037599</v>
      </c>
      <c r="AO164" s="87">
        <v>0.76941457586618878</v>
      </c>
      <c r="AP164" s="87">
        <v>0.76982476982476977</v>
      </c>
      <c r="AQ164" s="87">
        <v>0.76979905437352247</v>
      </c>
      <c r="AR164" s="87">
        <v>0.76986462625073571</v>
      </c>
      <c r="AS164" s="87">
        <v>0.7696596244131455</v>
      </c>
      <c r="AT164" s="87">
        <v>0.76983894582723278</v>
      </c>
      <c r="AU164" s="87">
        <v>0.770040959625512</v>
      </c>
      <c r="AV164" s="87">
        <v>0.77010821877742031</v>
      </c>
      <c r="AW164" s="87">
        <v>0.76997366110623355</v>
      </c>
      <c r="AX164" s="87">
        <v>0.76992966002344665</v>
      </c>
      <c r="AY164" s="87">
        <v>0.76975036710719535</v>
      </c>
      <c r="AZ164" s="87">
        <v>0.76979687959964671</v>
      </c>
      <c r="BA164" s="87">
        <v>0.77007083825265643</v>
      </c>
      <c r="BB164" s="87">
        <v>0.76995860437610886</v>
      </c>
      <c r="BC164" s="87">
        <v>0.77014218009478674</v>
      </c>
      <c r="BD164" s="87">
        <v>0.77000592768227627</v>
      </c>
      <c r="BE164" s="87">
        <v>0.77000592768227627</v>
      </c>
      <c r="BF164" s="87">
        <v>0.77007407407407402</v>
      </c>
      <c r="BG164" s="87">
        <v>0.76975436519680374</v>
      </c>
    </row>
    <row r="165" spans="3:59" x14ac:dyDescent="0.2">
      <c r="C165" s="29">
        <v>30</v>
      </c>
      <c r="F165" s="87">
        <v>0.73943427620632285</v>
      </c>
      <c r="G165" s="87">
        <v>0.74156567310841792</v>
      </c>
      <c r="H165" s="87">
        <v>0.74355711104040723</v>
      </c>
      <c r="I165" s="87">
        <v>0.7456033959975743</v>
      </c>
      <c r="J165" s="87">
        <v>0.7473277909738717</v>
      </c>
      <c r="K165" s="87">
        <v>0.74929178470254953</v>
      </c>
      <c r="L165" s="87">
        <v>0.7510316368638239</v>
      </c>
      <c r="M165" s="87">
        <v>0.75268210050818751</v>
      </c>
      <c r="N165" s="87">
        <v>0.75416784402373549</v>
      </c>
      <c r="O165" s="87">
        <v>0.75531914893617025</v>
      </c>
      <c r="P165" s="87">
        <v>0.75660919540229887</v>
      </c>
      <c r="Q165" s="87">
        <v>0.75781478235465971</v>
      </c>
      <c r="R165" s="87">
        <v>0.75896240163217721</v>
      </c>
      <c r="S165" s="87">
        <v>0.76011816838995572</v>
      </c>
      <c r="T165" s="87">
        <v>0.76093560145808015</v>
      </c>
      <c r="U165" s="87">
        <v>0.76190476190476186</v>
      </c>
      <c r="V165" s="87">
        <v>0.76273217495506296</v>
      </c>
      <c r="W165" s="87">
        <v>0.76350093109869643</v>
      </c>
      <c r="X165" s="87">
        <v>0.76426332288401255</v>
      </c>
      <c r="Y165" s="87">
        <v>0.76472402096823933</v>
      </c>
      <c r="Z165" s="87">
        <v>0.76521739130434785</v>
      </c>
      <c r="AA165" s="87">
        <v>0.76574383936720414</v>
      </c>
      <c r="AB165" s="87">
        <v>0.76658837345860242</v>
      </c>
      <c r="AC165" s="87">
        <v>0.76669508383063367</v>
      </c>
      <c r="AD165" s="87">
        <v>0.76721405934889086</v>
      </c>
      <c r="AE165" s="87">
        <v>0.76749435665914223</v>
      </c>
      <c r="AF165" s="87">
        <v>0.7680575539568345</v>
      </c>
      <c r="AG165" s="87">
        <v>0.76837481698389454</v>
      </c>
      <c r="AH165" s="87">
        <v>0.76856546376379364</v>
      </c>
      <c r="AI165" s="87">
        <v>0.76882877343990164</v>
      </c>
      <c r="AJ165" s="87">
        <v>0.76899224806201549</v>
      </c>
      <c r="AK165" s="87">
        <v>0.76923076923076927</v>
      </c>
      <c r="AL165" s="87">
        <v>0.76934749620637333</v>
      </c>
      <c r="AM165" s="87">
        <v>0.76941601444912699</v>
      </c>
      <c r="AN165" s="87">
        <v>0.7694834278889221</v>
      </c>
      <c r="AO165" s="87">
        <v>0.76970954356846477</v>
      </c>
      <c r="AP165" s="87">
        <v>0.76979687959964671</v>
      </c>
      <c r="AQ165" s="87">
        <v>0.76968100673105067</v>
      </c>
      <c r="AR165" s="87">
        <v>0.76965637740244608</v>
      </c>
      <c r="AS165" s="87">
        <v>0.76994487960545399</v>
      </c>
      <c r="AT165" s="87">
        <v>0.77003181949667343</v>
      </c>
      <c r="AU165" s="87">
        <v>0.769919168591224</v>
      </c>
      <c r="AV165" s="87">
        <v>0.76989619377162632</v>
      </c>
      <c r="AW165" s="87">
        <v>0.76996252522340736</v>
      </c>
      <c r="AX165" s="87">
        <v>0.77005193306405073</v>
      </c>
      <c r="AY165" s="87">
        <v>0.77000866801502454</v>
      </c>
      <c r="AZ165" s="87">
        <v>0.77012159814707581</v>
      </c>
      <c r="BA165" s="87">
        <v>0.76987811955890884</v>
      </c>
      <c r="BB165" s="87">
        <v>0.7699243746364165</v>
      </c>
      <c r="BC165" s="87">
        <v>0.77003788982803845</v>
      </c>
      <c r="BD165" s="87">
        <v>0.76999416228838291</v>
      </c>
      <c r="BE165" s="87">
        <v>0.76985981308411211</v>
      </c>
      <c r="BF165" s="87">
        <v>0.77008472100496639</v>
      </c>
      <c r="BG165" s="87">
        <v>0.76992700729927011</v>
      </c>
    </row>
    <row r="166" spans="3:59" x14ac:dyDescent="0.2">
      <c r="C166" s="29">
        <v>31</v>
      </c>
      <c r="F166" s="87">
        <v>0.73819886173418148</v>
      </c>
      <c r="G166" s="87">
        <v>0.74036577400391901</v>
      </c>
      <c r="H166" s="87">
        <v>0.74256144890038811</v>
      </c>
      <c r="I166" s="87">
        <v>0.74473436026406792</v>
      </c>
      <c r="J166" s="87">
        <v>0.74647887323943662</v>
      </c>
      <c r="K166" s="87">
        <v>0.74838520258367591</v>
      </c>
      <c r="L166" s="87">
        <v>0.74978985710282997</v>
      </c>
      <c r="M166" s="87">
        <v>0.75149700598802394</v>
      </c>
      <c r="N166" s="87">
        <v>0.75286232895839156</v>
      </c>
      <c r="O166" s="87">
        <v>0.75433202906651764</v>
      </c>
      <c r="P166" s="87">
        <v>0.75568828213879413</v>
      </c>
      <c r="Q166" s="87">
        <v>0.75674907644217104</v>
      </c>
      <c r="R166" s="87">
        <v>0.75794338532640093</v>
      </c>
      <c r="S166" s="87">
        <v>0.75907780979827089</v>
      </c>
      <c r="T166" s="87">
        <v>0.75992990654205606</v>
      </c>
      <c r="U166" s="87">
        <v>0.760960960960961</v>
      </c>
      <c r="V166" s="87">
        <v>0.76169590643274854</v>
      </c>
      <c r="W166" s="87">
        <v>0.76251110453064852</v>
      </c>
      <c r="X166" s="87">
        <v>0.76295614842072979</v>
      </c>
      <c r="Y166" s="87">
        <v>0.76370393310622486</v>
      </c>
      <c r="Z166" s="87">
        <v>0.7644728823887873</v>
      </c>
      <c r="AA166" s="87">
        <v>0.76495857625038355</v>
      </c>
      <c r="AB166" s="87">
        <v>0.76518340348767289</v>
      </c>
      <c r="AC166" s="87">
        <v>0.76574746008708272</v>
      </c>
      <c r="AD166" s="87">
        <v>0.76637615968512796</v>
      </c>
      <c r="AE166" s="87">
        <v>0.76666666666666672</v>
      </c>
      <c r="AF166" s="87">
        <v>0.76695506558749649</v>
      </c>
      <c r="AG166" s="87">
        <v>0.76721684689812175</v>
      </c>
      <c r="AH166" s="87">
        <v>0.76751592356687903</v>
      </c>
      <c r="AI166" s="87">
        <v>0.76768867924528306</v>
      </c>
      <c r="AJ166" s="87">
        <v>0.76792223572296481</v>
      </c>
      <c r="AK166" s="87">
        <v>0.76807598039215685</v>
      </c>
      <c r="AL166" s="87">
        <v>0.76832222895215019</v>
      </c>
      <c r="AM166" s="87">
        <v>0.76844631073785241</v>
      </c>
      <c r="AN166" s="87">
        <v>0.76852127343052667</v>
      </c>
      <c r="AO166" s="87">
        <v>0.76859504132231404</v>
      </c>
      <c r="AP166" s="87">
        <v>0.76882508057427479</v>
      </c>
      <c r="AQ166" s="87">
        <v>0.76891734575087312</v>
      </c>
      <c r="AR166" s="87">
        <v>0.76880787037037035</v>
      </c>
      <c r="AS166" s="87">
        <v>0.76878779153469623</v>
      </c>
      <c r="AT166" s="87">
        <v>0.76907630522088355</v>
      </c>
      <c r="AU166" s="87">
        <v>0.76887871853546907</v>
      </c>
      <c r="AV166" s="87">
        <v>0.76905509563231511</v>
      </c>
      <c r="AW166" s="87">
        <v>0.76903336184773308</v>
      </c>
      <c r="AX166" s="87">
        <v>0.76881413911060437</v>
      </c>
      <c r="AY166" s="87">
        <v>0.76918687589158341</v>
      </c>
      <c r="AZ166" s="87">
        <v>0.76914285714285713</v>
      </c>
      <c r="BA166" s="87">
        <v>0.7689665044374463</v>
      </c>
      <c r="BB166" s="87">
        <v>0.76901004304160692</v>
      </c>
      <c r="BC166" s="87">
        <v>0.76905378199597352</v>
      </c>
      <c r="BD166" s="87">
        <v>0.76916426512968294</v>
      </c>
      <c r="BE166" s="87">
        <v>0.76911976911976909</v>
      </c>
      <c r="BF166" s="87">
        <v>0.76898642795264227</v>
      </c>
      <c r="BG166" s="87">
        <v>0.76898642795264227</v>
      </c>
    </row>
    <row r="167" spans="3:59" x14ac:dyDescent="0.2">
      <c r="C167" s="29">
        <v>32</v>
      </c>
      <c r="F167" s="87">
        <v>0.73491957104557637</v>
      </c>
      <c r="G167" s="87">
        <v>0.73685950413223145</v>
      </c>
      <c r="H167" s="87">
        <v>0.73921505027570544</v>
      </c>
      <c r="I167" s="87">
        <v>0.74108576935432058</v>
      </c>
      <c r="J167" s="87">
        <v>0.74274118014361534</v>
      </c>
      <c r="K167" s="87">
        <v>0.74478856462179865</v>
      </c>
      <c r="L167" s="87">
        <v>0.74642544499562302</v>
      </c>
      <c r="M167" s="87">
        <v>0.74791086350974934</v>
      </c>
      <c r="N167" s="87">
        <v>0.74912043301759135</v>
      </c>
      <c r="O167" s="87">
        <v>0.750694058856191</v>
      </c>
      <c r="P167" s="87">
        <v>0.75187552097804944</v>
      </c>
      <c r="Q167" s="87">
        <v>0.75296777840587903</v>
      </c>
      <c r="R167" s="87">
        <v>0.75423728813559321</v>
      </c>
      <c r="S167" s="87">
        <v>0.75538329026701123</v>
      </c>
      <c r="T167" s="87">
        <v>0.75623030650243483</v>
      </c>
      <c r="U167" s="87">
        <v>0.75681950087057459</v>
      </c>
      <c r="V167" s="87">
        <v>0.75775656324582341</v>
      </c>
      <c r="W167" s="87">
        <v>0.75857059848925046</v>
      </c>
      <c r="X167" s="87">
        <v>0.75904677846425417</v>
      </c>
      <c r="Y167" s="87">
        <v>0.7596710325921413</v>
      </c>
      <c r="Z167" s="87">
        <v>0.76038142110119966</v>
      </c>
      <c r="AA167" s="87">
        <v>0.76089588377723971</v>
      </c>
      <c r="AB167" s="87">
        <v>0.76135324596159704</v>
      </c>
      <c r="AC167" s="87">
        <v>0.76187630714072307</v>
      </c>
      <c r="AD167" s="87">
        <v>0.7623305451398904</v>
      </c>
      <c r="AE167" s="87">
        <v>0.76250349259569716</v>
      </c>
      <c r="AF167" s="87">
        <v>0.76295666949872554</v>
      </c>
      <c r="AG167" s="87">
        <v>0.76310679611650489</v>
      </c>
      <c r="AH167" s="87">
        <v>0.76357466063348411</v>
      </c>
      <c r="AI167" s="87">
        <v>0.7638089758342923</v>
      </c>
      <c r="AJ167" s="87">
        <v>0.76391329818394849</v>
      </c>
      <c r="AK167" s="87">
        <v>0.76403138201569099</v>
      </c>
      <c r="AL167" s="87">
        <v>0.76415094339622647</v>
      </c>
      <c r="AM167" s="87">
        <v>0.76444043321299637</v>
      </c>
      <c r="AN167" s="87">
        <v>0.76460071513706795</v>
      </c>
      <c r="AO167" s="87">
        <v>0.76470588235294112</v>
      </c>
      <c r="AP167" s="87">
        <v>0.76451612903225807</v>
      </c>
      <c r="AQ167" s="87">
        <v>0.76477438136826781</v>
      </c>
      <c r="AR167" s="87">
        <v>0.76489300173510699</v>
      </c>
      <c r="AS167" s="87">
        <v>0.76480736055204135</v>
      </c>
      <c r="AT167" s="87">
        <v>0.76480686695278965</v>
      </c>
      <c r="AU167" s="87">
        <v>0.76482326111744581</v>
      </c>
      <c r="AV167" s="87">
        <v>0.76492325184764065</v>
      </c>
      <c r="AW167" s="87">
        <v>0.76510638297872335</v>
      </c>
      <c r="AX167" s="87">
        <v>0.76508926041371494</v>
      </c>
      <c r="AY167" s="87">
        <v>0.76487252124645888</v>
      </c>
      <c r="AZ167" s="87">
        <v>0.76495605330309047</v>
      </c>
      <c r="BA167" s="87">
        <v>0.76519023282226006</v>
      </c>
      <c r="BB167" s="87">
        <v>0.76500711237553343</v>
      </c>
      <c r="BC167" s="87">
        <v>0.76504134587966921</v>
      </c>
      <c r="BD167" s="87">
        <v>0.76507573592454992</v>
      </c>
      <c r="BE167" s="87">
        <v>0.76517754868270327</v>
      </c>
      <c r="BF167" s="87">
        <v>0.76512761686263264</v>
      </c>
      <c r="BG167" s="87">
        <v>0.76499282639885224</v>
      </c>
    </row>
    <row r="168" spans="3:59" x14ac:dyDescent="0.2">
      <c r="C168" s="29">
        <v>33</v>
      </c>
      <c r="F168" s="87">
        <v>0.73194822888283384</v>
      </c>
      <c r="G168" s="87">
        <v>0.73406374501992033</v>
      </c>
      <c r="H168" s="87">
        <v>0.73601053324555632</v>
      </c>
      <c r="I168" s="87">
        <v>0.73748789150791083</v>
      </c>
      <c r="J168" s="87">
        <v>0.73960332693538067</v>
      </c>
      <c r="K168" s="87">
        <v>0.74098258706467657</v>
      </c>
      <c r="L168" s="87">
        <v>0.74258600237247929</v>
      </c>
      <c r="M168" s="87">
        <v>0.74396977622784077</v>
      </c>
      <c r="N168" s="87">
        <v>0.74548986955315011</v>
      </c>
      <c r="O168" s="87">
        <v>0.74676375404530748</v>
      </c>
      <c r="P168" s="87">
        <v>0.74771784232365146</v>
      </c>
      <c r="Q168" s="87">
        <v>0.74896208137282039</v>
      </c>
      <c r="R168" s="87">
        <v>0.74992959729653619</v>
      </c>
      <c r="S168" s="87">
        <v>0.75070343275182894</v>
      </c>
      <c r="T168" s="87">
        <v>0.75178724621103798</v>
      </c>
      <c r="U168" s="87">
        <v>0.75263908701854498</v>
      </c>
      <c r="V168" s="87">
        <v>0.75339693553050013</v>
      </c>
      <c r="W168" s="87">
        <v>0.75423476968796432</v>
      </c>
      <c r="X168" s="87">
        <v>0.75455861070911723</v>
      </c>
      <c r="Y168" s="87">
        <v>0.75527549824150053</v>
      </c>
      <c r="Z168" s="87">
        <v>0.75576456310679607</v>
      </c>
      <c r="AA168" s="87">
        <v>0.7564338235294118</v>
      </c>
      <c r="AB168" s="87">
        <v>0.75670786855592398</v>
      </c>
      <c r="AC168" s="87">
        <v>0.75713418336369154</v>
      </c>
      <c r="AD168" s="87">
        <v>0.75751264504611726</v>
      </c>
      <c r="AE168" s="87">
        <v>0.75782821028440106</v>
      </c>
      <c r="AF168" s="87">
        <v>0.75814082939048144</v>
      </c>
      <c r="AG168" s="87">
        <v>0.75825105782792668</v>
      </c>
      <c r="AH168" s="87">
        <v>0.75870646766169159</v>
      </c>
      <c r="AI168" s="87">
        <v>0.75859154929577466</v>
      </c>
      <c r="AJ168" s="87">
        <v>0.75902578796561604</v>
      </c>
      <c r="AK168" s="87">
        <v>0.75904317386231035</v>
      </c>
      <c r="AL168" s="87">
        <v>0.75931490384615385</v>
      </c>
      <c r="AM168" s="87">
        <v>0.7593939393939394</v>
      </c>
      <c r="AN168" s="87">
        <v>0.75943678849610541</v>
      </c>
      <c r="AO168" s="87">
        <v>0.75964391691394662</v>
      </c>
      <c r="AP168" s="87">
        <v>0.75978804827789226</v>
      </c>
      <c r="AQ168" s="87">
        <v>0.75963785046728971</v>
      </c>
      <c r="AR168" s="87">
        <v>0.75993041461293132</v>
      </c>
      <c r="AS168" s="87">
        <v>0.75979262672811065</v>
      </c>
      <c r="AT168" s="87">
        <v>0.75973654066437568</v>
      </c>
      <c r="AU168" s="87">
        <v>0.75976061555998864</v>
      </c>
      <c r="AV168" s="87">
        <v>0.76007950028392957</v>
      </c>
      <c r="AW168" s="87">
        <v>0.75990939977349947</v>
      </c>
      <c r="AX168" s="87">
        <v>0.7601017236507488</v>
      </c>
      <c r="AY168" s="87">
        <v>0.76009031893875245</v>
      </c>
      <c r="AZ168" s="87">
        <v>0.75987584650112872</v>
      </c>
      <c r="BA168" s="87">
        <v>0.75995481502400453</v>
      </c>
      <c r="BB168" s="87">
        <v>0.76018099547511309</v>
      </c>
      <c r="BC168" s="87">
        <v>0.75998866534429022</v>
      </c>
      <c r="BD168" s="87">
        <v>0.76001136040897477</v>
      </c>
      <c r="BE168" s="87">
        <v>0.76003415883859948</v>
      </c>
      <c r="BF168" s="87">
        <v>0.76012549914432403</v>
      </c>
      <c r="BG168" s="87">
        <v>0.7600685518423308</v>
      </c>
    </row>
    <row r="169" spans="3:59" x14ac:dyDescent="0.2">
      <c r="C169" s="29">
        <v>34</v>
      </c>
      <c r="F169" s="87">
        <v>0.73055555555555551</v>
      </c>
      <c r="G169" s="87">
        <v>0.73236584542693217</v>
      </c>
      <c r="H169" s="87">
        <v>0.73421487603305791</v>
      </c>
      <c r="I169" s="87">
        <v>0.73558322411533417</v>
      </c>
      <c r="J169" s="87">
        <v>0.73729903536977492</v>
      </c>
      <c r="K169" s="87">
        <v>0.73853503184713376</v>
      </c>
      <c r="L169" s="87">
        <v>0.73985754103437595</v>
      </c>
      <c r="M169" s="87">
        <v>0.74121122599704581</v>
      </c>
      <c r="N169" s="87">
        <v>0.74232773595830925</v>
      </c>
      <c r="O169" s="87">
        <v>0.74343378490461709</v>
      </c>
      <c r="P169" s="87">
        <v>0.74442354205858641</v>
      </c>
      <c r="Q169" s="87">
        <v>0.74538440341691925</v>
      </c>
      <c r="R169" s="87">
        <v>0.74627688913403201</v>
      </c>
      <c r="S169" s="87">
        <v>0.74698457223001402</v>
      </c>
      <c r="T169" s="87">
        <v>0.74796747967479671</v>
      </c>
      <c r="U169" s="87">
        <v>0.74871794871794872</v>
      </c>
      <c r="V169" s="87">
        <v>0.74928936895963616</v>
      </c>
      <c r="W169" s="87">
        <v>0.74978404837316437</v>
      </c>
      <c r="X169" s="87">
        <v>0.75022195915951462</v>
      </c>
      <c r="Y169" s="87">
        <v>0.75093686941481697</v>
      </c>
      <c r="Z169" s="87">
        <v>0.75131348511383533</v>
      </c>
      <c r="AA169" s="87">
        <v>0.75166163141993958</v>
      </c>
      <c r="AB169" s="87">
        <v>0.75198291641244663</v>
      </c>
      <c r="AC169" s="87">
        <v>0.75232662864004807</v>
      </c>
      <c r="AD169" s="87">
        <v>0.75272067714631197</v>
      </c>
      <c r="AE169" s="87">
        <v>0.75288888888888894</v>
      </c>
      <c r="AF169" s="87">
        <v>0.75329135661133373</v>
      </c>
      <c r="AG169" s="87">
        <v>0.75374376039933444</v>
      </c>
      <c r="AH169" s="87">
        <v>0.75386344478786171</v>
      </c>
      <c r="AI169" s="87">
        <v>0.75412995594713661</v>
      </c>
      <c r="AJ169" s="87">
        <v>0.75413976985686215</v>
      </c>
      <c r="AK169" s="87">
        <v>0.75428082191780821</v>
      </c>
      <c r="AL169" s="87">
        <v>0.75443185120604472</v>
      </c>
      <c r="AM169" s="87">
        <v>0.75433871932974272</v>
      </c>
      <c r="AN169" s="87">
        <v>0.75467712733856362</v>
      </c>
      <c r="AO169" s="87">
        <v>0.75477326968973746</v>
      </c>
      <c r="AP169" s="87">
        <v>0.75472813238770686</v>
      </c>
      <c r="AQ169" s="87">
        <v>0.75461741424802109</v>
      </c>
      <c r="AR169" s="87">
        <v>0.75479930191972078</v>
      </c>
      <c r="AS169" s="87">
        <v>0.7548368466647416</v>
      </c>
      <c r="AT169" s="87">
        <v>0.75502008032128509</v>
      </c>
      <c r="AU169" s="87">
        <v>0.75499144324015977</v>
      </c>
      <c r="AV169" s="87">
        <v>0.75475447062162926</v>
      </c>
      <c r="AW169" s="87">
        <v>0.75509049773755654</v>
      </c>
      <c r="AX169" s="87">
        <v>0.75493513818386915</v>
      </c>
      <c r="AY169" s="87">
        <v>0.75513650436251056</v>
      </c>
      <c r="AZ169" s="87">
        <v>0.75513072814169246</v>
      </c>
      <c r="BA169" s="87">
        <v>0.75491849353569418</v>
      </c>
      <c r="BB169" s="87">
        <v>0.7549929676511955</v>
      </c>
      <c r="BC169" s="87">
        <v>0.75492957746478873</v>
      </c>
      <c r="BD169" s="87">
        <v>0.7550098786339261</v>
      </c>
      <c r="BE169" s="87">
        <v>0.75502121640735498</v>
      </c>
      <c r="BF169" s="87">
        <v>0.75503260561383612</v>
      </c>
      <c r="BG169" s="87">
        <v>0.75489917637034931</v>
      </c>
    </row>
    <row r="170" spans="3:59" x14ac:dyDescent="0.2">
      <c r="C170" s="29">
        <v>35</v>
      </c>
      <c r="F170" s="87">
        <v>0.73317140874392783</v>
      </c>
      <c r="G170" s="87">
        <v>0.73503097040605647</v>
      </c>
      <c r="H170" s="87">
        <v>0.7364705882352941</v>
      </c>
      <c r="I170" s="87">
        <v>0.73789924267369111</v>
      </c>
      <c r="J170" s="87">
        <v>0.7389033942558747</v>
      </c>
      <c r="K170" s="87">
        <v>0.74023062139654072</v>
      </c>
      <c r="L170" s="87">
        <v>0.74143401015228427</v>
      </c>
      <c r="M170" s="87">
        <v>0.7426720148102437</v>
      </c>
      <c r="N170" s="87">
        <v>0.74359729172799527</v>
      </c>
      <c r="O170" s="87">
        <v>0.74466243508366992</v>
      </c>
      <c r="P170" s="87">
        <v>0.74558985667034183</v>
      </c>
      <c r="Q170" s="87">
        <v>0.74658451647468527</v>
      </c>
      <c r="R170" s="87">
        <v>0.74704751441911565</v>
      </c>
      <c r="S170" s="87">
        <v>0.74793842770753161</v>
      </c>
      <c r="T170" s="87">
        <v>0.74839250768800669</v>
      </c>
      <c r="U170" s="87">
        <v>0.74937133277451806</v>
      </c>
      <c r="V170" s="87">
        <v>0.74964518875957986</v>
      </c>
      <c r="W170" s="87">
        <v>0.75021240441801185</v>
      </c>
      <c r="X170" s="87">
        <v>0.75093256814921094</v>
      </c>
      <c r="Y170" s="87">
        <v>0.75140076673547629</v>
      </c>
      <c r="Z170" s="87">
        <v>0.75179546107440387</v>
      </c>
      <c r="AA170" s="87">
        <v>0.75218150087260038</v>
      </c>
      <c r="AB170" s="87">
        <v>0.75255869957856714</v>
      </c>
      <c r="AC170" s="87">
        <v>0.75288753799392094</v>
      </c>
      <c r="AD170" s="87">
        <v>0.75321567454382288</v>
      </c>
      <c r="AE170" s="87">
        <v>0.75331325301204821</v>
      </c>
      <c r="AF170" s="87">
        <v>0.75346914673752585</v>
      </c>
      <c r="AG170" s="87">
        <v>0.75363558597091529</v>
      </c>
      <c r="AH170" s="87">
        <v>0.75379939209726443</v>
      </c>
      <c r="AI170" s="87">
        <v>0.75413049565947909</v>
      </c>
      <c r="AJ170" s="87">
        <v>0.75418381344307273</v>
      </c>
      <c r="AK170" s="87">
        <v>0.75419463087248317</v>
      </c>
      <c r="AL170" s="87">
        <v>0.75455062571103526</v>
      </c>
      <c r="AM170" s="87">
        <v>0.75448755066589457</v>
      </c>
      <c r="AN170" s="87">
        <v>0.75462134764460342</v>
      </c>
      <c r="AO170" s="87">
        <v>0.75466025255562241</v>
      </c>
      <c r="AP170" s="87">
        <v>0.75475624256837104</v>
      </c>
      <c r="AQ170" s="87">
        <v>0.75500588928150769</v>
      </c>
      <c r="AR170" s="87">
        <v>0.75489336839030086</v>
      </c>
      <c r="AS170" s="87">
        <v>0.75478260869565217</v>
      </c>
      <c r="AT170" s="87">
        <v>0.7548906789413119</v>
      </c>
      <c r="AU170" s="87">
        <v>0.75500285877644369</v>
      </c>
      <c r="AV170" s="87">
        <v>0.75497441728254688</v>
      </c>
      <c r="AW170" s="87">
        <v>0.75502121640735498</v>
      </c>
      <c r="AX170" s="87">
        <v>0.75486052409129334</v>
      </c>
      <c r="AY170" s="87">
        <v>0.75498735599887612</v>
      </c>
      <c r="AZ170" s="87">
        <v>0.75490745933819403</v>
      </c>
      <c r="BA170" s="87">
        <v>0.75490196078431371</v>
      </c>
      <c r="BB170" s="87">
        <v>0.75518207282913163</v>
      </c>
      <c r="BC170" s="87">
        <v>0.7550448430493274</v>
      </c>
      <c r="BD170" s="87">
        <v>0.75498175694639347</v>
      </c>
      <c r="BE170" s="87">
        <v>0.75506186726659164</v>
      </c>
      <c r="BF170" s="87">
        <v>0.75507328072153324</v>
      </c>
      <c r="BG170" s="87">
        <v>0.7550847457627119</v>
      </c>
    </row>
    <row r="171" spans="3:59" x14ac:dyDescent="0.2">
      <c r="C171" s="29">
        <v>36</v>
      </c>
      <c r="F171" s="87">
        <v>0.73869520193303417</v>
      </c>
      <c r="G171" s="87">
        <v>0.73993808049535603</v>
      </c>
      <c r="H171" s="87">
        <v>0.74117243743572159</v>
      </c>
      <c r="I171" s="87">
        <v>0.74237855946398656</v>
      </c>
      <c r="J171" s="87">
        <v>0.7434383202099738</v>
      </c>
      <c r="K171" s="87">
        <v>0.74463240078074167</v>
      </c>
      <c r="L171" s="87">
        <v>0.74553001277139208</v>
      </c>
      <c r="M171" s="87">
        <v>0.74667931688804556</v>
      </c>
      <c r="N171" s="87">
        <v>0.74723247232472323</v>
      </c>
      <c r="O171" s="87">
        <v>0.74816554153213977</v>
      </c>
      <c r="P171" s="87">
        <v>0.74913693901035672</v>
      </c>
      <c r="Q171" s="87">
        <v>0.74965649903819731</v>
      </c>
      <c r="R171" s="87">
        <v>0.75046753940689281</v>
      </c>
      <c r="S171" s="87">
        <v>0.75102711585866888</v>
      </c>
      <c r="T171" s="87">
        <v>0.75164473684210531</v>
      </c>
      <c r="U171" s="87">
        <v>0.75216057987175911</v>
      </c>
      <c r="V171" s="87">
        <v>0.75257731958762886</v>
      </c>
      <c r="W171" s="87">
        <v>0.75290121709595248</v>
      </c>
      <c r="X171" s="87">
        <v>0.75345947472465402</v>
      </c>
      <c r="Y171" s="87">
        <v>0.75393419170243203</v>
      </c>
      <c r="Z171" s="87">
        <v>0.75426219870664313</v>
      </c>
      <c r="AA171" s="87">
        <v>0.75451160126038386</v>
      </c>
      <c r="AB171" s="87">
        <v>0.75471151058277763</v>
      </c>
      <c r="AC171" s="87">
        <v>0.75487548754875489</v>
      </c>
      <c r="AD171" s="87">
        <v>0.75522568918509547</v>
      </c>
      <c r="AE171" s="87">
        <v>0.75551580202742996</v>
      </c>
      <c r="AF171" s="87">
        <v>0.75562894025818073</v>
      </c>
      <c r="AG171" s="87">
        <v>0.75573866980576809</v>
      </c>
      <c r="AH171" s="87">
        <v>0.75604208131930628</v>
      </c>
      <c r="AI171" s="87">
        <v>0.75613116561036098</v>
      </c>
      <c r="AJ171" s="87">
        <v>0.75628140703517588</v>
      </c>
      <c r="AK171" s="87">
        <v>0.7564979480164159</v>
      </c>
      <c r="AL171" s="87">
        <v>0.75655326268823198</v>
      </c>
      <c r="AM171" s="87">
        <v>0.75645024099801528</v>
      </c>
      <c r="AN171" s="87">
        <v>0.75692840646651272</v>
      </c>
      <c r="AO171" s="87">
        <v>0.75661218424962851</v>
      </c>
      <c r="AP171" s="87">
        <v>0.75696733593047649</v>
      </c>
      <c r="AQ171" s="87">
        <v>0.75674074074074071</v>
      </c>
      <c r="AR171" s="87">
        <v>0.75697094217786909</v>
      </c>
      <c r="AS171" s="87">
        <v>0.75684333139196269</v>
      </c>
      <c r="AT171" s="87">
        <v>0.75700664547818552</v>
      </c>
      <c r="AU171" s="87">
        <v>0.75681101233151704</v>
      </c>
      <c r="AV171" s="87">
        <v>0.75691080079794815</v>
      </c>
      <c r="AW171" s="87">
        <v>0.75687163502408616</v>
      </c>
      <c r="AX171" s="87">
        <v>0.75690919345741681</v>
      </c>
      <c r="AY171" s="87">
        <v>0.7570224719101124</v>
      </c>
      <c r="AZ171" s="87">
        <v>0.75686274509803919</v>
      </c>
      <c r="BA171" s="87">
        <v>0.75705898797875315</v>
      </c>
      <c r="BB171" s="87">
        <v>0.75705110304384249</v>
      </c>
      <c r="BC171" s="87">
        <v>0.75705110304384249</v>
      </c>
      <c r="BD171" s="87">
        <v>0.75691533948030176</v>
      </c>
      <c r="BE171" s="87">
        <v>0.75685506435366534</v>
      </c>
      <c r="BF171" s="87">
        <v>0.7569386038687973</v>
      </c>
      <c r="BG171" s="87">
        <v>0.75695420061815122</v>
      </c>
    </row>
    <row r="172" spans="3:59" x14ac:dyDescent="0.2">
      <c r="C172" s="29">
        <v>37</v>
      </c>
      <c r="F172" s="87">
        <v>0.74893617021276593</v>
      </c>
      <c r="G172" s="87">
        <v>0.74991435423090103</v>
      </c>
      <c r="H172" s="87">
        <v>0.75128644939965694</v>
      </c>
      <c r="I172" s="87">
        <v>0.75213675213675213</v>
      </c>
      <c r="J172" s="87">
        <v>0.75317301269205073</v>
      </c>
      <c r="K172" s="87">
        <v>0.75425392670157065</v>
      </c>
      <c r="L172" s="87">
        <v>0.75502920181700195</v>
      </c>
      <c r="M172" s="87">
        <v>0.75581025151225723</v>
      </c>
      <c r="N172" s="87">
        <v>0.75654367707347836</v>
      </c>
      <c r="O172" s="87">
        <v>0.75736196319018401</v>
      </c>
      <c r="P172" s="87">
        <v>0.75812591508052707</v>
      </c>
      <c r="Q172" s="87">
        <v>0.75839311334289816</v>
      </c>
      <c r="R172" s="87">
        <v>0.75925418151905677</v>
      </c>
      <c r="S172" s="87">
        <v>0.75959488272921105</v>
      </c>
      <c r="T172" s="87">
        <v>0.76031702650997546</v>
      </c>
      <c r="U172" s="87">
        <v>0.76073284112660655</v>
      </c>
      <c r="V172" s="87">
        <v>0.76105702364394989</v>
      </c>
      <c r="W172" s="87">
        <v>0.76153418565869924</v>
      </c>
      <c r="X172" s="87">
        <v>0.76193165772380689</v>
      </c>
      <c r="Y172" s="87">
        <v>0.76218653141730064</v>
      </c>
      <c r="Z172" s="87">
        <v>0.76255707762557079</v>
      </c>
      <c r="AA172" s="87">
        <v>0.76275659824046926</v>
      </c>
      <c r="AB172" s="87">
        <v>0.76314285714285712</v>
      </c>
      <c r="AC172" s="87">
        <v>0.76337865201041366</v>
      </c>
      <c r="AD172" s="87">
        <v>0.76354384914696194</v>
      </c>
      <c r="AE172" s="87">
        <v>0.7637462235649547</v>
      </c>
      <c r="AF172" s="87">
        <v>0.76390127862027957</v>
      </c>
      <c r="AG172" s="87">
        <v>0.76407185628742513</v>
      </c>
      <c r="AH172" s="87">
        <v>0.76423957721667646</v>
      </c>
      <c r="AI172" s="87">
        <v>0.76432217810550196</v>
      </c>
      <c r="AJ172" s="87">
        <v>0.76443100604727876</v>
      </c>
      <c r="AK172" s="87">
        <v>0.76441102756892232</v>
      </c>
      <c r="AL172" s="87">
        <v>0.76446506550218341</v>
      </c>
      <c r="AM172" s="87">
        <v>0.76467315716272599</v>
      </c>
      <c r="AN172" s="87">
        <v>0.76492220650636489</v>
      </c>
      <c r="AO172" s="87">
        <v>0.76475669450043193</v>
      </c>
      <c r="AP172" s="87">
        <v>0.76467101363366918</v>
      </c>
      <c r="AQ172" s="87">
        <v>0.76479378362223549</v>
      </c>
      <c r="AR172" s="87">
        <v>0.76477541371158397</v>
      </c>
      <c r="AS172" s="87">
        <v>0.76492974238875877</v>
      </c>
      <c r="AT172" s="87">
        <v>0.76503049665988965</v>
      </c>
      <c r="AU172" s="87">
        <v>0.76484149855907779</v>
      </c>
      <c r="AV172" s="87">
        <v>0.76487414187643021</v>
      </c>
      <c r="AW172" s="87">
        <v>0.76492325184764065</v>
      </c>
      <c r="AX172" s="87">
        <v>0.76512153759185986</v>
      </c>
      <c r="AY172" s="87">
        <v>0.76511954992967646</v>
      </c>
      <c r="AZ172" s="87">
        <v>0.7649201456990754</v>
      </c>
      <c r="BA172" s="87">
        <v>0.76501816149762503</v>
      </c>
      <c r="BB172" s="87">
        <v>0.76491912994980482</v>
      </c>
      <c r="BC172" s="87">
        <v>0.76490250696378825</v>
      </c>
      <c r="BD172" s="87">
        <v>0.76518105849582174</v>
      </c>
      <c r="BE172" s="87">
        <v>0.76505016722408026</v>
      </c>
      <c r="BF172" s="87">
        <v>0.7650013954786492</v>
      </c>
      <c r="BG172" s="87">
        <v>0.7651006711409396</v>
      </c>
    </row>
    <row r="173" spans="3:59" x14ac:dyDescent="0.2">
      <c r="C173" s="29">
        <v>38</v>
      </c>
      <c r="F173" s="87">
        <v>0.76118881118881121</v>
      </c>
      <c r="G173" s="87">
        <v>0.76232394366197187</v>
      </c>
      <c r="H173" s="87">
        <v>0.76349965823650034</v>
      </c>
      <c r="I173" s="87">
        <v>0.76420260095824777</v>
      </c>
      <c r="J173" s="87">
        <v>0.76534788540245569</v>
      </c>
      <c r="K173" s="87">
        <v>0.76633333333333331</v>
      </c>
      <c r="L173" s="87">
        <v>0.76689520078354556</v>
      </c>
      <c r="M173" s="87">
        <v>0.76756231790223373</v>
      </c>
      <c r="N173" s="87">
        <v>0.76835081029551955</v>
      </c>
      <c r="O173" s="87">
        <v>0.76896443185395025</v>
      </c>
      <c r="P173" s="87">
        <v>0.76951331496786046</v>
      </c>
      <c r="Q173" s="87">
        <v>0.7703097603740503</v>
      </c>
      <c r="R173" s="87">
        <v>0.7708393010598682</v>
      </c>
      <c r="S173" s="87">
        <v>0.77142075006843691</v>
      </c>
      <c r="T173" s="87">
        <v>0.77168706758914318</v>
      </c>
      <c r="U173" s="87">
        <v>0.77195853791598468</v>
      </c>
      <c r="V173" s="87">
        <v>0.77259077259077258</v>
      </c>
      <c r="W173" s="87">
        <v>0.77290394225430314</v>
      </c>
      <c r="X173" s="87">
        <v>0.77309292649098471</v>
      </c>
      <c r="Y173" s="87">
        <v>0.77339346110484786</v>
      </c>
      <c r="Z173" s="87">
        <v>0.77390326209223848</v>
      </c>
      <c r="AA173" s="87">
        <v>0.77385360296211902</v>
      </c>
      <c r="AB173" s="87">
        <v>0.77436347673397721</v>
      </c>
      <c r="AC173" s="87">
        <v>0.77445109780439125</v>
      </c>
      <c r="AD173" s="87">
        <v>0.77482678983833719</v>
      </c>
      <c r="AE173" s="87">
        <v>0.77508960573476704</v>
      </c>
      <c r="AF173" s="87">
        <v>0.7750979801025023</v>
      </c>
      <c r="AG173" s="87">
        <v>0.77507418397626116</v>
      </c>
      <c r="AH173" s="87">
        <v>0.77532118314908871</v>
      </c>
      <c r="AI173" s="87">
        <v>0.77533684827182192</v>
      </c>
      <c r="AJ173" s="87">
        <v>0.77554486272289835</v>
      </c>
      <c r="AK173" s="87">
        <v>0.77558299039780521</v>
      </c>
      <c r="AL173" s="87">
        <v>0.77543079488604783</v>
      </c>
      <c r="AM173" s="87">
        <v>0.77581040588395533</v>
      </c>
      <c r="AN173" s="87">
        <v>0.77568017767906716</v>
      </c>
      <c r="AO173" s="87">
        <v>0.77561388653683316</v>
      </c>
      <c r="AP173" s="87">
        <v>0.77563918414248778</v>
      </c>
      <c r="AQ173" s="87">
        <v>0.77580597456373857</v>
      </c>
      <c r="AR173" s="87">
        <v>0.77602147330748583</v>
      </c>
      <c r="AS173" s="87">
        <v>0.77617222058389856</v>
      </c>
      <c r="AT173" s="87">
        <v>0.77570093457943923</v>
      </c>
      <c r="AU173" s="87">
        <v>0.77600695450594026</v>
      </c>
      <c r="AV173" s="87">
        <v>0.77595628415300544</v>
      </c>
      <c r="AW173" s="87">
        <v>0.775906365972024</v>
      </c>
      <c r="AX173" s="87">
        <v>0.77595008508224617</v>
      </c>
      <c r="AY173" s="87">
        <v>0.77580372250423013</v>
      </c>
      <c r="AZ173" s="87">
        <v>0.77596855699045475</v>
      </c>
      <c r="BA173" s="87">
        <v>0.77600671140939592</v>
      </c>
      <c r="BB173" s="87">
        <v>0.7760736196319018</v>
      </c>
      <c r="BC173" s="87">
        <v>0.77595324241580854</v>
      </c>
      <c r="BD173" s="87">
        <v>0.77592438142896858</v>
      </c>
      <c r="BE173" s="87">
        <v>0.77598665925514176</v>
      </c>
      <c r="BF173" s="87">
        <v>0.77586206896551724</v>
      </c>
      <c r="BG173" s="87">
        <v>0.77582846003898631</v>
      </c>
    </row>
    <row r="174" spans="3:59" x14ac:dyDescent="0.2">
      <c r="C174" s="29">
        <v>39</v>
      </c>
      <c r="F174" s="87">
        <v>0.77429467084639503</v>
      </c>
      <c r="G174" s="87">
        <v>0.77511296489398684</v>
      </c>
      <c r="H174" s="87">
        <v>0.77609841827768011</v>
      </c>
      <c r="I174" s="87">
        <v>0.77686796315250772</v>
      </c>
      <c r="J174" s="87">
        <v>0.77758797403484792</v>
      </c>
      <c r="K174" s="87">
        <v>0.77834525025536261</v>
      </c>
      <c r="L174" s="87">
        <v>0.7793677204658902</v>
      </c>
      <c r="M174" s="87">
        <v>0.77966101694915257</v>
      </c>
      <c r="N174" s="87">
        <v>0.78054298642533937</v>
      </c>
      <c r="O174" s="87">
        <v>0.78109137055837563</v>
      </c>
      <c r="P174" s="87">
        <v>0.78158390949088619</v>
      </c>
      <c r="Q174" s="87">
        <v>0.78209046454767728</v>
      </c>
      <c r="R174" s="87">
        <v>0.78231689524365333</v>
      </c>
      <c r="S174" s="87">
        <v>0.78289473684210531</v>
      </c>
      <c r="T174" s="87">
        <v>0.78321487151448876</v>
      </c>
      <c r="U174" s="87">
        <v>0.78368323146425722</v>
      </c>
      <c r="V174" s="87">
        <v>0.78419618528610358</v>
      </c>
      <c r="W174" s="87">
        <v>0.78435114503816794</v>
      </c>
      <c r="X174" s="87">
        <v>0.78458552813972826</v>
      </c>
      <c r="Y174" s="87">
        <v>0.78476454293628806</v>
      </c>
      <c r="Z174" s="87">
        <v>0.78525189980298338</v>
      </c>
      <c r="AA174" s="87">
        <v>0.78545352429092952</v>
      </c>
      <c r="AB174" s="87">
        <v>0.78555176336746302</v>
      </c>
      <c r="AC174" s="87">
        <v>0.78579777907656345</v>
      </c>
      <c r="AD174" s="87">
        <v>0.78587699316628701</v>
      </c>
      <c r="AE174" s="87">
        <v>0.78610550590948403</v>
      </c>
      <c r="AF174" s="87">
        <v>0.78622540250447226</v>
      </c>
      <c r="AG174" s="87">
        <v>0.78627332931968696</v>
      </c>
      <c r="AH174" s="87">
        <v>0.78637037037037039</v>
      </c>
      <c r="AI174" s="87">
        <v>0.78639618138424816</v>
      </c>
      <c r="AJ174" s="87">
        <v>0.78648727698157361</v>
      </c>
      <c r="AK174" s="87">
        <v>0.78660260033917473</v>
      </c>
      <c r="AL174" s="87">
        <v>0.7868493150684932</v>
      </c>
      <c r="AM174" s="87">
        <v>0.78684429641965026</v>
      </c>
      <c r="AN174" s="87">
        <v>0.78672470076169754</v>
      </c>
      <c r="AO174" s="87">
        <v>0.78686252771618626</v>
      </c>
      <c r="AP174" s="87">
        <v>0.78692220969560311</v>
      </c>
      <c r="AQ174" s="87">
        <v>0.78686173264486514</v>
      </c>
      <c r="AR174" s="87">
        <v>0.78683200472394454</v>
      </c>
      <c r="AS174" s="87">
        <v>0.78684132182197086</v>
      </c>
      <c r="AT174" s="87">
        <v>0.78687076832499259</v>
      </c>
      <c r="AU174" s="87">
        <v>0.78710994459025951</v>
      </c>
      <c r="AV174" s="87">
        <v>0.78703703703703709</v>
      </c>
      <c r="AW174" s="87">
        <v>0.78696525983347687</v>
      </c>
      <c r="AX174" s="87">
        <v>0.78683385579937304</v>
      </c>
      <c r="AY174" s="87">
        <v>0.78702917020674035</v>
      </c>
      <c r="AZ174" s="87">
        <v>0.78710222472542946</v>
      </c>
      <c r="BA174" s="87">
        <v>0.78699551569506732</v>
      </c>
      <c r="BB174" s="87">
        <v>0.78699050809603577</v>
      </c>
      <c r="BC174" s="87">
        <v>0.78702672605790647</v>
      </c>
      <c r="BD174" s="87">
        <v>0.78688524590163933</v>
      </c>
      <c r="BE174" s="87">
        <v>0.78712184290868725</v>
      </c>
      <c r="BF174" s="87">
        <v>0.78690344062153161</v>
      </c>
      <c r="BG174" s="87">
        <v>0.78700361010830322</v>
      </c>
    </row>
    <row r="175" spans="3:59" x14ac:dyDescent="0.2">
      <c r="C175" s="29">
        <v>40</v>
      </c>
      <c r="F175" s="87">
        <v>0.78488564799469673</v>
      </c>
      <c r="G175" s="87">
        <v>0.7855162855162855</v>
      </c>
      <c r="H175" s="87">
        <v>0.78645833333333337</v>
      </c>
      <c r="I175" s="87">
        <v>0.7868679775280899</v>
      </c>
      <c r="J175" s="87">
        <v>0.78766189502385819</v>
      </c>
      <c r="K175" s="87">
        <v>0.7880546075085324</v>
      </c>
      <c r="L175" s="87">
        <v>0.78877551020408165</v>
      </c>
      <c r="M175" s="87">
        <v>0.78929877035559992</v>
      </c>
      <c r="N175" s="87">
        <v>0.78964506675350044</v>
      </c>
      <c r="O175" s="87">
        <v>0.79018721755971599</v>
      </c>
      <c r="P175" s="87">
        <v>0.79055766793409377</v>
      </c>
      <c r="Q175" s="87">
        <v>0.79096045197740117</v>
      </c>
      <c r="R175" s="87">
        <v>0.7914503816793893</v>
      </c>
      <c r="S175" s="87">
        <v>0.7918367346938775</v>
      </c>
      <c r="T175" s="87">
        <v>0.79222635038582456</v>
      </c>
      <c r="U175" s="87">
        <v>0.79240644632614043</v>
      </c>
      <c r="V175" s="87">
        <v>0.7926181625066383</v>
      </c>
      <c r="W175" s="87">
        <v>0.79286880783886771</v>
      </c>
      <c r="X175" s="87">
        <v>0.79302832244008714</v>
      </c>
      <c r="Y175" s="87">
        <v>0.79335180055401666</v>
      </c>
      <c r="Z175" s="87">
        <v>0.79352338776639908</v>
      </c>
      <c r="AA175" s="87">
        <v>0.79364633117795891</v>
      </c>
      <c r="AB175" s="87">
        <v>0.79382889200561013</v>
      </c>
      <c r="AC175" s="87">
        <v>0.79374999999999996</v>
      </c>
      <c r="AD175" s="87">
        <v>0.79422066549912429</v>
      </c>
      <c r="AE175" s="87">
        <v>0.79408418657565416</v>
      </c>
      <c r="AF175" s="87">
        <v>0.7944140512525194</v>
      </c>
      <c r="AG175" s="87">
        <v>0.7942227516378797</v>
      </c>
      <c r="AH175" s="87">
        <v>0.79464822609741426</v>
      </c>
      <c r="AI175" s="87">
        <v>0.79461379106244456</v>
      </c>
      <c r="AJ175" s="87">
        <v>0.79469606674612636</v>
      </c>
      <c r="AK175" s="87">
        <v>0.79462459830557985</v>
      </c>
      <c r="AL175" s="87">
        <v>0.79474872953133824</v>
      </c>
      <c r="AM175" s="87">
        <v>0.79474548440065684</v>
      </c>
      <c r="AN175" s="87">
        <v>0.79484336013307455</v>
      </c>
      <c r="AO175" s="87">
        <v>0.79483695652173914</v>
      </c>
      <c r="AP175" s="87">
        <v>0.79485049833887045</v>
      </c>
      <c r="AQ175" s="87">
        <v>0.79504504504504503</v>
      </c>
      <c r="AR175" s="87">
        <v>0.79512893982808019</v>
      </c>
      <c r="AS175" s="87">
        <v>0.79504570923031559</v>
      </c>
      <c r="AT175" s="87">
        <v>0.79512340172465057</v>
      </c>
      <c r="AU175" s="87">
        <v>0.79506027638929722</v>
      </c>
      <c r="AV175" s="87">
        <v>0.79522283716865716</v>
      </c>
      <c r="AW175" s="87">
        <v>0.79485697775209474</v>
      </c>
      <c r="AX175" s="87">
        <v>0.79495268138801267</v>
      </c>
      <c r="AY175" s="87">
        <v>0.79504696840307432</v>
      </c>
      <c r="AZ175" s="87">
        <v>0.79496606334841624</v>
      </c>
      <c r="BA175" s="87">
        <v>0.7949943757030371</v>
      </c>
      <c r="BB175" s="87">
        <v>0.79485026588301144</v>
      </c>
      <c r="BC175" s="87">
        <v>0.79503625209146678</v>
      </c>
      <c r="BD175" s="87">
        <v>0.79505005561735265</v>
      </c>
      <c r="BE175" s="87">
        <v>0.79517069109075766</v>
      </c>
      <c r="BF175" s="87">
        <v>0.79512059883559749</v>
      </c>
      <c r="BG175" s="87">
        <v>0.79517738359201773</v>
      </c>
    </row>
    <row r="176" spans="3:59" x14ac:dyDescent="0.2">
      <c r="C176" s="29">
        <v>41</v>
      </c>
      <c r="F176" s="87">
        <v>0.79320203303684877</v>
      </c>
      <c r="G176" s="87">
        <v>0.79372937293729373</v>
      </c>
      <c r="H176" s="87">
        <v>0.79432132963988922</v>
      </c>
      <c r="I176" s="87">
        <v>0.79528105482303957</v>
      </c>
      <c r="J176" s="87">
        <v>0.7955103472465801</v>
      </c>
      <c r="K176" s="87">
        <v>0.79605039155600954</v>
      </c>
      <c r="L176" s="87">
        <v>0.79645414251619506</v>
      </c>
      <c r="M176" s="87">
        <v>0.79680598029221883</v>
      </c>
      <c r="N176" s="87">
        <v>0.79740949850547993</v>
      </c>
      <c r="O176" s="87">
        <v>0.79791734461438335</v>
      </c>
      <c r="P176" s="87">
        <v>0.79806451612903229</v>
      </c>
      <c r="Q176" s="87">
        <v>0.79860671310956299</v>
      </c>
      <c r="R176" s="87">
        <v>0.79893350062735258</v>
      </c>
      <c r="S176" s="87">
        <v>0.79896278218425865</v>
      </c>
      <c r="T176" s="87">
        <v>0.79930090300029133</v>
      </c>
      <c r="U176" s="87">
        <v>0.79954311821816104</v>
      </c>
      <c r="V176" s="87">
        <v>0.79994541484716153</v>
      </c>
      <c r="W176" s="87">
        <v>0.80015923566878977</v>
      </c>
      <c r="X176" s="87">
        <v>0.80032644178454837</v>
      </c>
      <c r="Y176" s="87">
        <v>0.80048992923244422</v>
      </c>
      <c r="Z176" s="87">
        <v>0.80071962358151116</v>
      </c>
      <c r="AA176" s="87">
        <v>0.80088495575221241</v>
      </c>
      <c r="AB176" s="87">
        <v>0.80106771565046364</v>
      </c>
      <c r="AC176" s="87">
        <v>0.80100896860986548</v>
      </c>
      <c r="AD176" s="87">
        <v>0.8012492901760363</v>
      </c>
      <c r="AE176" s="87">
        <v>0.80139982502187224</v>
      </c>
      <c r="AF176" s="87">
        <v>0.80136402387041772</v>
      </c>
      <c r="AG176" s="87">
        <v>0.80149597238204828</v>
      </c>
      <c r="AH176" s="87">
        <v>0.8015471585837548</v>
      </c>
      <c r="AI176" s="87">
        <v>0.8017422649444278</v>
      </c>
      <c r="AJ176" s="87">
        <v>0.80159668835008868</v>
      </c>
      <c r="AK176" s="87">
        <v>0.80172670437630245</v>
      </c>
      <c r="AL176" s="87">
        <v>0.80180969060128426</v>
      </c>
      <c r="AM176" s="87">
        <v>0.80197461212976018</v>
      </c>
      <c r="AN176" s="87">
        <v>0.80202351654361503</v>
      </c>
      <c r="AO176" s="87">
        <v>0.80193905817174516</v>
      </c>
      <c r="AP176" s="87">
        <v>0.80206353516155304</v>
      </c>
      <c r="AQ176" s="87">
        <v>0.80193637621023517</v>
      </c>
      <c r="AR176" s="87">
        <v>0.80196905766526017</v>
      </c>
      <c r="AS176" s="87">
        <v>0.80194619347452778</v>
      </c>
      <c r="AT176" s="87">
        <v>0.80200353565114912</v>
      </c>
      <c r="AU176" s="87">
        <v>0.80190080190080193</v>
      </c>
      <c r="AV176" s="87">
        <v>0.80205580029368573</v>
      </c>
      <c r="AW176" s="87">
        <v>0.80186208903113176</v>
      </c>
      <c r="AX176" s="87">
        <v>0.80196304849884525</v>
      </c>
      <c r="AY176" s="87">
        <v>0.80177599541678601</v>
      </c>
      <c r="AZ176" s="87">
        <v>0.80204778156996592</v>
      </c>
      <c r="BA176" s="87">
        <v>0.80192144673636623</v>
      </c>
      <c r="BB176" s="87">
        <v>0.80191064905872433</v>
      </c>
      <c r="BC176" s="87">
        <v>0.80201342281879195</v>
      </c>
      <c r="BD176" s="87">
        <v>0.80194986072423402</v>
      </c>
      <c r="BE176" s="87">
        <v>0.80194444444444446</v>
      </c>
      <c r="BF176" s="87">
        <v>0.80205156639866926</v>
      </c>
      <c r="BG176" s="87">
        <v>0.80199390750484634</v>
      </c>
    </row>
    <row r="177" spans="3:59" x14ac:dyDescent="0.2">
      <c r="C177" s="29">
        <v>42</v>
      </c>
      <c r="F177" s="87">
        <v>0.80073461891643705</v>
      </c>
      <c r="G177" s="87">
        <v>0.80120291231402341</v>
      </c>
      <c r="H177" s="87">
        <v>0.80231023102310228</v>
      </c>
      <c r="I177" s="87">
        <v>0.8026998961578401</v>
      </c>
      <c r="J177" s="87">
        <v>0.80332986472424561</v>
      </c>
      <c r="K177" s="87">
        <v>0.80392844615924242</v>
      </c>
      <c r="L177" s="87">
        <v>0.80456247871978204</v>
      </c>
      <c r="M177" s="87">
        <v>0.80497783839072623</v>
      </c>
      <c r="N177" s="87">
        <v>0.80530071355759425</v>
      </c>
      <c r="O177" s="87">
        <v>0.80577689243027883</v>
      </c>
      <c r="P177" s="87">
        <v>0.8061158100195186</v>
      </c>
      <c r="Q177" s="87">
        <v>0.80619155111254437</v>
      </c>
      <c r="R177" s="87">
        <v>0.80658436213991769</v>
      </c>
      <c r="S177" s="87">
        <v>0.80714957666980247</v>
      </c>
      <c r="T177" s="87">
        <v>0.80725831046050622</v>
      </c>
      <c r="U177" s="87">
        <v>0.80751310425160161</v>
      </c>
      <c r="V177" s="87">
        <v>0.80787896089066513</v>
      </c>
      <c r="W177" s="87">
        <v>0.80791268758526602</v>
      </c>
      <c r="X177" s="87">
        <v>0.80817192889360578</v>
      </c>
      <c r="Y177" s="87">
        <v>0.80853957030187651</v>
      </c>
      <c r="Z177" s="87">
        <v>0.80870748299319728</v>
      </c>
      <c r="AA177" s="87">
        <v>0.80879911455451026</v>
      </c>
      <c r="AB177" s="87">
        <v>0.80895769975117504</v>
      </c>
      <c r="AC177" s="87">
        <v>0.80904240381915193</v>
      </c>
      <c r="AD177" s="87">
        <v>0.80919024936957129</v>
      </c>
      <c r="AE177" s="87">
        <v>0.80930760499432464</v>
      </c>
      <c r="AF177" s="87">
        <v>0.80932944606413992</v>
      </c>
      <c r="AG177" s="87">
        <v>0.80937499999999996</v>
      </c>
      <c r="AH177" s="87">
        <v>0.80937320299022431</v>
      </c>
      <c r="AI177" s="87">
        <v>0.80963712076145156</v>
      </c>
      <c r="AJ177" s="87">
        <v>0.80966676673671567</v>
      </c>
      <c r="AK177" s="87">
        <v>0.80969267139479906</v>
      </c>
      <c r="AL177" s="87">
        <v>0.80987801249628089</v>
      </c>
      <c r="AM177" s="87">
        <v>0.80980163360560098</v>
      </c>
      <c r="AN177" s="87">
        <v>0.80969833662249791</v>
      </c>
      <c r="AO177" s="87">
        <v>0.80978409401475815</v>
      </c>
      <c r="AP177" s="87">
        <v>0.80980066445182719</v>
      </c>
      <c r="AQ177" s="87">
        <v>0.8100407055630936</v>
      </c>
      <c r="AR177" s="87">
        <v>0.80978711639480228</v>
      </c>
      <c r="AS177" s="87">
        <v>0.80995220691594039</v>
      </c>
      <c r="AT177" s="87">
        <v>0.81001430615164516</v>
      </c>
      <c r="AU177" s="87">
        <v>0.81007067137809186</v>
      </c>
      <c r="AV177" s="87">
        <v>0.81003265063817154</v>
      </c>
      <c r="AW177" s="87">
        <v>0.80980334605224535</v>
      </c>
      <c r="AX177" s="87">
        <v>0.80982843849956387</v>
      </c>
      <c r="AY177" s="87">
        <v>0.80986728216964798</v>
      </c>
      <c r="AZ177" s="87">
        <v>0.80990552533638704</v>
      </c>
      <c r="BA177" s="87">
        <v>0.81011938601478117</v>
      </c>
      <c r="BB177" s="87">
        <v>0.80994069471900598</v>
      </c>
      <c r="BC177" s="87">
        <v>0.80988486380230273</v>
      </c>
      <c r="BD177" s="87">
        <v>0.80994969256567917</v>
      </c>
      <c r="BE177" s="87">
        <v>0.80985523385300673</v>
      </c>
      <c r="BF177" s="87">
        <v>0.81010549694614098</v>
      </c>
      <c r="BG177" s="87">
        <v>0.8099196453311166</v>
      </c>
    </row>
    <row r="178" spans="3:59" x14ac:dyDescent="0.2">
      <c r="C178" s="29">
        <v>43</v>
      </c>
      <c r="F178" s="87">
        <v>0.80780603193376699</v>
      </c>
      <c r="G178" s="87">
        <v>0.80854961832061067</v>
      </c>
      <c r="H178" s="87">
        <v>0.80899588216661389</v>
      </c>
      <c r="I178" s="87">
        <v>0.80983823043908876</v>
      </c>
      <c r="J178" s="87">
        <v>0.81052996189816418</v>
      </c>
      <c r="K178" s="87">
        <v>0.81089521165857048</v>
      </c>
      <c r="L178" s="87">
        <v>0.81157894736842107</v>
      </c>
      <c r="M178" s="87">
        <v>0.81198910081743869</v>
      </c>
      <c r="N178" s="87">
        <v>0.81275579809004095</v>
      </c>
      <c r="O178" s="87">
        <v>0.81305234534330384</v>
      </c>
      <c r="P178" s="87">
        <v>0.81335104616406506</v>
      </c>
      <c r="Q178" s="87">
        <v>0.8138626749105109</v>
      </c>
      <c r="R178" s="87">
        <v>0.81419354838709679</v>
      </c>
      <c r="S178" s="87">
        <v>0.81443951868271058</v>
      </c>
      <c r="T178" s="87">
        <v>0.81461731493099121</v>
      </c>
      <c r="U178" s="87">
        <v>0.81507476350320418</v>
      </c>
      <c r="V178" s="87">
        <v>0.81526806526806528</v>
      </c>
      <c r="W178" s="87">
        <v>0.81553398058252424</v>
      </c>
      <c r="X178" s="87">
        <v>0.8157248157248157</v>
      </c>
      <c r="Y178" s="87">
        <v>0.81608280254777066</v>
      </c>
      <c r="Z178" s="87">
        <v>0.81610446137105552</v>
      </c>
      <c r="AA178" s="87">
        <v>0.81627653783342402</v>
      </c>
      <c r="AB178" s="87">
        <v>0.81649598671464152</v>
      </c>
      <c r="AC178" s="87">
        <v>0.81664823008849563</v>
      </c>
      <c r="AD178" s="87">
        <v>0.81657303370786516</v>
      </c>
      <c r="AE178" s="87">
        <v>0.81698430493273544</v>
      </c>
      <c r="AF178" s="87">
        <v>0.8169173999432302</v>
      </c>
      <c r="AG178" s="87">
        <v>0.81690962099125364</v>
      </c>
      <c r="AH178" s="87">
        <v>0.81727763569195799</v>
      </c>
      <c r="AI178" s="87">
        <v>0.81737129709519696</v>
      </c>
      <c r="AJ178" s="87">
        <v>0.81737061273051759</v>
      </c>
      <c r="AK178" s="87">
        <v>0.81741741741741747</v>
      </c>
      <c r="AL178" s="87">
        <v>0.81732190363582624</v>
      </c>
      <c r="AM178" s="87">
        <v>0.81755952380952379</v>
      </c>
      <c r="AN178" s="87">
        <v>0.81762474467464252</v>
      </c>
      <c r="AO178" s="87">
        <v>0.81731040315759795</v>
      </c>
      <c r="AP178" s="87">
        <v>0.81765992345544014</v>
      </c>
      <c r="AQ178" s="87">
        <v>0.81777900858487951</v>
      </c>
      <c r="AR178" s="87">
        <v>0.81763907734056984</v>
      </c>
      <c r="AS178" s="87">
        <v>0.81775442477876104</v>
      </c>
      <c r="AT178" s="87">
        <v>0.81754287320775931</v>
      </c>
      <c r="AU178" s="87">
        <v>0.81773962804005718</v>
      </c>
      <c r="AV178" s="87">
        <v>0.8177267373380448</v>
      </c>
      <c r="AW178" s="87">
        <v>0.81769596199524941</v>
      </c>
      <c r="AX178" s="87">
        <v>0.81743469327854412</v>
      </c>
      <c r="AY178" s="87">
        <v>0.81767955801104975</v>
      </c>
      <c r="AZ178" s="87">
        <v>0.81765724177726484</v>
      </c>
      <c r="BA178" s="87">
        <v>0.8176352705410822</v>
      </c>
      <c r="BB178" s="87">
        <v>0.81779420125071067</v>
      </c>
      <c r="BC178" s="87">
        <v>0.81784806551821521</v>
      </c>
      <c r="BD178" s="87">
        <v>0.8177478236450435</v>
      </c>
      <c r="BE178" s="87">
        <v>0.81777529346003353</v>
      </c>
      <c r="BF178" s="87">
        <v>0.81765033407572385</v>
      </c>
      <c r="BG178" s="87">
        <v>0.81760133259300394</v>
      </c>
    </row>
    <row r="179" spans="3:59" x14ac:dyDescent="0.2">
      <c r="C179" s="29">
        <v>44</v>
      </c>
      <c r="F179" s="87">
        <v>0.81230055120394551</v>
      </c>
      <c r="G179" s="87">
        <v>0.81316410861865407</v>
      </c>
      <c r="H179" s="87">
        <v>0.81412412106389487</v>
      </c>
      <c r="I179" s="87">
        <v>0.81477957500792897</v>
      </c>
      <c r="J179" s="87">
        <v>0.81553719008264458</v>
      </c>
      <c r="K179" s="87">
        <v>0.81651057925771764</v>
      </c>
      <c r="L179" s="87">
        <v>0.817234190410007</v>
      </c>
      <c r="M179" s="87">
        <v>0.81770284510010538</v>
      </c>
      <c r="N179" s="87">
        <v>0.81827480395499486</v>
      </c>
      <c r="O179" s="87">
        <v>0.81905087060430182</v>
      </c>
      <c r="P179" s="87">
        <v>0.81932630146308272</v>
      </c>
      <c r="Q179" s="87">
        <v>0.81981382978723405</v>
      </c>
      <c r="R179" s="87">
        <v>0.82052117263843649</v>
      </c>
      <c r="S179" s="87">
        <v>0.82105943152454786</v>
      </c>
      <c r="T179" s="87">
        <v>0.82123613312202848</v>
      </c>
      <c r="U179" s="87">
        <v>0.82166405023547884</v>
      </c>
      <c r="V179" s="87">
        <v>0.82193036041539402</v>
      </c>
      <c r="W179" s="87">
        <v>0.82239720034995623</v>
      </c>
      <c r="X179" s="87">
        <v>0.82275586049170957</v>
      </c>
      <c r="Y179" s="87">
        <v>0.82295081967213113</v>
      </c>
      <c r="Z179" s="87">
        <v>0.82310756972111554</v>
      </c>
      <c r="AA179" s="87">
        <v>0.82330520010890285</v>
      </c>
      <c r="AB179" s="87">
        <v>0.82348134023426856</v>
      </c>
      <c r="AC179" s="87">
        <v>0.82354570637119118</v>
      </c>
      <c r="AD179" s="87">
        <v>0.82369222252975371</v>
      </c>
      <c r="AE179" s="87">
        <v>0.82400899634523472</v>
      </c>
      <c r="AF179" s="87">
        <v>0.82412342215988776</v>
      </c>
      <c r="AG179" s="87">
        <v>0.82414772727272723</v>
      </c>
      <c r="AH179" s="87">
        <v>0.82433615407061567</v>
      </c>
      <c r="AI179" s="87">
        <v>0.82428205857264714</v>
      </c>
      <c r="AJ179" s="87">
        <v>0.82469775474956819</v>
      </c>
      <c r="AK179" s="87">
        <v>0.82465019350997326</v>
      </c>
      <c r="AL179" s="87">
        <v>0.82451923076923073</v>
      </c>
      <c r="AM179" s="87">
        <v>0.82460810411120966</v>
      </c>
      <c r="AN179" s="87">
        <v>0.82489577129243596</v>
      </c>
      <c r="AO179" s="87">
        <v>0.82481751824817517</v>
      </c>
      <c r="AP179" s="87">
        <v>0.82477426636568851</v>
      </c>
      <c r="AQ179" s="87">
        <v>0.82494529540481398</v>
      </c>
      <c r="AR179" s="87">
        <v>0.82488223884732614</v>
      </c>
      <c r="AS179" s="87">
        <v>0.82482346550787611</v>
      </c>
      <c r="AT179" s="87">
        <v>0.82484781405644714</v>
      </c>
      <c r="AU179" s="87">
        <v>0.82475386779184245</v>
      </c>
      <c r="AV179" s="87">
        <v>0.82507872888634415</v>
      </c>
      <c r="AW179" s="87">
        <v>0.82498526812021211</v>
      </c>
      <c r="AX179" s="87">
        <v>0.82501485442661915</v>
      </c>
      <c r="AY179" s="87">
        <v>0.82520564042303168</v>
      </c>
      <c r="AZ179" s="87">
        <v>0.82484725050916496</v>
      </c>
      <c r="BA179" s="87">
        <v>0.82505773672055427</v>
      </c>
      <c r="BB179" s="87">
        <v>0.82521489971346706</v>
      </c>
      <c r="BC179" s="87">
        <v>0.82508532423208192</v>
      </c>
      <c r="BD179" s="87">
        <v>0.82509183385137042</v>
      </c>
      <c r="BE179" s="87">
        <v>0.82495082888451809</v>
      </c>
      <c r="BF179" s="87">
        <v>0.82494407158836691</v>
      </c>
      <c r="BG179" s="87">
        <v>0.82506963788300836</v>
      </c>
    </row>
    <row r="180" spans="3:59" x14ac:dyDescent="0.2">
      <c r="C180" s="29">
        <v>45</v>
      </c>
      <c r="F180" s="87">
        <v>0.81766296185040555</v>
      </c>
      <c r="G180" s="87">
        <v>0.8188405797101449</v>
      </c>
      <c r="H180" s="87">
        <v>0.81987577639751552</v>
      </c>
      <c r="I180" s="87">
        <v>0.82082695252679938</v>
      </c>
      <c r="J180" s="87">
        <v>0.82173498570066728</v>
      </c>
      <c r="K180" s="87">
        <v>0.82278900298111957</v>
      </c>
      <c r="L180" s="87">
        <v>0.82348853370396113</v>
      </c>
      <c r="M180" s="87">
        <v>0.82422554820744864</v>
      </c>
      <c r="N180" s="87">
        <v>0.82506159802886303</v>
      </c>
      <c r="O180" s="87">
        <v>0.82576016399043384</v>
      </c>
      <c r="P180" s="87">
        <v>0.82654806705439621</v>
      </c>
      <c r="Q180" s="87">
        <v>0.82685753237900472</v>
      </c>
      <c r="R180" s="87">
        <v>0.82744836775483011</v>
      </c>
      <c r="S180" s="87">
        <v>0.82800261096605743</v>
      </c>
      <c r="T180" s="87">
        <v>0.82853445486897448</v>
      </c>
      <c r="U180" s="87">
        <v>0.82915211178151793</v>
      </c>
      <c r="V180" s="87">
        <v>0.82950613400440387</v>
      </c>
      <c r="W180" s="87">
        <v>0.82961150198837563</v>
      </c>
      <c r="X180" s="87">
        <v>0.83002336448598135</v>
      </c>
      <c r="Y180" s="87">
        <v>0.83023189235614081</v>
      </c>
      <c r="Z180" s="87">
        <v>0.8308702791461412</v>
      </c>
      <c r="AA180" s="87">
        <v>0.83107209364192602</v>
      </c>
      <c r="AB180" s="87">
        <v>0.8311971638941914</v>
      </c>
      <c r="AC180" s="87">
        <v>0.83137789904502046</v>
      </c>
      <c r="AD180" s="87">
        <v>0.83162274618585297</v>
      </c>
      <c r="AE180" s="87">
        <v>0.8317627494456763</v>
      </c>
      <c r="AF180" s="87">
        <v>0.83192567567567566</v>
      </c>
      <c r="AG180" s="87">
        <v>0.83202247191011236</v>
      </c>
      <c r="AH180" s="87">
        <v>0.83214793741109527</v>
      </c>
      <c r="AI180" s="87">
        <v>0.8322618351841029</v>
      </c>
      <c r="AJ180" s="87">
        <v>0.83228929384965833</v>
      </c>
      <c r="AK180" s="87">
        <v>0.83251657538195445</v>
      </c>
      <c r="AL180" s="87">
        <v>0.83273703041144898</v>
      </c>
      <c r="AM180" s="87">
        <v>0.83268131206740892</v>
      </c>
      <c r="AN180" s="87">
        <v>0.83264218009478674</v>
      </c>
      <c r="AO180" s="87">
        <v>0.83273703041144898</v>
      </c>
      <c r="AP180" s="87">
        <v>0.83304093567251458</v>
      </c>
      <c r="AQ180" s="87">
        <v>0.83276836158192091</v>
      </c>
      <c r="AR180" s="87">
        <v>0.83292248698986582</v>
      </c>
      <c r="AS180" s="87">
        <v>0.83296337402885678</v>
      </c>
      <c r="AT180" s="87">
        <v>0.83278955954322997</v>
      </c>
      <c r="AU180" s="87">
        <v>0.83291770573566082</v>
      </c>
      <c r="AV180" s="87">
        <v>0.83295774647887322</v>
      </c>
      <c r="AW180" s="87">
        <v>0.83290341071940388</v>
      </c>
      <c r="AX180" s="87">
        <v>0.83274336283185846</v>
      </c>
      <c r="AY180" s="87">
        <v>0.83313503866745986</v>
      </c>
      <c r="AZ180" s="87">
        <v>0.83294117647058818</v>
      </c>
      <c r="BA180" s="87">
        <v>0.83304195804195802</v>
      </c>
      <c r="BB180" s="87">
        <v>0.83294797687861266</v>
      </c>
      <c r="BC180" s="87">
        <v>0.83304647160068845</v>
      </c>
      <c r="BD180" s="87">
        <v>0.83314350797266512</v>
      </c>
      <c r="BE180" s="87">
        <v>0.83309759547383311</v>
      </c>
      <c r="BF180" s="87">
        <v>0.83291139240506329</v>
      </c>
      <c r="BG180" s="87">
        <v>0.83314669652855544</v>
      </c>
    </row>
    <row r="181" spans="3:59" x14ac:dyDescent="0.2">
      <c r="C181" s="29">
        <v>46</v>
      </c>
      <c r="F181" s="87">
        <v>0.82126764794232499</v>
      </c>
      <c r="G181" s="87">
        <v>0.82252252252252256</v>
      </c>
      <c r="H181" s="87">
        <v>0.82359779133972677</v>
      </c>
      <c r="I181" s="87">
        <v>0.82448858582863915</v>
      </c>
      <c r="J181" s="87">
        <v>0.8258599508599509</v>
      </c>
      <c r="K181" s="87">
        <v>0.8263778273335457</v>
      </c>
      <c r="L181" s="87">
        <v>0.82729990036532708</v>
      </c>
      <c r="M181" s="87">
        <v>0.82822299651567943</v>
      </c>
      <c r="N181" s="87">
        <v>0.8289703315881326</v>
      </c>
      <c r="O181" s="87">
        <v>0.82956951305575155</v>
      </c>
      <c r="P181" s="87">
        <v>0.83013698630136989</v>
      </c>
      <c r="Q181" s="87">
        <v>0.83093278463648834</v>
      </c>
      <c r="R181" s="87">
        <v>0.83151059466848942</v>
      </c>
      <c r="S181" s="87">
        <v>0.83205342237061775</v>
      </c>
      <c r="T181" s="87">
        <v>0.83251553810925749</v>
      </c>
      <c r="U181" s="87">
        <v>0.83300907911802857</v>
      </c>
      <c r="V181" s="87">
        <v>0.8332272437937619</v>
      </c>
      <c r="W181" s="87">
        <v>0.83385876418663307</v>
      </c>
      <c r="X181" s="87">
        <v>0.83384426732066219</v>
      </c>
      <c r="Y181" s="87">
        <v>0.83460187353629978</v>
      </c>
      <c r="Z181" s="87">
        <v>0.83448078026391281</v>
      </c>
      <c r="AA181" s="87">
        <v>0.83493282149712089</v>
      </c>
      <c r="AB181" s="87">
        <v>0.83502132196162049</v>
      </c>
      <c r="AC181" s="87">
        <v>0.83551912568306008</v>
      </c>
      <c r="AD181" s="87">
        <v>0.83570256971022416</v>
      </c>
      <c r="AE181" s="87">
        <v>0.83574207893274044</v>
      </c>
      <c r="AF181" s="87">
        <v>0.83587892252152185</v>
      </c>
      <c r="AG181" s="87">
        <v>0.83610719322990124</v>
      </c>
      <c r="AH181" s="87">
        <v>0.83619476498733469</v>
      </c>
      <c r="AI181" s="87">
        <v>0.83637400228050174</v>
      </c>
      <c r="AJ181" s="87">
        <v>0.83635831381733017</v>
      </c>
      <c r="AK181" s="87">
        <v>0.83651925820256778</v>
      </c>
      <c r="AL181" s="87">
        <v>0.83655789777649436</v>
      </c>
      <c r="AM181" s="87">
        <v>0.83661887694145753</v>
      </c>
      <c r="AN181" s="87">
        <v>0.83659933675007536</v>
      </c>
      <c r="AO181" s="87">
        <v>0.83679525222551931</v>
      </c>
      <c r="AP181" s="87">
        <v>0.83686883776516285</v>
      </c>
      <c r="AQ181" s="87">
        <v>0.83684827182190979</v>
      </c>
      <c r="AR181" s="87">
        <v>0.83696575148598928</v>
      </c>
      <c r="AS181" s="87">
        <v>0.83703703703703702</v>
      </c>
      <c r="AT181" s="87">
        <v>0.83685380767092832</v>
      </c>
      <c r="AU181" s="87">
        <v>0.83710160719150095</v>
      </c>
      <c r="AV181" s="87">
        <v>0.83708021093533169</v>
      </c>
      <c r="AW181" s="87">
        <v>0.83690744920993232</v>
      </c>
      <c r="AX181" s="87">
        <v>0.83692219351134078</v>
      </c>
      <c r="AY181" s="87">
        <v>0.83687943262411346</v>
      </c>
      <c r="AZ181" s="87">
        <v>0.83700834326579265</v>
      </c>
      <c r="BA181" s="87">
        <v>0.83681885125184097</v>
      </c>
      <c r="BB181" s="87">
        <v>0.83688357163700033</v>
      </c>
      <c r="BC181" s="87">
        <v>0.83700057903879554</v>
      </c>
      <c r="BD181" s="87">
        <v>0.8368284975581729</v>
      </c>
      <c r="BE181" s="87">
        <v>0.83713633770678841</v>
      </c>
      <c r="BF181" s="87">
        <v>0.83706432417115328</v>
      </c>
      <c r="BG181" s="87">
        <v>0.83713722175260641</v>
      </c>
    </row>
    <row r="182" spans="3:59" x14ac:dyDescent="0.2">
      <c r="C182" s="29">
        <v>47</v>
      </c>
      <c r="F182" s="87">
        <v>0.82568807339449546</v>
      </c>
      <c r="G182" s="87">
        <v>0.82681900180396872</v>
      </c>
      <c r="H182" s="87">
        <v>0.82796022898463395</v>
      </c>
      <c r="I182" s="87">
        <v>0.82886297376093299</v>
      </c>
      <c r="J182" s="87">
        <v>0.82956573468173711</v>
      </c>
      <c r="K182" s="87">
        <v>0.83056069008009858</v>
      </c>
      <c r="L182" s="87">
        <v>0.83125599232981784</v>
      </c>
      <c r="M182" s="87">
        <v>0.8320559813395535</v>
      </c>
      <c r="N182" s="87">
        <v>0.83257602236980077</v>
      </c>
      <c r="O182" s="87">
        <v>0.83333333333333337</v>
      </c>
      <c r="P182" s="87">
        <v>0.83362831858407083</v>
      </c>
      <c r="Q182" s="87">
        <v>0.83442116111301956</v>
      </c>
      <c r="R182" s="87">
        <v>0.83488132094943246</v>
      </c>
      <c r="S182" s="87">
        <v>0.83544737744257802</v>
      </c>
      <c r="T182" s="87">
        <v>0.83590087073007369</v>
      </c>
      <c r="U182" s="87">
        <v>0.83628608923884518</v>
      </c>
      <c r="V182" s="87">
        <v>0.83674796747967484</v>
      </c>
      <c r="W182" s="87">
        <v>0.83689754229173319</v>
      </c>
      <c r="X182" s="87">
        <v>0.83749604805564337</v>
      </c>
      <c r="Y182" s="87">
        <v>0.8373808791884414</v>
      </c>
      <c r="Z182" s="87">
        <v>0.83798062811857943</v>
      </c>
      <c r="AA182" s="87">
        <v>0.83807880356629283</v>
      </c>
      <c r="AB182" s="87">
        <v>0.83837273227047826</v>
      </c>
      <c r="AC182" s="87">
        <v>0.83836494790275184</v>
      </c>
      <c r="AD182" s="87">
        <v>0.83867433579841144</v>
      </c>
      <c r="AE182" s="87">
        <v>0.83913400931762128</v>
      </c>
      <c r="AF182" s="87">
        <v>0.83895235441627192</v>
      </c>
      <c r="AG182" s="87">
        <v>0.83908685968819596</v>
      </c>
      <c r="AH182" s="87">
        <v>0.83936651583710409</v>
      </c>
      <c r="AI182" s="87">
        <v>0.83921015514809594</v>
      </c>
      <c r="AJ182" s="87">
        <v>0.83942857142857141</v>
      </c>
      <c r="AK182" s="87">
        <v>0.83974170824772532</v>
      </c>
      <c r="AL182" s="87">
        <v>0.83957678009722614</v>
      </c>
      <c r="AM182" s="87">
        <v>0.83965267727930537</v>
      </c>
      <c r="AN182" s="87">
        <v>0.83982035928143717</v>
      </c>
      <c r="AO182" s="87">
        <v>0.83983076458144457</v>
      </c>
      <c r="AP182" s="87">
        <v>0.83967876264128494</v>
      </c>
      <c r="AQ182" s="87">
        <v>0.84007187780772685</v>
      </c>
      <c r="AR182" s="87">
        <v>0.83998825601879035</v>
      </c>
      <c r="AS182" s="87">
        <v>0.84</v>
      </c>
      <c r="AT182" s="87">
        <v>0.83997800384932642</v>
      </c>
      <c r="AU182" s="87">
        <v>0.84011142061281341</v>
      </c>
      <c r="AV182" s="87">
        <v>0.83979257641921401</v>
      </c>
      <c r="AW182" s="87">
        <v>0.83982202447163512</v>
      </c>
      <c r="AX182" s="87">
        <v>0.8399773819621148</v>
      </c>
      <c r="AY182" s="87">
        <v>0.84</v>
      </c>
      <c r="AZ182" s="87">
        <v>0.84004739336492895</v>
      </c>
      <c r="BA182" s="87">
        <v>0.83995222454464014</v>
      </c>
      <c r="BB182" s="87">
        <v>0.83997638027753174</v>
      </c>
      <c r="BC182" s="87">
        <v>0.8400116993272887</v>
      </c>
      <c r="BD182" s="87">
        <v>0.84010446894950663</v>
      </c>
      <c r="BE182" s="87">
        <v>0.84019579614166429</v>
      </c>
      <c r="BF182" s="87">
        <v>0.83995427264932843</v>
      </c>
      <c r="BG182" s="87">
        <v>0.8401476433844407</v>
      </c>
    </row>
    <row r="183" spans="3:59" x14ac:dyDescent="0.2">
      <c r="C183" s="29">
        <v>48</v>
      </c>
      <c r="F183" s="87">
        <v>0.82880098887515452</v>
      </c>
      <c r="G183" s="87">
        <v>0.83001531393568151</v>
      </c>
      <c r="H183" s="87">
        <v>0.8310199155099578</v>
      </c>
      <c r="I183" s="87">
        <v>0.83187178711823406</v>
      </c>
      <c r="J183" s="87">
        <v>0.83265067290813344</v>
      </c>
      <c r="K183" s="87">
        <v>0.83343283582089556</v>
      </c>
      <c r="L183" s="87">
        <v>0.83400309119010818</v>
      </c>
      <c r="M183" s="87">
        <v>0.83483001924310452</v>
      </c>
      <c r="N183" s="87">
        <v>0.83517218321631559</v>
      </c>
      <c r="O183" s="87">
        <v>0.83614035087719296</v>
      </c>
      <c r="P183" s="87">
        <v>0.83690685413005272</v>
      </c>
      <c r="Q183" s="87">
        <v>0.83724235963041937</v>
      </c>
      <c r="R183" s="87">
        <v>0.83758620689655172</v>
      </c>
      <c r="S183" s="87">
        <v>0.83810838798757337</v>
      </c>
      <c r="T183" s="87">
        <v>0.83866529067767459</v>
      </c>
      <c r="U183" s="87">
        <v>0.83870967741935487</v>
      </c>
      <c r="V183" s="87">
        <v>0.83936800526662281</v>
      </c>
      <c r="W183" s="87">
        <v>0.83947797716150085</v>
      </c>
      <c r="X183" s="87">
        <v>0.83989753442203008</v>
      </c>
      <c r="Y183" s="87">
        <v>0.84015223596574695</v>
      </c>
      <c r="Z183" s="87">
        <v>0.84027135368485972</v>
      </c>
      <c r="AA183" s="87">
        <v>0.8407418310273771</v>
      </c>
      <c r="AB183" s="87">
        <v>0.84078453994808189</v>
      </c>
      <c r="AC183" s="87">
        <v>0.84095920617420061</v>
      </c>
      <c r="AD183" s="87">
        <v>0.84114653094026248</v>
      </c>
      <c r="AE183" s="87">
        <v>0.84152705300741559</v>
      </c>
      <c r="AF183" s="87">
        <v>0.84148351648351649</v>
      </c>
      <c r="AG183" s="87">
        <v>0.84185526683431122</v>
      </c>
      <c r="AH183" s="87">
        <v>0.8419877163595757</v>
      </c>
      <c r="AI183" s="87">
        <v>0.84179189112560249</v>
      </c>
      <c r="AJ183" s="87">
        <v>0.84214992927864218</v>
      </c>
      <c r="AK183" s="87">
        <v>0.8421203438395416</v>
      </c>
      <c r="AL183" s="87">
        <v>0.84226015303119484</v>
      </c>
      <c r="AM183" s="87">
        <v>0.84202981651376152</v>
      </c>
      <c r="AN183" s="87">
        <v>0.84213580963435863</v>
      </c>
      <c r="AO183" s="87">
        <v>0.84238967277093968</v>
      </c>
      <c r="AP183" s="87">
        <v>0.84242424242424241</v>
      </c>
      <c r="AQ183" s="87">
        <v>0.84223083805547272</v>
      </c>
      <c r="AR183" s="87">
        <v>0.84264264264264266</v>
      </c>
      <c r="AS183" s="87">
        <v>0.84250809537827498</v>
      </c>
      <c r="AT183" s="87">
        <v>0.84243458475540389</v>
      </c>
      <c r="AU183" s="87">
        <v>0.84261300992282251</v>
      </c>
      <c r="AV183" s="87">
        <v>0.84250209438704271</v>
      </c>
      <c r="AW183" s="87">
        <v>0.84240766073871409</v>
      </c>
      <c r="AX183" s="87">
        <v>0.84248675773626991</v>
      </c>
      <c r="AY183" s="87">
        <v>0.84240362811791381</v>
      </c>
      <c r="AZ183" s="87">
        <v>0.84246970571263702</v>
      </c>
      <c r="BA183" s="87">
        <v>0.8425898425898426</v>
      </c>
      <c r="BB183" s="87">
        <v>0.84251497005988019</v>
      </c>
      <c r="BC183" s="87">
        <v>0.8422610239715892</v>
      </c>
      <c r="BD183" s="87">
        <v>0.84256816182937555</v>
      </c>
      <c r="BE183" s="87">
        <v>0.84235020360674806</v>
      </c>
      <c r="BF183" s="87">
        <v>0.84242424242424241</v>
      </c>
      <c r="BG183" s="87">
        <v>0.84245201947865944</v>
      </c>
    </row>
    <row r="184" spans="3:59" x14ac:dyDescent="0.2">
      <c r="C184" s="29">
        <v>49</v>
      </c>
      <c r="F184" s="87">
        <v>0.832755905511811</v>
      </c>
      <c r="G184" s="87">
        <v>0.83374613003095976</v>
      </c>
      <c r="H184" s="87">
        <v>0.83456334563345635</v>
      </c>
      <c r="I184" s="87">
        <v>0.83550439260830056</v>
      </c>
      <c r="J184" s="87">
        <v>0.83581183611532628</v>
      </c>
      <c r="K184" s="87">
        <v>0.83675866118614206</v>
      </c>
      <c r="L184" s="87">
        <v>0.83732774116237263</v>
      </c>
      <c r="M184" s="87">
        <v>0.83803909401179022</v>
      </c>
      <c r="N184" s="87">
        <v>0.83869929169349644</v>
      </c>
      <c r="O184" s="87">
        <v>0.83920778784827121</v>
      </c>
      <c r="P184" s="87">
        <v>0.83973230010567101</v>
      </c>
      <c r="Q184" s="87">
        <v>0.84015525758645027</v>
      </c>
      <c r="R184" s="87">
        <v>0.84058487874465049</v>
      </c>
      <c r="S184" s="87">
        <v>0.84112149532710279</v>
      </c>
      <c r="T184" s="87">
        <v>0.84130284130284128</v>
      </c>
      <c r="U184" s="87">
        <v>0.84185082872928174</v>
      </c>
      <c r="V184" s="87">
        <v>0.84215851602023606</v>
      </c>
      <c r="W184" s="87">
        <v>0.84241823587710607</v>
      </c>
      <c r="X184" s="87">
        <v>0.84282907662082518</v>
      </c>
      <c r="Y184" s="87">
        <v>0.84286632390745497</v>
      </c>
      <c r="Z184" s="87">
        <v>0.84314349347756923</v>
      </c>
      <c r="AA184" s="87">
        <v>0.84344059405940597</v>
      </c>
      <c r="AB184" s="87">
        <v>0.84351933864777084</v>
      </c>
      <c r="AC184" s="87">
        <v>0.84375</v>
      </c>
      <c r="AD184" s="87">
        <v>0.84406967099806474</v>
      </c>
      <c r="AE184" s="87">
        <v>0.84390112842557763</v>
      </c>
      <c r="AF184" s="87">
        <v>0.84412007711374282</v>
      </c>
      <c r="AG184" s="87">
        <v>0.84430972719757513</v>
      </c>
      <c r="AH184" s="87">
        <v>0.84421406556458389</v>
      </c>
      <c r="AI184" s="87">
        <v>0.84434490481522961</v>
      </c>
      <c r="AJ184" s="87">
        <v>0.84470989761092152</v>
      </c>
      <c r="AK184" s="87">
        <v>0.84453900709219853</v>
      </c>
      <c r="AL184" s="87">
        <v>0.84482758620689657</v>
      </c>
      <c r="AM184" s="87">
        <v>0.8447461629279811</v>
      </c>
      <c r="AN184" s="87">
        <v>0.8447383553766532</v>
      </c>
      <c r="AO184" s="87">
        <v>0.8448777648428405</v>
      </c>
      <c r="AP184" s="87">
        <v>0.84492622704004816</v>
      </c>
      <c r="AQ184" s="87">
        <v>0.84498480243161089</v>
      </c>
      <c r="AR184" s="87">
        <v>0.84504935686509119</v>
      </c>
      <c r="AS184" s="87">
        <v>0.84492622704004816</v>
      </c>
      <c r="AT184" s="87">
        <v>0.8447461629279811</v>
      </c>
      <c r="AU184" s="87">
        <v>0.84488166524094666</v>
      </c>
      <c r="AV184" s="87">
        <v>0.84498480243161089</v>
      </c>
      <c r="AW184" s="87">
        <v>0.84490481522956329</v>
      </c>
      <c r="AX184" s="87">
        <v>0.84499314128943759</v>
      </c>
      <c r="AY184" s="87">
        <v>0.84512161028795074</v>
      </c>
      <c r="AZ184" s="87">
        <v>0.84508243320068221</v>
      </c>
      <c r="BA184" s="87">
        <v>0.84495227075498991</v>
      </c>
      <c r="BB184" s="87">
        <v>0.84514592019058965</v>
      </c>
      <c r="BC184" s="87">
        <v>0.84509156409486641</v>
      </c>
      <c r="BD184" s="87">
        <v>0.84505788067675869</v>
      </c>
      <c r="BE184" s="87">
        <v>0.84479717813051147</v>
      </c>
      <c r="BF184" s="87">
        <v>0.84485272674249057</v>
      </c>
      <c r="BG184" s="87">
        <v>0.84490740740740744</v>
      </c>
    </row>
    <row r="185" spans="3:59" x14ac:dyDescent="0.2">
      <c r="C185" s="29">
        <v>50</v>
      </c>
      <c r="F185" s="87">
        <v>0.83516139141335</v>
      </c>
      <c r="G185" s="87">
        <v>0.83591038182391919</v>
      </c>
      <c r="H185" s="87">
        <v>0.83680447622008081</v>
      </c>
      <c r="I185" s="87">
        <v>0.83760419882679837</v>
      </c>
      <c r="J185" s="87">
        <v>0.83850364963503654</v>
      </c>
      <c r="K185" s="87">
        <v>0.83912248628884822</v>
      </c>
      <c r="L185" s="87">
        <v>0.8396699086354259</v>
      </c>
      <c r="M185" s="87">
        <v>0.84030075187969921</v>
      </c>
      <c r="N185" s="87">
        <v>0.84112149532710279</v>
      </c>
      <c r="O185" s="87">
        <v>0.84130575307045896</v>
      </c>
      <c r="P185" s="87">
        <v>0.84192787327266594</v>
      </c>
      <c r="Q185" s="87">
        <v>0.84229137199434234</v>
      </c>
      <c r="R185" s="87">
        <v>0.84272051009564297</v>
      </c>
      <c r="S185" s="87">
        <v>0.84312320916905448</v>
      </c>
      <c r="T185" s="87">
        <v>0.84364141765114664</v>
      </c>
      <c r="U185" s="87">
        <v>0.84382608695652173</v>
      </c>
      <c r="V185" s="87">
        <v>0.84436741767764301</v>
      </c>
      <c r="W185" s="87">
        <v>0.84461746784021663</v>
      </c>
      <c r="X185" s="87">
        <v>0.84482758620689657</v>
      </c>
      <c r="Y185" s="87">
        <v>0.84488991127177127</v>
      </c>
      <c r="Z185" s="87">
        <v>0.84521122218639144</v>
      </c>
      <c r="AA185" s="87">
        <v>0.84546615581098339</v>
      </c>
      <c r="AB185" s="87">
        <v>0.84570009313877681</v>
      </c>
      <c r="AC185" s="87">
        <v>0.84592592592592597</v>
      </c>
      <c r="AD185" s="87">
        <v>0.84586357039187232</v>
      </c>
      <c r="AE185" s="87">
        <v>0.84608985024958405</v>
      </c>
      <c r="AF185" s="87">
        <v>0.8461331177580167</v>
      </c>
      <c r="AG185" s="87">
        <v>0.84613259668508289</v>
      </c>
      <c r="AH185" s="87">
        <v>0.84632393587617472</v>
      </c>
      <c r="AI185" s="87">
        <v>0.84654300168634067</v>
      </c>
      <c r="AJ185" s="87">
        <v>0.84667228306655429</v>
      </c>
      <c r="AK185" s="87">
        <v>0.84654877353108959</v>
      </c>
      <c r="AL185" s="87">
        <v>0.8468981217985202</v>
      </c>
      <c r="AM185" s="87">
        <v>0.846685878962536</v>
      </c>
      <c r="AN185" s="87">
        <v>0.84665482534043812</v>
      </c>
      <c r="AO185" s="87">
        <v>0.84684164984136145</v>
      </c>
      <c r="AP185" s="87">
        <v>0.84700729927007301</v>
      </c>
      <c r="AQ185" s="87">
        <v>0.84687405617638178</v>
      </c>
      <c r="AR185" s="87">
        <v>0.8469512195121951</v>
      </c>
      <c r="AS185" s="87">
        <v>0.84698469846984703</v>
      </c>
      <c r="AT185" s="87">
        <v>0.84687405617638178</v>
      </c>
      <c r="AU185" s="87">
        <v>0.84695085849615159</v>
      </c>
      <c r="AV185" s="87">
        <v>0.84701172433514438</v>
      </c>
      <c r="AW185" s="87">
        <v>0.84677195899141033</v>
      </c>
      <c r="AX185" s="87">
        <v>0.8469960696238068</v>
      </c>
      <c r="AY185" s="87">
        <v>0.84704264099037141</v>
      </c>
      <c r="AZ185" s="87">
        <v>0.84697309417040356</v>
      </c>
      <c r="BA185" s="87">
        <v>0.84696494727842686</v>
      </c>
      <c r="BB185" s="87">
        <v>0.84686774941995357</v>
      </c>
      <c r="BC185" s="87">
        <v>0.84711854284861154</v>
      </c>
      <c r="BD185" s="87">
        <v>0.8470800722456352</v>
      </c>
      <c r="BE185" s="87">
        <v>0.84702380952380951</v>
      </c>
      <c r="BF185" s="87">
        <v>0.84699292452830188</v>
      </c>
      <c r="BG185" s="87">
        <v>0.84678362573099419</v>
      </c>
    </row>
    <row r="186" spans="3:59" x14ac:dyDescent="0.2">
      <c r="C186" s="29">
        <v>51</v>
      </c>
      <c r="F186" s="87">
        <v>0.83711777172267632</v>
      </c>
      <c r="G186" s="87">
        <v>0.83820295318881555</v>
      </c>
      <c r="H186" s="87">
        <v>0.83930269413629155</v>
      </c>
      <c r="I186" s="87">
        <v>0.8398876404494382</v>
      </c>
      <c r="J186" s="87">
        <v>0.84066955982641045</v>
      </c>
      <c r="K186" s="87">
        <v>0.84152671755725195</v>
      </c>
      <c r="L186" s="87">
        <v>0.84215356378097272</v>
      </c>
      <c r="M186" s="87">
        <v>0.84260355029585798</v>
      </c>
      <c r="N186" s="87">
        <v>0.8433444008451555</v>
      </c>
      <c r="O186" s="87">
        <v>0.84396497811131954</v>
      </c>
      <c r="P186" s="87">
        <v>0.84425697598961713</v>
      </c>
      <c r="Q186" s="87">
        <v>0.84500846023688658</v>
      </c>
      <c r="R186" s="87">
        <v>0.84552556818181823</v>
      </c>
      <c r="S186" s="87">
        <v>0.84566145092460887</v>
      </c>
      <c r="T186" s="87">
        <v>0.84609852571017619</v>
      </c>
      <c r="U186" s="87">
        <v>0.84652947331705619</v>
      </c>
      <c r="V186" s="87">
        <v>0.84671787709497204</v>
      </c>
      <c r="W186" s="87">
        <v>0.8472512178148921</v>
      </c>
      <c r="X186" s="87">
        <v>0.84743459055385661</v>
      </c>
      <c r="Y186" s="87">
        <v>0.84792013311148084</v>
      </c>
      <c r="Z186" s="87">
        <v>0.84795514511873349</v>
      </c>
      <c r="AA186" s="87">
        <v>0.84854368932038837</v>
      </c>
      <c r="AB186" s="87">
        <v>0.84844601089394422</v>
      </c>
      <c r="AC186" s="87">
        <v>0.84859813084112146</v>
      </c>
      <c r="AD186" s="87">
        <v>0.84873699851411588</v>
      </c>
      <c r="AE186" s="87">
        <v>0.84886429819452536</v>
      </c>
      <c r="AF186" s="87">
        <v>0.84923504867872046</v>
      </c>
      <c r="AG186" s="87">
        <v>0.84918918918918918</v>
      </c>
      <c r="AH186" s="87">
        <v>0.84926572457744531</v>
      </c>
      <c r="AI186" s="87">
        <v>0.84945938453008041</v>
      </c>
      <c r="AJ186" s="87">
        <v>0.8497321680293205</v>
      </c>
      <c r="AK186" s="87">
        <v>0.84961982540129544</v>
      </c>
      <c r="AL186" s="87">
        <v>0.84978540772532185</v>
      </c>
      <c r="AM186" s="87">
        <v>0.84988584474885842</v>
      </c>
      <c r="AN186" s="87">
        <v>0.8497109826589595</v>
      </c>
      <c r="AO186" s="87">
        <v>0.8497624703087886</v>
      </c>
      <c r="AP186" s="87">
        <v>0.84986982933179056</v>
      </c>
      <c r="AQ186" s="87">
        <v>0.84982435597189698</v>
      </c>
      <c r="AR186" s="87">
        <v>0.85004544077552258</v>
      </c>
      <c r="AS186" s="87">
        <v>0.85015290519877673</v>
      </c>
      <c r="AT186" s="87">
        <v>0.84987966305655838</v>
      </c>
      <c r="AU186" s="87">
        <v>0.85004544077552258</v>
      </c>
      <c r="AV186" s="87">
        <v>0.85005938242280288</v>
      </c>
      <c r="AW186" s="87">
        <v>0.85001433897332956</v>
      </c>
      <c r="AX186" s="87">
        <v>0.84995832175604336</v>
      </c>
      <c r="AY186" s="87">
        <v>0.8499859273853082</v>
      </c>
      <c r="AZ186" s="87">
        <v>0.84997242140099283</v>
      </c>
      <c r="BA186" s="87">
        <v>0.8499156829679595</v>
      </c>
      <c r="BB186" s="87">
        <v>0.85</v>
      </c>
      <c r="BC186" s="87">
        <v>0.85020360674810935</v>
      </c>
      <c r="BD186" s="87">
        <v>0.85</v>
      </c>
      <c r="BE186" s="87">
        <v>0.84998490793842441</v>
      </c>
      <c r="BF186" s="87">
        <v>0.84989555356609969</v>
      </c>
      <c r="BG186" s="87">
        <v>0.85013301803133312</v>
      </c>
    </row>
    <row r="187" spans="3:59" x14ac:dyDescent="0.2">
      <c r="C187" s="29">
        <v>52</v>
      </c>
      <c r="F187" s="87">
        <v>0.83496586524191152</v>
      </c>
      <c r="G187" s="87">
        <v>0.83616504854368934</v>
      </c>
      <c r="H187" s="87">
        <v>0.83727530747398293</v>
      </c>
      <c r="I187" s="87">
        <v>0.8383709831371301</v>
      </c>
      <c r="J187" s="87">
        <v>0.83954873080539016</v>
      </c>
      <c r="K187" s="87">
        <v>0.84007467330429375</v>
      </c>
      <c r="L187" s="87">
        <v>0.84125038308305244</v>
      </c>
      <c r="M187" s="87">
        <v>0.84187902978200801</v>
      </c>
      <c r="N187" s="87">
        <v>0.84263657957244653</v>
      </c>
      <c r="O187" s="87">
        <v>0.84338079369887908</v>
      </c>
      <c r="P187" s="87">
        <v>0.84405396925007847</v>
      </c>
      <c r="Q187" s="87">
        <v>0.8449511400651466</v>
      </c>
      <c r="R187" s="87">
        <v>0.84516129032258069</v>
      </c>
      <c r="S187" s="87">
        <v>0.84568781183178898</v>
      </c>
      <c r="T187" s="87">
        <v>0.84648339878614776</v>
      </c>
      <c r="U187" s="87">
        <v>0.84662576687116564</v>
      </c>
      <c r="V187" s="87">
        <v>0.84704235211760592</v>
      </c>
      <c r="W187" s="87">
        <v>0.8478794251664914</v>
      </c>
      <c r="X187" s="87">
        <v>0.84811452513966479</v>
      </c>
      <c r="Y187" s="87">
        <v>0.84827821343334475</v>
      </c>
      <c r="Z187" s="87">
        <v>0.84874791318864773</v>
      </c>
      <c r="AA187" s="87">
        <v>0.84910655195234941</v>
      </c>
      <c r="AB187" s="87">
        <v>0.84907497565725409</v>
      </c>
      <c r="AC187" s="87">
        <v>0.84924461587913858</v>
      </c>
      <c r="AD187" s="87">
        <v>0.84968750000000004</v>
      </c>
      <c r="AE187" s="87">
        <v>0.8497764530551416</v>
      </c>
      <c r="AF187" s="87">
        <v>0.84988317757009346</v>
      </c>
      <c r="AG187" s="87">
        <v>0.85020920502092046</v>
      </c>
      <c r="AH187" s="87">
        <v>0.85013550135501359</v>
      </c>
      <c r="AI187" s="87">
        <v>0.85023617671575435</v>
      </c>
      <c r="AJ187" s="87">
        <v>0.85047248471372983</v>
      </c>
      <c r="AK187" s="87">
        <v>0.85048049745618992</v>
      </c>
      <c r="AL187" s="87">
        <v>0.85060717311493927</v>
      </c>
      <c r="AM187" s="87">
        <v>0.85083189902467016</v>
      </c>
      <c r="AN187" s="87">
        <v>0.85064377682403436</v>
      </c>
      <c r="AO187" s="87">
        <v>0.8507678933642423</v>
      </c>
      <c r="AP187" s="87">
        <v>0.85084846680559689</v>
      </c>
      <c r="AQ187" s="87">
        <v>0.85092807424593964</v>
      </c>
      <c r="AR187" s="87">
        <v>0.85089521573231586</v>
      </c>
      <c r="AS187" s="87">
        <v>0.85089583965988458</v>
      </c>
      <c r="AT187" s="87">
        <v>0.85101164929491113</v>
      </c>
      <c r="AU187" s="87">
        <v>0.85098039215686272</v>
      </c>
      <c r="AV187" s="87">
        <v>0.85089583965988458</v>
      </c>
      <c r="AW187" s="87">
        <v>0.85089285714285712</v>
      </c>
      <c r="AX187" s="87">
        <v>0.85081920091980456</v>
      </c>
      <c r="AY187" s="87">
        <v>0.85101642996379834</v>
      </c>
      <c r="AZ187" s="87">
        <v>0.8510158013544018</v>
      </c>
      <c r="BA187" s="87">
        <v>0.85098147636162569</v>
      </c>
      <c r="BB187" s="87">
        <v>0.85098591549295777</v>
      </c>
      <c r="BC187" s="87">
        <v>0.85104554568891433</v>
      </c>
      <c r="BD187" s="87">
        <v>0.8510204081632653</v>
      </c>
      <c r="BE187" s="87">
        <v>0.85084033613445376</v>
      </c>
      <c r="BF187" s="87">
        <v>0.85083207261724658</v>
      </c>
      <c r="BG187" s="87">
        <v>0.85103200717918037</v>
      </c>
    </row>
    <row r="188" spans="3:59" x14ac:dyDescent="0.2">
      <c r="C188" s="29">
        <v>53</v>
      </c>
      <c r="F188" s="87">
        <v>0.83034111310592462</v>
      </c>
      <c r="G188" s="87">
        <v>0.83224271267102912</v>
      </c>
      <c r="H188" s="87">
        <v>0.83343483556638243</v>
      </c>
      <c r="I188" s="87">
        <v>0.83507439062994615</v>
      </c>
      <c r="J188" s="87">
        <v>0.83647396997764289</v>
      </c>
      <c r="K188" s="87">
        <v>0.83773584905660381</v>
      </c>
      <c r="L188" s="87">
        <v>0.83916302311055591</v>
      </c>
      <c r="M188" s="87">
        <v>0.84009840098400979</v>
      </c>
      <c r="N188" s="87">
        <v>0.84103512014787429</v>
      </c>
      <c r="O188" s="87">
        <v>0.84212094131665183</v>
      </c>
      <c r="P188" s="87">
        <v>0.84316109422492402</v>
      </c>
      <c r="Q188" s="87">
        <v>0.84414357682619645</v>
      </c>
      <c r="R188" s="87">
        <v>0.84509803921568627</v>
      </c>
      <c r="S188" s="87">
        <v>0.84565587734241909</v>
      </c>
      <c r="T188" s="87">
        <v>0.84656652360515017</v>
      </c>
      <c r="U188" s="87">
        <v>0.84706303724928367</v>
      </c>
      <c r="V188" s="87">
        <v>0.84757422157856621</v>
      </c>
      <c r="W188" s="87">
        <v>0.8479634831460674</v>
      </c>
      <c r="X188" s="87">
        <v>0.84850615114235506</v>
      </c>
      <c r="Y188" s="87">
        <v>0.84938704028021017</v>
      </c>
      <c r="Z188" s="87">
        <v>0.84952120383036933</v>
      </c>
      <c r="AA188" s="87">
        <v>0.84996651038178161</v>
      </c>
      <c r="AB188" s="87">
        <v>0.85036496350364965</v>
      </c>
      <c r="AC188" s="87">
        <v>0.8505859375</v>
      </c>
      <c r="AD188" s="87">
        <v>0.85078955849178217</v>
      </c>
      <c r="AE188" s="87">
        <v>0.85119047619047616</v>
      </c>
      <c r="AF188" s="87">
        <v>0.85146443514644354</v>
      </c>
      <c r="AG188" s="87">
        <v>0.85183016105417275</v>
      </c>
      <c r="AH188" s="87">
        <v>0.85206935123042504</v>
      </c>
      <c r="AI188" s="87">
        <v>0.85194240695463186</v>
      </c>
      <c r="AJ188" s="87">
        <v>0.85213032581453629</v>
      </c>
      <c r="AK188" s="87">
        <v>0.8523265533574812</v>
      </c>
      <c r="AL188" s="87">
        <v>0.85240793201133147</v>
      </c>
      <c r="AM188" s="87">
        <v>0.85253325785451461</v>
      </c>
      <c r="AN188" s="87">
        <v>0.85278895917193787</v>
      </c>
      <c r="AO188" s="87">
        <v>0.85259535417264121</v>
      </c>
      <c r="AP188" s="87">
        <v>0.85274469939006681</v>
      </c>
      <c r="AQ188" s="87">
        <v>0.85287973739182332</v>
      </c>
      <c r="AR188" s="87">
        <v>0.85265911072362688</v>
      </c>
      <c r="AS188" s="87">
        <v>0.85289791115033831</v>
      </c>
      <c r="AT188" s="87">
        <v>0.85296803652968034</v>
      </c>
      <c r="AU188" s="87">
        <v>0.85284178187403992</v>
      </c>
      <c r="AV188" s="87">
        <v>0.85278113663845223</v>
      </c>
      <c r="AW188" s="87">
        <v>0.85301278149726112</v>
      </c>
      <c r="AX188" s="87">
        <v>0.85296749179838949</v>
      </c>
      <c r="AY188" s="87">
        <v>0.85282258064516125</v>
      </c>
      <c r="AZ188" s="87">
        <v>0.85319564610661458</v>
      </c>
      <c r="BA188" s="87">
        <v>0.85298275374611254</v>
      </c>
      <c r="BB188" s="87">
        <v>0.85318559556786699</v>
      </c>
      <c r="BC188" s="87">
        <v>0.85294947784363528</v>
      </c>
      <c r="BD188" s="87">
        <v>0.85304247990815152</v>
      </c>
      <c r="BE188" s="87">
        <v>0.85305287759275494</v>
      </c>
      <c r="BF188" s="87">
        <v>0.85293233082706765</v>
      </c>
      <c r="BG188" s="87">
        <v>0.8529411764705882</v>
      </c>
    </row>
    <row r="189" spans="3:59" x14ac:dyDescent="0.2">
      <c r="C189" s="29">
        <v>54</v>
      </c>
      <c r="F189" s="87">
        <v>0.82304400977995107</v>
      </c>
      <c r="G189" s="87">
        <v>0.82523980815347719</v>
      </c>
      <c r="H189" s="87">
        <v>0.82751417487317214</v>
      </c>
      <c r="I189" s="87">
        <v>0.82951420714940427</v>
      </c>
      <c r="J189" s="87">
        <v>0.83137503969514126</v>
      </c>
      <c r="K189" s="87">
        <v>0.83338673502082661</v>
      </c>
      <c r="L189" s="87">
        <v>0.8347003154574133</v>
      </c>
      <c r="M189" s="87">
        <v>0.83620419668023804</v>
      </c>
      <c r="N189" s="87">
        <v>0.83775447254780999</v>
      </c>
      <c r="O189" s="87">
        <v>0.83930778739184175</v>
      </c>
      <c r="P189" s="87">
        <v>0.84045413803406033</v>
      </c>
      <c r="Q189" s="87">
        <v>0.84181651935385549</v>
      </c>
      <c r="R189" s="87">
        <v>0.84306915061572463</v>
      </c>
      <c r="S189" s="87">
        <v>0.84403669724770647</v>
      </c>
      <c r="T189" s="87">
        <v>0.84489238127775879</v>
      </c>
      <c r="U189" s="87">
        <v>0.84582287558264613</v>
      </c>
      <c r="V189" s="87">
        <v>0.84662356321839083</v>
      </c>
      <c r="W189" s="87">
        <v>0.84749455337690627</v>
      </c>
      <c r="X189" s="87">
        <v>0.84823943661971835</v>
      </c>
      <c r="Y189" s="87">
        <v>0.84878392668311597</v>
      </c>
      <c r="Z189" s="87">
        <v>0.8493679775280899</v>
      </c>
      <c r="AA189" s="87">
        <v>0.84984573191635238</v>
      </c>
      <c r="AB189" s="87">
        <v>0.85028533064786838</v>
      </c>
      <c r="AC189" s="87">
        <v>0.85096473719228205</v>
      </c>
      <c r="AD189" s="87">
        <v>0.85122349102773243</v>
      </c>
      <c r="AE189" s="87">
        <v>0.85169628432956379</v>
      </c>
      <c r="AF189" s="87">
        <v>0.85180533751962328</v>
      </c>
      <c r="AG189" s="87">
        <v>0.85205151242887089</v>
      </c>
      <c r="AH189" s="87">
        <v>0.852406103286385</v>
      </c>
      <c r="AI189" s="87">
        <v>0.85261978145138695</v>
      </c>
      <c r="AJ189" s="87">
        <v>0.85274904735982582</v>
      </c>
      <c r="AK189" s="87">
        <v>0.8529575892857143</v>
      </c>
      <c r="AL189" s="87">
        <v>0.85343383584589616</v>
      </c>
      <c r="AM189" s="87">
        <v>0.85325007096224803</v>
      </c>
      <c r="AN189" s="87">
        <v>0.85365853658536583</v>
      </c>
      <c r="AO189" s="87">
        <v>0.85339861751152069</v>
      </c>
      <c r="AP189" s="87">
        <v>0.85349037632864122</v>
      </c>
      <c r="AQ189" s="87">
        <v>0.85365144020948502</v>
      </c>
      <c r="AR189" s="87">
        <v>0.85381165919282509</v>
      </c>
      <c r="AS189" s="87">
        <v>0.85385735080058223</v>
      </c>
      <c r="AT189" s="87">
        <v>0.85381668140288824</v>
      </c>
      <c r="AU189" s="87">
        <v>0.8539188777066179</v>
      </c>
      <c r="AV189" s="87">
        <v>0.85380116959064323</v>
      </c>
      <c r="AW189" s="87">
        <v>0.85402786190187763</v>
      </c>
      <c r="AX189" s="87">
        <v>0.85396341463414638</v>
      </c>
      <c r="AY189" s="87">
        <v>0.85389901404242607</v>
      </c>
      <c r="AZ189" s="87">
        <v>0.85401038661281015</v>
      </c>
      <c r="BA189" s="87">
        <v>0.85382895472330911</v>
      </c>
      <c r="BB189" s="87">
        <v>0.85414896629849901</v>
      </c>
      <c r="BC189" s="87">
        <v>0.85381414701803049</v>
      </c>
      <c r="BD189" s="87">
        <v>0.85411365564037323</v>
      </c>
      <c r="BE189" s="87">
        <v>0.85398102903133088</v>
      </c>
      <c r="BF189" s="87">
        <v>0.85400819192510236</v>
      </c>
      <c r="BG189" s="87">
        <v>0.85391566265060237</v>
      </c>
    </row>
    <row r="190" spans="3:59" x14ac:dyDescent="0.2">
      <c r="C190" s="29">
        <v>55</v>
      </c>
      <c r="F190" s="87">
        <v>0.81430404105195642</v>
      </c>
      <c r="G190" s="87">
        <v>0.81731946144430845</v>
      </c>
      <c r="H190" s="87">
        <v>0.82020444978953699</v>
      </c>
      <c r="I190" s="87">
        <v>0.82280754265190059</v>
      </c>
      <c r="J190" s="87">
        <v>0.82506127450980393</v>
      </c>
      <c r="K190" s="87">
        <v>0.82770700636942673</v>
      </c>
      <c r="L190" s="87">
        <v>0.82974622550594279</v>
      </c>
      <c r="M190" s="87">
        <v>0.8317520556609741</v>
      </c>
      <c r="N190" s="87">
        <v>0.83385678391959794</v>
      </c>
      <c r="O190" s="87">
        <v>0.83549783549783552</v>
      </c>
      <c r="P190" s="87">
        <v>0.83736059479553904</v>
      </c>
      <c r="Q190" s="87">
        <v>0.83887391434561243</v>
      </c>
      <c r="R190" s="87">
        <v>0.84051329055912005</v>
      </c>
      <c r="S190" s="87">
        <v>0.84177215189873422</v>
      </c>
      <c r="T190" s="87">
        <v>0.84302134646962235</v>
      </c>
      <c r="U190" s="87">
        <v>0.84417808219178081</v>
      </c>
      <c r="V190" s="87">
        <v>0.84543493889288279</v>
      </c>
      <c r="W190" s="87">
        <v>0.8462922966162707</v>
      </c>
      <c r="X190" s="87">
        <v>0.84752547307132464</v>
      </c>
      <c r="Y190" s="87">
        <v>0.84827099505998593</v>
      </c>
      <c r="Z190" s="87">
        <v>0.84881667255386795</v>
      </c>
      <c r="AA190" s="87">
        <v>0.84975369458128081</v>
      </c>
      <c r="AB190" s="87">
        <v>0.85022329096530402</v>
      </c>
      <c r="AC190" s="87">
        <v>0.85070611970410226</v>
      </c>
      <c r="AD190" s="87">
        <v>0.85138287237587473</v>
      </c>
      <c r="AE190" s="87">
        <v>0.85191238966982674</v>
      </c>
      <c r="AF190" s="87">
        <v>0.8521035598705502</v>
      </c>
      <c r="AG190" s="87">
        <v>0.85278389430638568</v>
      </c>
      <c r="AH190" s="87">
        <v>0.85298529852985294</v>
      </c>
      <c r="AI190" s="87">
        <v>0.85336467822509554</v>
      </c>
      <c r="AJ190" s="87">
        <v>0.85353535353535348</v>
      </c>
      <c r="AK190" s="87">
        <v>0.85387131952017448</v>
      </c>
      <c r="AL190" s="87">
        <v>0.85410844046953605</v>
      </c>
      <c r="AM190" s="87">
        <v>0.85406765445904387</v>
      </c>
      <c r="AN190" s="87">
        <v>0.8541785105173394</v>
      </c>
      <c r="AO190" s="87">
        <v>0.85434412265758097</v>
      </c>
      <c r="AP190" s="87">
        <v>0.85462936256129218</v>
      </c>
      <c r="AQ190" s="87">
        <v>0.85471806674338324</v>
      </c>
      <c r="AR190" s="87">
        <v>0.85460372960372966</v>
      </c>
      <c r="AS190" s="87">
        <v>0.85483388207123612</v>
      </c>
      <c r="AT190" s="87">
        <v>0.85481049562682221</v>
      </c>
      <c r="AU190" s="87">
        <v>0.85482443198583657</v>
      </c>
      <c r="AV190" s="87">
        <v>0.85496183206106868</v>
      </c>
      <c r="AW190" s="87">
        <v>0.85485362095531592</v>
      </c>
      <c r="AX190" s="87">
        <v>0.85506367495451785</v>
      </c>
      <c r="AY190" s="87">
        <v>0.85500610500610497</v>
      </c>
      <c r="AZ190" s="87">
        <v>0.85492072988333834</v>
      </c>
      <c r="BA190" s="87">
        <v>0.85499711149624491</v>
      </c>
      <c r="BB190" s="87">
        <v>0.85506435366536093</v>
      </c>
      <c r="BC190" s="87">
        <v>0.85487528344671204</v>
      </c>
      <c r="BD190" s="87">
        <v>0.85504026659261312</v>
      </c>
      <c r="BE190" s="87">
        <v>0.85483870967741937</v>
      </c>
      <c r="BF190" s="87">
        <v>0.85496402877697841</v>
      </c>
      <c r="BG190" s="87">
        <v>0.85475841874084924</v>
      </c>
    </row>
    <row r="191" spans="3:59" x14ac:dyDescent="0.2">
      <c r="C191" s="29">
        <v>56</v>
      </c>
      <c r="F191" s="87">
        <v>0.80410691003911339</v>
      </c>
      <c r="G191" s="87">
        <v>0.80770465489566612</v>
      </c>
      <c r="H191" s="87">
        <v>0.81129180730285366</v>
      </c>
      <c r="I191" s="87">
        <v>0.81459149834187516</v>
      </c>
      <c r="J191" s="87">
        <v>0.81758175817581757</v>
      </c>
      <c r="K191" s="87">
        <v>0.82089093701996929</v>
      </c>
      <c r="L191" s="87">
        <v>0.82343550446998726</v>
      </c>
      <c r="M191" s="87">
        <v>0.82582099162910494</v>
      </c>
      <c r="N191" s="87">
        <v>0.82852614896988908</v>
      </c>
      <c r="O191" s="87">
        <v>0.83097261567516523</v>
      </c>
      <c r="P191" s="87">
        <v>0.83297180043383945</v>
      </c>
      <c r="Q191" s="87">
        <v>0.83488516449410299</v>
      </c>
      <c r="R191" s="87">
        <v>0.83673469387755106</v>
      </c>
      <c r="S191" s="87">
        <v>0.83838383838383834</v>
      </c>
      <c r="T191" s="87">
        <v>0.84020291693088145</v>
      </c>
      <c r="U191" s="87">
        <v>0.84172425139848639</v>
      </c>
      <c r="V191" s="87">
        <v>0.84288164665523158</v>
      </c>
      <c r="W191" s="87">
        <v>0.84413246940244779</v>
      </c>
      <c r="X191" s="87">
        <v>0.84534967555875995</v>
      </c>
      <c r="Y191" s="87">
        <v>0.84620991253644318</v>
      </c>
      <c r="Z191" s="87">
        <v>0.84734982332155473</v>
      </c>
      <c r="AA191" s="87">
        <v>0.84824902723735407</v>
      </c>
      <c r="AB191" s="87">
        <v>0.84918957011980267</v>
      </c>
      <c r="AC191" s="87">
        <v>0.84967320261437906</v>
      </c>
      <c r="AD191" s="87">
        <v>0.85016835016835013</v>
      </c>
      <c r="AE191" s="87">
        <v>0.85085085085085088</v>
      </c>
      <c r="AF191" s="87">
        <v>0.85171849427168578</v>
      </c>
      <c r="AG191" s="87">
        <v>0.85191186001296171</v>
      </c>
      <c r="AH191" s="87">
        <v>0.85259842519685036</v>
      </c>
      <c r="AI191" s="87">
        <v>0.85280865124662064</v>
      </c>
      <c r="AJ191" s="87">
        <v>0.85319211532803763</v>
      </c>
      <c r="AK191" s="87">
        <v>0.85337078651685394</v>
      </c>
      <c r="AL191" s="87">
        <v>0.85371179039301315</v>
      </c>
      <c r="AM191" s="87">
        <v>0.85394515948517069</v>
      </c>
      <c r="AN191" s="87">
        <v>0.85418415897005318</v>
      </c>
      <c r="AO191" s="87">
        <v>0.85429709732498582</v>
      </c>
      <c r="AP191" s="87">
        <v>0.85446276293348489</v>
      </c>
      <c r="AQ191" s="87">
        <v>0.85450346420323331</v>
      </c>
      <c r="AR191" s="87">
        <v>0.85459257126403687</v>
      </c>
      <c r="AS191" s="87">
        <v>0.85476815398075245</v>
      </c>
      <c r="AT191" s="87">
        <v>0.85470341521869386</v>
      </c>
      <c r="AU191" s="87">
        <v>0.8549751969652758</v>
      </c>
      <c r="AV191" s="87">
        <v>0.85499113998818665</v>
      </c>
      <c r="AW191" s="87">
        <v>0.85487320501069353</v>
      </c>
      <c r="AX191" s="87">
        <v>0.85502776064157926</v>
      </c>
      <c r="AY191" s="87">
        <v>0.85523520485584215</v>
      </c>
      <c r="AZ191" s="87">
        <v>0.8549175320708613</v>
      </c>
      <c r="BA191" s="87">
        <v>0.85483388207123612</v>
      </c>
      <c r="BB191" s="87">
        <v>0.85491329479768785</v>
      </c>
      <c r="BC191" s="87">
        <v>0.85494259311117338</v>
      </c>
      <c r="BD191" s="87">
        <v>0.85503546099290784</v>
      </c>
      <c r="BE191" s="87">
        <v>0.8549597110308419</v>
      </c>
      <c r="BF191" s="87">
        <v>0.85475651189127977</v>
      </c>
      <c r="BG191" s="87">
        <v>0.85516844226893174</v>
      </c>
    </row>
    <row r="192" spans="3:59" x14ac:dyDescent="0.2">
      <c r="C192" s="29">
        <v>57</v>
      </c>
      <c r="F192" s="87">
        <v>0.79069767441860461</v>
      </c>
      <c r="G192" s="87">
        <v>0.79543230016313216</v>
      </c>
      <c r="H192" s="87">
        <v>0.7998712998712999</v>
      </c>
      <c r="I192" s="87">
        <v>0.8040602891418025</v>
      </c>
      <c r="J192" s="87">
        <v>0.80785498489425978</v>
      </c>
      <c r="K192" s="87">
        <v>0.81172932330827063</v>
      </c>
      <c r="L192" s="87">
        <v>0.81502000615574022</v>
      </c>
      <c r="M192" s="87">
        <v>0.81861804222648749</v>
      </c>
      <c r="N192" s="87">
        <v>0.82129032258064516</v>
      </c>
      <c r="O192" s="87">
        <v>0.82438869482375354</v>
      </c>
      <c r="P192" s="87">
        <v>0.82692307692307687</v>
      </c>
      <c r="Q192" s="87">
        <v>0.82955603849736104</v>
      </c>
      <c r="R192" s="87">
        <v>0.83208955223880599</v>
      </c>
      <c r="S192" s="87">
        <v>0.83408476104598739</v>
      </c>
      <c r="T192" s="87">
        <v>0.83599019006744324</v>
      </c>
      <c r="U192" s="87">
        <v>0.83804382343601147</v>
      </c>
      <c r="V192" s="87">
        <v>0.83986820428336084</v>
      </c>
      <c r="W192" s="87">
        <v>0.84129165235314329</v>
      </c>
      <c r="X192" s="87">
        <v>0.84282624369142034</v>
      </c>
      <c r="Y192" s="87">
        <v>0.84404332129963899</v>
      </c>
      <c r="Z192" s="87">
        <v>0.84531192995257209</v>
      </c>
      <c r="AA192" s="87">
        <v>0.84612663600990445</v>
      </c>
      <c r="AB192" s="87">
        <v>0.84737960339943341</v>
      </c>
      <c r="AC192" s="87">
        <v>0.84832451499118167</v>
      </c>
      <c r="AD192" s="87">
        <v>0.84917355371900827</v>
      </c>
      <c r="AE192" s="87">
        <v>0.85001685203909672</v>
      </c>
      <c r="AF192" s="87">
        <v>0.85070140280561124</v>
      </c>
      <c r="AG192" s="87">
        <v>0.85129380936783494</v>
      </c>
      <c r="AH192" s="87">
        <v>0.8517677586766137</v>
      </c>
      <c r="AI192" s="87">
        <v>0.85219035612984562</v>
      </c>
      <c r="AJ192" s="87">
        <v>0.85272016831980768</v>
      </c>
      <c r="AK192" s="87">
        <v>0.85306242638398111</v>
      </c>
      <c r="AL192" s="87">
        <v>0.85324711835816702</v>
      </c>
      <c r="AM192" s="87">
        <v>0.85386506419011199</v>
      </c>
      <c r="AN192" s="87">
        <v>0.85386338185890254</v>
      </c>
      <c r="AO192" s="87">
        <v>0.85410249229907587</v>
      </c>
      <c r="AP192" s="87">
        <v>0.85421412300683375</v>
      </c>
      <c r="AQ192" s="87">
        <v>0.85437997724687142</v>
      </c>
      <c r="AR192" s="87">
        <v>0.85441941074523398</v>
      </c>
      <c r="AS192" s="87">
        <v>0.85450878709305678</v>
      </c>
      <c r="AT192" s="87">
        <v>0.85468339655675518</v>
      </c>
      <c r="AU192" s="87">
        <v>0.85491606714628299</v>
      </c>
      <c r="AV192" s="87">
        <v>0.85493286631640397</v>
      </c>
      <c r="AW192" s="87">
        <v>0.85494830132939437</v>
      </c>
      <c r="AX192" s="87">
        <v>0.85509018648731272</v>
      </c>
      <c r="AY192" s="87">
        <v>0.8549830299290343</v>
      </c>
      <c r="AZ192" s="87">
        <v>0.85519125683060104</v>
      </c>
      <c r="BA192" s="87">
        <v>0.85487320501069353</v>
      </c>
      <c r="BB192" s="87">
        <v>0.85479041916167664</v>
      </c>
      <c r="BC192" s="87">
        <v>0.85487135010118531</v>
      </c>
      <c r="BD192" s="87">
        <v>0.85518207282913161</v>
      </c>
      <c r="BE192" s="87">
        <v>0.85499432463110103</v>
      </c>
      <c r="BF192" s="87">
        <v>0.85491939966648134</v>
      </c>
      <c r="BG192" s="87">
        <v>0.85499858397054662</v>
      </c>
    </row>
    <row r="193" spans="3:59" x14ac:dyDescent="0.2">
      <c r="C193" s="29">
        <v>58</v>
      </c>
      <c r="F193" s="87">
        <v>0.77534722222222219</v>
      </c>
      <c r="G193" s="87">
        <v>0.780437756497948</v>
      </c>
      <c r="H193" s="87">
        <v>0.78587773782281789</v>
      </c>
      <c r="I193" s="87">
        <v>0.79071267333118345</v>
      </c>
      <c r="J193" s="87">
        <v>0.79506933744221875</v>
      </c>
      <c r="K193" s="87">
        <v>0.79957614290039358</v>
      </c>
      <c r="L193" s="87">
        <v>0.80355528773727025</v>
      </c>
      <c r="M193" s="87">
        <v>0.80727721245760098</v>
      </c>
      <c r="N193" s="87">
        <v>0.81095802627363023</v>
      </c>
      <c r="O193" s="87">
        <v>0.81421647819063003</v>
      </c>
      <c r="P193" s="87">
        <v>0.81743002544529264</v>
      </c>
      <c r="Q193" s="87">
        <v>0.82033470161035682</v>
      </c>
      <c r="R193" s="87">
        <v>0.82312713708424001</v>
      </c>
      <c r="S193" s="87">
        <v>0.82565379825653795</v>
      </c>
      <c r="T193" s="87">
        <v>0.8278663857959675</v>
      </c>
      <c r="U193" s="87">
        <v>0.82995702885205647</v>
      </c>
      <c r="V193" s="87">
        <v>0.83216783216783219</v>
      </c>
      <c r="W193" s="87">
        <v>0.83410290237467022</v>
      </c>
      <c r="X193" s="87">
        <v>0.83568236507390858</v>
      </c>
      <c r="Y193" s="87">
        <v>0.83730158730158732</v>
      </c>
      <c r="Z193" s="87">
        <v>0.83887283236994215</v>
      </c>
      <c r="AA193" s="87">
        <v>0.84008762322015329</v>
      </c>
      <c r="AB193" s="87">
        <v>0.8410619469026549</v>
      </c>
      <c r="AC193" s="87">
        <v>0.84201204392490259</v>
      </c>
      <c r="AD193" s="87">
        <v>0.84333098094565984</v>
      </c>
      <c r="AE193" s="87">
        <v>0.843954529796762</v>
      </c>
      <c r="AF193" s="87">
        <v>0.84485666104553114</v>
      </c>
      <c r="AG193" s="87">
        <v>0.84563982626127632</v>
      </c>
      <c r="AH193" s="87">
        <v>0.84627990822681087</v>
      </c>
      <c r="AI193" s="87">
        <v>0.84685269305645683</v>
      </c>
      <c r="AJ193" s="87">
        <v>0.84709962168978559</v>
      </c>
      <c r="AK193" s="87">
        <v>0.84781954887218047</v>
      </c>
      <c r="AL193" s="87">
        <v>0.84801178203240057</v>
      </c>
      <c r="AM193" s="87">
        <v>0.84842519685039375</v>
      </c>
      <c r="AN193" s="87">
        <v>0.8486338797814208</v>
      </c>
      <c r="AO193" s="87">
        <v>0.84906188742649114</v>
      </c>
      <c r="AP193" s="87">
        <v>0.84929971988795516</v>
      </c>
      <c r="AQ193" s="87">
        <v>0.84933067502136139</v>
      </c>
      <c r="AR193" s="87">
        <v>0.84950213371266003</v>
      </c>
      <c r="AS193" s="87">
        <v>0.84975440624097087</v>
      </c>
      <c r="AT193" s="87">
        <v>0.84985590778097986</v>
      </c>
      <c r="AU193" s="87">
        <v>0.8497227896119055</v>
      </c>
      <c r="AV193" s="87">
        <v>0.84982014388489213</v>
      </c>
      <c r="AW193" s="87">
        <v>0.84967892586106242</v>
      </c>
      <c r="AX193" s="87">
        <v>0.8499261447562777</v>
      </c>
      <c r="AY193" s="87">
        <v>0.84993887530562351</v>
      </c>
      <c r="AZ193" s="87">
        <v>0.84978408389882787</v>
      </c>
      <c r="BA193" s="87">
        <v>0.85007587253414263</v>
      </c>
      <c r="BB193" s="87">
        <v>0.84998472349526433</v>
      </c>
      <c r="BC193" s="87">
        <v>0.85</v>
      </c>
      <c r="BD193" s="87">
        <v>0.84995663486556805</v>
      </c>
      <c r="BE193" s="87">
        <v>0.84990198823858865</v>
      </c>
      <c r="BF193" s="87">
        <v>0.84992907801418438</v>
      </c>
      <c r="BG193" s="87">
        <v>0.85019455252918286</v>
      </c>
    </row>
    <row r="194" spans="3:59" x14ac:dyDescent="0.2">
      <c r="C194" s="29">
        <v>59</v>
      </c>
      <c r="F194" s="87">
        <v>0.75571428571428567</v>
      </c>
      <c r="G194" s="87">
        <v>0.76180555555555551</v>
      </c>
      <c r="H194" s="87">
        <v>0.76764907470870458</v>
      </c>
      <c r="I194" s="87">
        <v>0.77333770062233864</v>
      </c>
      <c r="J194" s="87">
        <v>0.77867528271405495</v>
      </c>
      <c r="K194" s="87">
        <v>0.78357517752392714</v>
      </c>
      <c r="L194" s="87">
        <v>0.78829238701850168</v>
      </c>
      <c r="M194" s="87">
        <v>0.79263507395110167</v>
      </c>
      <c r="N194" s="87">
        <v>0.7964793082149475</v>
      </c>
      <c r="O194" s="87">
        <v>0.80038510911424898</v>
      </c>
      <c r="P194" s="87">
        <v>0.80394694273697831</v>
      </c>
      <c r="Q194" s="87">
        <v>0.8073248407643312</v>
      </c>
      <c r="R194" s="87">
        <v>0.81030667088207398</v>
      </c>
      <c r="S194" s="87">
        <v>0.81325863678804855</v>
      </c>
      <c r="T194" s="87">
        <v>0.81608478802992523</v>
      </c>
      <c r="U194" s="87">
        <v>0.81831877071407055</v>
      </c>
      <c r="V194" s="87">
        <v>0.82058371735791091</v>
      </c>
      <c r="W194" s="87">
        <v>0.82278078269169586</v>
      </c>
      <c r="X194" s="87">
        <v>0.82475247524752471</v>
      </c>
      <c r="Y194" s="87">
        <v>0.82628138974888199</v>
      </c>
      <c r="Z194" s="87">
        <v>0.82785997834716707</v>
      </c>
      <c r="AA194" s="87">
        <v>0.82977954463317671</v>
      </c>
      <c r="AB194" s="87">
        <v>0.83089846603360118</v>
      </c>
      <c r="AC194" s="87">
        <v>0.8321529745042493</v>
      </c>
      <c r="AD194" s="87">
        <v>0.83309709425939049</v>
      </c>
      <c r="AE194" s="87">
        <v>0.83445111189551713</v>
      </c>
      <c r="AF194" s="87">
        <v>0.83528600964851829</v>
      </c>
      <c r="AG194" s="87">
        <v>0.83575042158516022</v>
      </c>
      <c r="AH194" s="87">
        <v>0.83689839572192515</v>
      </c>
      <c r="AI194" s="87">
        <v>0.83743035070468697</v>
      </c>
      <c r="AJ194" s="87">
        <v>0.83776768332251783</v>
      </c>
      <c r="AK194" s="87">
        <v>0.83853673919899085</v>
      </c>
      <c r="AL194" s="87">
        <v>0.83879699248120299</v>
      </c>
      <c r="AM194" s="87">
        <v>0.83942251031231585</v>
      </c>
      <c r="AN194" s="87">
        <v>0.83966244725738393</v>
      </c>
      <c r="AO194" s="87">
        <v>0.83989071038251362</v>
      </c>
      <c r="AP194" s="87">
        <v>0.84010081209745169</v>
      </c>
      <c r="AQ194" s="87">
        <v>0.84033613445378152</v>
      </c>
      <c r="AR194" s="87">
        <v>0.84050128168612925</v>
      </c>
      <c r="AS194" s="87">
        <v>0.84044368600682595</v>
      </c>
      <c r="AT194" s="87">
        <v>0.84079745738225942</v>
      </c>
      <c r="AU194" s="87">
        <v>0.84067991933160469</v>
      </c>
      <c r="AV194" s="87">
        <v>0.84072345390898484</v>
      </c>
      <c r="AW194" s="87">
        <v>0.84087503745879533</v>
      </c>
      <c r="AX194" s="87">
        <v>0.84067697694776777</v>
      </c>
      <c r="AY194" s="87">
        <v>0.8408151210868281</v>
      </c>
      <c r="AZ194" s="87">
        <v>0.8408188206538344</v>
      </c>
      <c r="BA194" s="87">
        <v>0.84088806660499538</v>
      </c>
      <c r="BB194" s="87">
        <v>0.84101941747572817</v>
      </c>
      <c r="BC194" s="87">
        <v>0.84091603053435116</v>
      </c>
      <c r="BD194" s="87">
        <v>0.84081388390185519</v>
      </c>
      <c r="BE194" s="87">
        <v>0.84079745738225942</v>
      </c>
      <c r="BF194" s="87">
        <v>0.84098544232922734</v>
      </c>
      <c r="BG194" s="87">
        <v>0.84094130989509497</v>
      </c>
    </row>
    <row r="195" spans="3:59" x14ac:dyDescent="0.2">
      <c r="C195" s="29">
        <v>60</v>
      </c>
      <c r="F195" s="87">
        <v>0.73178807947019864</v>
      </c>
      <c r="G195" s="87">
        <v>0.73892857142857138</v>
      </c>
      <c r="H195" s="87">
        <v>0.74565066109951283</v>
      </c>
      <c r="I195" s="87">
        <v>0.75206043956043955</v>
      </c>
      <c r="J195" s="87">
        <v>0.75779455201837875</v>
      </c>
      <c r="K195" s="87">
        <v>0.76367756555519584</v>
      </c>
      <c r="L195" s="87">
        <v>0.76863594184967521</v>
      </c>
      <c r="M195" s="87">
        <v>0.7736938031591738</v>
      </c>
      <c r="N195" s="87">
        <v>0.77841596130592505</v>
      </c>
      <c r="O195" s="87">
        <v>0.782554902567275</v>
      </c>
      <c r="P195" s="87">
        <v>0.78695372750642678</v>
      </c>
      <c r="Q195" s="87">
        <v>0.79041140265630061</v>
      </c>
      <c r="R195" s="87">
        <v>0.79400510204081631</v>
      </c>
      <c r="S195" s="87">
        <v>0.79715189873417724</v>
      </c>
      <c r="T195" s="87">
        <v>0.80031152647975079</v>
      </c>
      <c r="U195" s="87">
        <v>0.80343213728549145</v>
      </c>
      <c r="V195" s="87">
        <v>0.80579010856453559</v>
      </c>
      <c r="W195" s="87">
        <v>0.80811808118081185</v>
      </c>
      <c r="X195" s="87">
        <v>0.81056988220311998</v>
      </c>
      <c r="Y195" s="87">
        <v>0.81241743725231175</v>
      </c>
      <c r="Z195" s="87">
        <v>0.81417756366139027</v>
      </c>
      <c r="AA195" s="87">
        <v>0.81588447653429608</v>
      </c>
      <c r="AB195" s="87">
        <v>0.81749186844958444</v>
      </c>
      <c r="AC195" s="87">
        <v>0.81884587289992694</v>
      </c>
      <c r="AD195" s="87">
        <v>0.82040382571732196</v>
      </c>
      <c r="AE195" s="87">
        <v>0.82104890148830612</v>
      </c>
      <c r="AF195" s="87">
        <v>0.82244969996470174</v>
      </c>
      <c r="AG195" s="87">
        <v>0.82322536181943484</v>
      </c>
      <c r="AH195" s="87">
        <v>0.8239460370994941</v>
      </c>
      <c r="AI195" s="87">
        <v>0.82486631016042777</v>
      </c>
      <c r="AJ195" s="87">
        <v>0.8256309406751885</v>
      </c>
      <c r="AK195" s="87">
        <v>0.82608695652173914</v>
      </c>
      <c r="AL195" s="87">
        <v>0.82655313781141593</v>
      </c>
      <c r="AM195" s="87">
        <v>0.82706766917293228</v>
      </c>
      <c r="AN195" s="87">
        <v>0.82739322533136961</v>
      </c>
      <c r="AO195" s="87">
        <v>0.82784810126582276</v>
      </c>
      <c r="AP195" s="87">
        <v>0.82786885245901642</v>
      </c>
      <c r="AQ195" s="87">
        <v>0.82805936712405492</v>
      </c>
      <c r="AR195" s="87">
        <v>0.82833940072808732</v>
      </c>
      <c r="AS195" s="87">
        <v>0.82858769931662868</v>
      </c>
      <c r="AT195" s="87">
        <v>0.82878270762229811</v>
      </c>
      <c r="AU195" s="87">
        <v>0.8287611897198961</v>
      </c>
      <c r="AV195" s="87">
        <v>0.82891705069124422</v>
      </c>
      <c r="AW195" s="87">
        <v>0.82881306503353747</v>
      </c>
      <c r="AX195" s="87">
        <v>0.82893948472139001</v>
      </c>
      <c r="AY195" s="87">
        <v>0.82905484247374561</v>
      </c>
      <c r="AZ195" s="87">
        <v>0.82905225863596099</v>
      </c>
      <c r="BA195" s="87">
        <v>0.82900763358778629</v>
      </c>
      <c r="BB195" s="87">
        <v>0.82896764252696453</v>
      </c>
      <c r="BC195" s="87">
        <v>0.82898726500909647</v>
      </c>
      <c r="BD195" s="87">
        <v>0.82911199267622826</v>
      </c>
      <c r="BE195" s="87">
        <v>0.82894736842105265</v>
      </c>
      <c r="BF195" s="87">
        <v>0.82904995668495529</v>
      </c>
      <c r="BG195" s="87">
        <v>0.82881118881118876</v>
      </c>
    </row>
    <row r="196" spans="3:59" x14ac:dyDescent="0.2">
      <c r="C196" s="29">
        <v>61</v>
      </c>
      <c r="F196" s="87">
        <v>0.70278404815650863</v>
      </c>
      <c r="G196" s="87">
        <v>0.71044885945548197</v>
      </c>
      <c r="H196" s="87">
        <v>0.71806797853309479</v>
      </c>
      <c r="I196" s="87">
        <v>0.72499128616242592</v>
      </c>
      <c r="J196" s="87">
        <v>0.73158981417756364</v>
      </c>
      <c r="K196" s="87">
        <v>0.73791515948701081</v>
      </c>
      <c r="L196" s="87">
        <v>0.74351491569390404</v>
      </c>
      <c r="M196" s="87">
        <v>0.74899287263712422</v>
      </c>
      <c r="N196" s="87">
        <v>0.75410833840535607</v>
      </c>
      <c r="O196" s="87">
        <v>0.75900696336663642</v>
      </c>
      <c r="P196" s="87">
        <v>0.76363073110285007</v>
      </c>
      <c r="Q196" s="87">
        <v>0.76769626769626764</v>
      </c>
      <c r="R196" s="87">
        <v>0.77165098929614018</v>
      </c>
      <c r="S196" s="87">
        <v>0.77497606128311525</v>
      </c>
      <c r="T196" s="87">
        <v>0.7782705099778271</v>
      </c>
      <c r="U196" s="87">
        <v>0.78141565325849704</v>
      </c>
      <c r="V196" s="87">
        <v>0.78426475179519206</v>
      </c>
      <c r="W196" s="87">
        <v>0.78720193178388165</v>
      </c>
      <c r="X196" s="87">
        <v>0.78978147122191444</v>
      </c>
      <c r="Y196" s="87">
        <v>0.79165339280025482</v>
      </c>
      <c r="Z196" s="87">
        <v>0.79385530227948464</v>
      </c>
      <c r="AA196" s="87">
        <v>0.7955249569707401</v>
      </c>
      <c r="AB196" s="87">
        <v>0.79711191335740073</v>
      </c>
      <c r="AC196" s="87">
        <v>0.79869895193350193</v>
      </c>
      <c r="AD196" s="87">
        <v>0.80021913805697586</v>
      </c>
      <c r="AE196" s="87">
        <v>0.80134560906515584</v>
      </c>
      <c r="AF196" s="87">
        <v>0.80262225372076546</v>
      </c>
      <c r="AG196" s="87">
        <v>0.80374161666078359</v>
      </c>
      <c r="AH196" s="87">
        <v>0.80461750516884911</v>
      </c>
      <c r="AI196" s="87">
        <v>0.80539629005059021</v>
      </c>
      <c r="AJ196" s="87">
        <v>0.80621450050116938</v>
      </c>
      <c r="AK196" s="87">
        <v>0.8066841415465269</v>
      </c>
      <c r="AL196" s="87">
        <v>0.80733052221861823</v>
      </c>
      <c r="AM196" s="87">
        <v>0.80769230769230771</v>
      </c>
      <c r="AN196" s="87">
        <v>0.80817799158147929</v>
      </c>
      <c r="AO196" s="87">
        <v>0.80854197349042711</v>
      </c>
      <c r="AP196" s="87">
        <v>0.8087739032620922</v>
      </c>
      <c r="AQ196" s="87">
        <v>0.80928961748633876</v>
      </c>
      <c r="AR196" s="87">
        <v>0.80935050391937291</v>
      </c>
      <c r="AS196" s="87">
        <v>0.80935050391937291</v>
      </c>
      <c r="AT196" s="87">
        <v>0.80956447480785654</v>
      </c>
      <c r="AU196" s="87">
        <v>0.80955088118249008</v>
      </c>
      <c r="AV196" s="87">
        <v>0.809757505773672</v>
      </c>
      <c r="AW196" s="87">
        <v>0.80972941853770874</v>
      </c>
      <c r="AX196" s="87">
        <v>0.80996793937627509</v>
      </c>
      <c r="AY196" s="87">
        <v>0.80993714456749477</v>
      </c>
      <c r="AZ196" s="87">
        <v>0.80991253644314865</v>
      </c>
      <c r="BA196" s="87">
        <v>0.81002949852507378</v>
      </c>
      <c r="BB196" s="87">
        <v>0.81019224900823927</v>
      </c>
      <c r="BC196" s="87">
        <v>0.80997844163843546</v>
      </c>
      <c r="BD196" s="87">
        <v>0.81005755831566195</v>
      </c>
      <c r="BE196" s="87">
        <v>0.8100609756097561</v>
      </c>
      <c r="BF196" s="87">
        <v>0.80997908574843147</v>
      </c>
      <c r="BG196" s="87">
        <v>0.80986728216964798</v>
      </c>
    </row>
    <row r="197" spans="3:59" x14ac:dyDescent="0.2">
      <c r="C197" s="29">
        <v>62</v>
      </c>
      <c r="F197" s="87">
        <v>0.67528397963180575</v>
      </c>
      <c r="G197" s="87">
        <v>0.68359668924003014</v>
      </c>
      <c r="H197" s="87">
        <v>0.6913716814159292</v>
      </c>
      <c r="I197" s="87">
        <v>0.69881678020795979</v>
      </c>
      <c r="J197" s="87">
        <v>0.70590289905693326</v>
      </c>
      <c r="K197" s="87">
        <v>0.71251292657704235</v>
      </c>
      <c r="L197" s="87">
        <v>0.71894563426688629</v>
      </c>
      <c r="M197" s="87">
        <v>0.72482131254061077</v>
      </c>
      <c r="N197" s="87">
        <v>0.73020800993480284</v>
      </c>
      <c r="O197" s="87">
        <v>0.73536585365853657</v>
      </c>
      <c r="P197" s="87">
        <v>0.74037003336366392</v>
      </c>
      <c r="Q197" s="87">
        <v>0.74464784362395287</v>
      </c>
      <c r="R197" s="87">
        <v>0.74871134020618557</v>
      </c>
      <c r="S197" s="87">
        <v>0.75284183176355957</v>
      </c>
      <c r="T197" s="87">
        <v>0.75615212527964204</v>
      </c>
      <c r="U197" s="87">
        <v>0.75959403742467491</v>
      </c>
      <c r="V197" s="87">
        <v>0.76248439450686645</v>
      </c>
      <c r="W197" s="87">
        <v>0.76531249999999995</v>
      </c>
      <c r="X197" s="87">
        <v>0.76827794561933538</v>
      </c>
      <c r="Y197" s="87">
        <v>0.77055743763473972</v>
      </c>
      <c r="Z197" s="87">
        <v>0.77271278291361178</v>
      </c>
      <c r="AA197" s="87">
        <v>0.77487603305785124</v>
      </c>
      <c r="AB197" s="87">
        <v>0.77651515151515149</v>
      </c>
      <c r="AC197" s="87">
        <v>0.77825929938605998</v>
      </c>
      <c r="AD197" s="87">
        <v>0.77982646420824298</v>
      </c>
      <c r="AE197" s="87">
        <v>0.78086194302410517</v>
      </c>
      <c r="AF197" s="87">
        <v>0.78222379603399439</v>
      </c>
      <c r="AG197" s="87">
        <v>0.7831325301204819</v>
      </c>
      <c r="AH197" s="87">
        <v>0.7844036697247706</v>
      </c>
      <c r="AI197" s="87">
        <v>0.78504994832931452</v>
      </c>
      <c r="AJ197" s="87">
        <v>0.78590694538098449</v>
      </c>
      <c r="AK197" s="87">
        <v>0.78657314629258512</v>
      </c>
      <c r="AL197" s="87">
        <v>0.78735255570117957</v>
      </c>
      <c r="AM197" s="87">
        <v>0.78761348897535666</v>
      </c>
      <c r="AN197" s="87">
        <v>0.78821304758903243</v>
      </c>
      <c r="AO197" s="87">
        <v>0.78839795611662156</v>
      </c>
      <c r="AP197" s="87">
        <v>0.78886925795053009</v>
      </c>
      <c r="AQ197" s="87">
        <v>0.78886702277199883</v>
      </c>
      <c r="AR197" s="87">
        <v>0.78912865337339522</v>
      </c>
      <c r="AS197" s="87">
        <v>0.78953260565351246</v>
      </c>
      <c r="AT197" s="87">
        <v>0.78953260565351246</v>
      </c>
      <c r="AU197" s="87">
        <v>0.78975817923186342</v>
      </c>
      <c r="AV197" s="87">
        <v>0.78971298664393297</v>
      </c>
      <c r="AW197" s="87">
        <v>0.78995960761684936</v>
      </c>
      <c r="AX197" s="87">
        <v>0.78970080552359034</v>
      </c>
      <c r="AY197" s="87">
        <v>0.7899796096708418</v>
      </c>
      <c r="AZ197" s="87">
        <v>0.7900089739754711</v>
      </c>
      <c r="BA197" s="87">
        <v>0.79020979020979021</v>
      </c>
      <c r="BB197" s="87">
        <v>0.79009433962264153</v>
      </c>
      <c r="BC197" s="87">
        <v>0.78993902439024388</v>
      </c>
      <c r="BD197" s="87">
        <v>0.79015384615384621</v>
      </c>
      <c r="BE197" s="87">
        <v>0.78995157384987891</v>
      </c>
      <c r="BF197" s="87">
        <v>0.78982637831251901</v>
      </c>
      <c r="BG197" s="87">
        <v>0.7898507462686567</v>
      </c>
    </row>
    <row r="198" spans="3:59" x14ac:dyDescent="0.2">
      <c r="C198" s="29">
        <v>63</v>
      </c>
      <c r="F198" s="87">
        <v>0.62869704236610713</v>
      </c>
      <c r="G198" s="87">
        <v>0.63778910231281849</v>
      </c>
      <c r="H198" s="87">
        <v>0.64579403998491136</v>
      </c>
      <c r="I198" s="87">
        <v>0.65397412199630311</v>
      </c>
      <c r="J198" s="87">
        <v>0.66139468008626889</v>
      </c>
      <c r="K198" s="87">
        <v>0.66841736694677867</v>
      </c>
      <c r="L198" s="87">
        <v>0.67484450587422251</v>
      </c>
      <c r="M198" s="87">
        <v>0.68108286563222187</v>
      </c>
      <c r="N198" s="87">
        <v>0.68684895833333337</v>
      </c>
      <c r="O198" s="87">
        <v>0.69206842923794709</v>
      </c>
      <c r="P198" s="87">
        <v>0.69731215638362853</v>
      </c>
      <c r="Q198" s="87">
        <v>0.70221817076876325</v>
      </c>
      <c r="R198" s="87">
        <v>0.70633934120571784</v>
      </c>
      <c r="S198" s="87">
        <v>0.71055179090029041</v>
      </c>
      <c r="T198" s="87">
        <v>0.71447154471544716</v>
      </c>
      <c r="U198" s="87">
        <v>0.71775999999999995</v>
      </c>
      <c r="V198" s="87">
        <v>0.72118132740552554</v>
      </c>
      <c r="W198" s="87">
        <v>0.72406250000000005</v>
      </c>
      <c r="X198" s="87">
        <v>0.72684605757196497</v>
      </c>
      <c r="Y198" s="87">
        <v>0.72936195947989113</v>
      </c>
      <c r="Z198" s="87">
        <v>0.73181257706535141</v>
      </c>
      <c r="AA198" s="87">
        <v>0.733652312599681</v>
      </c>
      <c r="AB198" s="87">
        <v>0.73544973544973546</v>
      </c>
      <c r="AC198" s="87">
        <v>0.73751291767137439</v>
      </c>
      <c r="AD198" s="87">
        <v>0.73889490790899237</v>
      </c>
      <c r="AE198" s="87">
        <v>0.74041937816341286</v>
      </c>
      <c r="AF198" s="87">
        <v>0.74178232286340395</v>
      </c>
      <c r="AG198" s="87">
        <v>0.74318101310662421</v>
      </c>
      <c r="AH198" s="87">
        <v>0.74379872430900074</v>
      </c>
      <c r="AI198" s="87">
        <v>0.74488355681016227</v>
      </c>
      <c r="AJ198" s="87">
        <v>0.74578022735101623</v>
      </c>
      <c r="AK198" s="87">
        <v>0.74645987862440999</v>
      </c>
      <c r="AL198" s="87">
        <v>0.74682698730794927</v>
      </c>
      <c r="AM198" s="87">
        <v>0.74746151326564036</v>
      </c>
      <c r="AN198" s="87">
        <v>0.74805447470817121</v>
      </c>
      <c r="AO198" s="87">
        <v>0.74826717076244487</v>
      </c>
      <c r="AP198" s="87">
        <v>0.74872257288848809</v>
      </c>
      <c r="AQ198" s="87">
        <v>0.74889608478068881</v>
      </c>
      <c r="AR198" s="87">
        <v>0.74922687658138876</v>
      </c>
      <c r="AS198" s="87">
        <v>0.74952198852772467</v>
      </c>
      <c r="AT198" s="87">
        <v>0.74958030218242866</v>
      </c>
      <c r="AU198" s="87">
        <v>0.74958030218242866</v>
      </c>
      <c r="AV198" s="87">
        <v>0.74971558589306031</v>
      </c>
      <c r="AW198" s="87">
        <v>0.74978699233172397</v>
      </c>
      <c r="AX198" s="87">
        <v>0.7499278915488895</v>
      </c>
      <c r="AY198" s="87">
        <v>0.75007190106413579</v>
      </c>
      <c r="AZ198" s="87">
        <v>0.74992721979621546</v>
      </c>
      <c r="BA198" s="87">
        <v>0.75007473841554562</v>
      </c>
      <c r="BB198" s="87">
        <v>0.74992721979621546</v>
      </c>
      <c r="BC198" s="87">
        <v>0.75014731879787866</v>
      </c>
      <c r="BD198" s="87">
        <v>0.74992385013706975</v>
      </c>
      <c r="BE198" s="87">
        <v>0.75007685213648945</v>
      </c>
      <c r="BF198" s="87">
        <v>0.74992440278197758</v>
      </c>
      <c r="BG198" s="87">
        <v>0.74984783931832011</v>
      </c>
    </row>
    <row r="199" spans="3:59" x14ac:dyDescent="0.2">
      <c r="C199" s="29">
        <v>64</v>
      </c>
      <c r="F199" s="87">
        <v>0.55998356614626132</v>
      </c>
      <c r="G199" s="87">
        <v>0.56942777110844334</v>
      </c>
      <c r="H199" s="87">
        <v>0.57822327044025157</v>
      </c>
      <c r="I199" s="87">
        <v>0.58683314415437005</v>
      </c>
      <c r="J199" s="87">
        <v>0.59510567296996664</v>
      </c>
      <c r="K199" s="87">
        <v>0.60237923576063446</v>
      </c>
      <c r="L199" s="87">
        <v>0.6095505617977528</v>
      </c>
      <c r="M199" s="87">
        <v>0.61621059923796329</v>
      </c>
      <c r="N199" s="87">
        <v>0.62231049321416754</v>
      </c>
      <c r="O199" s="87">
        <v>0.62826370757180161</v>
      </c>
      <c r="P199" s="87">
        <v>0.633613969441846</v>
      </c>
      <c r="Q199" s="87">
        <v>0.63850627486991118</v>
      </c>
      <c r="R199" s="87">
        <v>0.64342265529841658</v>
      </c>
      <c r="S199" s="87">
        <v>0.6475716064757161</v>
      </c>
      <c r="T199" s="87">
        <v>0.65158371040723984</v>
      </c>
      <c r="U199" s="87">
        <v>0.65570032573289905</v>
      </c>
      <c r="V199" s="87">
        <v>0.65897435897435896</v>
      </c>
      <c r="W199" s="87">
        <v>0.66200317965023847</v>
      </c>
      <c r="X199" s="87">
        <v>0.66510172143974966</v>
      </c>
      <c r="Y199" s="87">
        <v>0.66791979949874691</v>
      </c>
      <c r="Z199" s="87">
        <v>0.67029972752043598</v>
      </c>
      <c r="AA199" s="87">
        <v>0.6728395061728395</v>
      </c>
      <c r="AB199" s="87">
        <v>0.67464878671775219</v>
      </c>
      <c r="AC199" s="87">
        <v>0.67659715326050973</v>
      </c>
      <c r="AD199" s="87">
        <v>0.67804205446397792</v>
      </c>
      <c r="AE199" s="87">
        <v>0.67979761474521139</v>
      </c>
      <c r="AF199" s="87">
        <v>0.68101265822784807</v>
      </c>
      <c r="AG199" s="87">
        <v>0.68249908659115821</v>
      </c>
      <c r="AH199" s="87">
        <v>0.68331562167906479</v>
      </c>
      <c r="AI199" s="87">
        <v>0.68450903934774898</v>
      </c>
      <c r="AJ199" s="87">
        <v>0.68525052928722652</v>
      </c>
      <c r="AK199" s="87">
        <v>0.68618670341026522</v>
      </c>
      <c r="AL199" s="87">
        <v>0.68678354686446397</v>
      </c>
      <c r="AM199" s="87">
        <v>0.68737474949899802</v>
      </c>
      <c r="AN199" s="87">
        <v>0.68784801834261378</v>
      </c>
      <c r="AO199" s="87">
        <v>0.68839169909208819</v>
      </c>
      <c r="AP199" s="87">
        <v>0.68840579710144922</v>
      </c>
      <c r="AQ199" s="87">
        <v>0.6889089269612263</v>
      </c>
      <c r="AR199" s="87">
        <v>0.68913747424197824</v>
      </c>
      <c r="AS199" s="87">
        <v>0.68934495361259485</v>
      </c>
      <c r="AT199" s="87">
        <v>0.68970226714012561</v>
      </c>
      <c r="AU199" s="87">
        <v>0.68970341354224962</v>
      </c>
      <c r="AV199" s="87">
        <v>0.68970341354224962</v>
      </c>
      <c r="AW199" s="87">
        <v>0.68979243673585444</v>
      </c>
      <c r="AX199" s="87">
        <v>0.68986083499005968</v>
      </c>
      <c r="AY199" s="87">
        <v>0.69002306805074975</v>
      </c>
      <c r="AZ199" s="87">
        <v>0.69005175388154116</v>
      </c>
      <c r="BA199" s="87">
        <v>0.69004656577415602</v>
      </c>
      <c r="BB199" s="87">
        <v>0.68987152674036456</v>
      </c>
      <c r="BC199" s="87">
        <v>0.69004656577415602</v>
      </c>
      <c r="BD199" s="87">
        <v>0.68992932862190814</v>
      </c>
      <c r="BE199" s="87">
        <v>0.68980213089802134</v>
      </c>
      <c r="BF199" s="87">
        <v>0.6900153609831029</v>
      </c>
      <c r="BG199" s="87">
        <v>0.68993653671804167</v>
      </c>
    </row>
    <row r="200" spans="3:59" x14ac:dyDescent="0.2">
      <c r="C200" s="29">
        <v>65</v>
      </c>
      <c r="F200" s="87">
        <v>0.47868852459016392</v>
      </c>
      <c r="G200" s="87">
        <v>0.48867846850555785</v>
      </c>
      <c r="H200" s="87">
        <v>0.49799196787148592</v>
      </c>
      <c r="I200" s="87">
        <v>0.50690335305719925</v>
      </c>
      <c r="J200" s="87">
        <v>0.51518602885345477</v>
      </c>
      <c r="K200" s="87">
        <v>0.52306547619047616</v>
      </c>
      <c r="L200" s="87">
        <v>0.53056057866184447</v>
      </c>
      <c r="M200" s="87">
        <v>0.53751320887636489</v>
      </c>
      <c r="N200" s="87">
        <v>0.54412786657400969</v>
      </c>
      <c r="O200" s="87">
        <v>0.55013280212483395</v>
      </c>
      <c r="P200" s="87">
        <v>0.55562827225130895</v>
      </c>
      <c r="Q200" s="87">
        <v>0.56128830519074424</v>
      </c>
      <c r="R200" s="87">
        <v>0.56599140577041129</v>
      </c>
      <c r="S200" s="87">
        <v>0.57051282051282048</v>
      </c>
      <c r="T200" s="87">
        <v>0.57490636704119846</v>
      </c>
      <c r="U200" s="87">
        <v>0.57887917071590544</v>
      </c>
      <c r="V200" s="87">
        <v>0.58257180156657962</v>
      </c>
      <c r="W200" s="87">
        <v>0.58574181117533719</v>
      </c>
      <c r="X200" s="87">
        <v>0.58904109589041098</v>
      </c>
      <c r="Y200" s="87">
        <v>0.59184952978056427</v>
      </c>
      <c r="Z200" s="87">
        <v>0.59428930028239724</v>
      </c>
      <c r="AA200" s="87">
        <v>0.59690627843494082</v>
      </c>
      <c r="AB200" s="87">
        <v>0.59888751545117425</v>
      </c>
      <c r="AC200" s="87">
        <v>0.60070332480818411</v>
      </c>
      <c r="AD200" s="87">
        <v>0.60271703114645458</v>
      </c>
      <c r="AE200" s="87">
        <v>0.60420979986197376</v>
      </c>
      <c r="AF200" s="87">
        <v>0.60578661844484627</v>
      </c>
      <c r="AG200" s="87">
        <v>0.60694896851248648</v>
      </c>
      <c r="AH200" s="87">
        <v>0.60840950639853753</v>
      </c>
      <c r="AI200" s="87">
        <v>0.60935838355193195</v>
      </c>
      <c r="AJ200" s="87">
        <v>0.61028368794326238</v>
      </c>
      <c r="AK200" s="87">
        <v>0.6106600776561949</v>
      </c>
      <c r="AL200" s="87">
        <v>0.61164713990351482</v>
      </c>
      <c r="AM200" s="87">
        <v>0.61234817813765186</v>
      </c>
      <c r="AN200" s="87">
        <v>0.61276311393250915</v>
      </c>
      <c r="AO200" s="87">
        <v>0.61304062909567492</v>
      </c>
      <c r="AP200" s="87">
        <v>0.61348897535667968</v>
      </c>
      <c r="AQ200" s="87">
        <v>0.61393003466750706</v>
      </c>
      <c r="AR200" s="87">
        <v>0.61425135297654843</v>
      </c>
      <c r="AS200" s="87">
        <v>0.61425206124852771</v>
      </c>
      <c r="AT200" s="87">
        <v>0.61445444319460063</v>
      </c>
      <c r="AU200" s="87">
        <v>0.61475409836065575</v>
      </c>
      <c r="AV200" s="87">
        <v>0.6148894486425972</v>
      </c>
      <c r="AW200" s="87">
        <v>0.61471740346950199</v>
      </c>
      <c r="AX200" s="87">
        <v>0.61490329920364051</v>
      </c>
      <c r="AY200" s="87">
        <v>0.61470755252697329</v>
      </c>
      <c r="AZ200" s="87">
        <v>0.61487460363217061</v>
      </c>
      <c r="BA200" s="87">
        <v>0.61483184823225068</v>
      </c>
      <c r="BB200" s="87">
        <v>0.61507128309572301</v>
      </c>
      <c r="BC200" s="87">
        <v>0.61499402628434885</v>
      </c>
      <c r="BD200" s="87">
        <v>0.61507128309572301</v>
      </c>
      <c r="BE200" s="87">
        <v>0.61495437150426846</v>
      </c>
      <c r="BF200" s="87">
        <v>0.61503347534996955</v>
      </c>
      <c r="BG200" s="87">
        <v>0.61498311329444277</v>
      </c>
    </row>
    <row r="201" spans="3:59" x14ac:dyDescent="0.2">
      <c r="C201" s="29">
        <v>66</v>
      </c>
      <c r="F201" s="87">
        <v>0.40295358649789031</v>
      </c>
      <c r="G201" s="87">
        <v>0.41307028360049319</v>
      </c>
      <c r="H201" s="87">
        <v>0.42307692307692307</v>
      </c>
      <c r="I201" s="87">
        <v>0.4320290439693425</v>
      </c>
      <c r="J201" s="87">
        <v>0.44057052297939781</v>
      </c>
      <c r="K201" s="87">
        <v>0.4487228364468166</v>
      </c>
      <c r="L201" s="87">
        <v>0.4563106796116505</v>
      </c>
      <c r="M201" s="87">
        <v>0.4631578947368421</v>
      </c>
      <c r="N201" s="87">
        <v>0.47013078826440441</v>
      </c>
      <c r="O201" s="87">
        <v>0.47629009762900976</v>
      </c>
      <c r="P201" s="87">
        <v>0.48201199200532979</v>
      </c>
      <c r="Q201" s="87">
        <v>0.48752462245567957</v>
      </c>
      <c r="R201" s="87">
        <v>0.49278544542032621</v>
      </c>
      <c r="S201" s="87">
        <v>0.49722906403940886</v>
      </c>
      <c r="T201" s="87">
        <v>0.50183710961420702</v>
      </c>
      <c r="U201" s="87">
        <v>0.50579029733959313</v>
      </c>
      <c r="V201" s="87">
        <v>0.50958103280285805</v>
      </c>
      <c r="W201" s="87">
        <v>0.51308900523560208</v>
      </c>
      <c r="X201" s="87">
        <v>0.51625362085613136</v>
      </c>
      <c r="Y201" s="87">
        <v>0.51915708812260541</v>
      </c>
      <c r="Z201" s="87">
        <v>0.52183474709393651</v>
      </c>
      <c r="AA201" s="87">
        <v>0.52421383647798747</v>
      </c>
      <c r="AB201" s="87">
        <v>0.52658766332421758</v>
      </c>
      <c r="AC201" s="87">
        <v>0.52848297213622286</v>
      </c>
      <c r="AD201" s="87">
        <v>0.53042921204356186</v>
      </c>
      <c r="AE201" s="87">
        <v>0.53202787919017591</v>
      </c>
      <c r="AF201" s="87">
        <v>0.53351762266758807</v>
      </c>
      <c r="AG201" s="87">
        <v>0.5347574221578566</v>
      </c>
      <c r="AH201" s="87">
        <v>0.53586956521739126</v>
      </c>
      <c r="AI201" s="87">
        <v>0.53713867544822536</v>
      </c>
      <c r="AJ201" s="87">
        <v>0.53797019162526616</v>
      </c>
      <c r="AK201" s="87">
        <v>0.53867991483321509</v>
      </c>
      <c r="AL201" s="87">
        <v>0.53957597173144878</v>
      </c>
      <c r="AM201" s="87">
        <v>0.54018627112797513</v>
      </c>
      <c r="AN201" s="87">
        <v>0.54085077650236324</v>
      </c>
      <c r="AO201" s="87">
        <v>0.54095620193915084</v>
      </c>
      <c r="AP201" s="87">
        <v>0.54131147540983604</v>
      </c>
      <c r="AQ201" s="87">
        <v>0.54185593770279039</v>
      </c>
      <c r="AR201" s="87">
        <v>0.54210028382213815</v>
      </c>
      <c r="AS201" s="87">
        <v>0.54241877256317694</v>
      </c>
      <c r="AT201" s="87">
        <v>0.54242781378903948</v>
      </c>
      <c r="AU201" s="87">
        <v>0.54248733821046713</v>
      </c>
      <c r="AV201" s="87">
        <v>0.54291962821213779</v>
      </c>
      <c r="AW201" s="87">
        <v>0.5428331466965286</v>
      </c>
      <c r="AX201" s="87">
        <v>0.5428331466965286</v>
      </c>
      <c r="AY201" s="87">
        <v>0.54310099573257464</v>
      </c>
      <c r="AZ201" s="87">
        <v>0.54274353876739567</v>
      </c>
      <c r="BA201" s="87">
        <v>0.54296424452133796</v>
      </c>
      <c r="BB201" s="87">
        <v>0.54312823461759629</v>
      </c>
      <c r="BC201" s="87">
        <v>0.54307334109429573</v>
      </c>
      <c r="BD201" s="87">
        <v>0.543010752688172</v>
      </c>
      <c r="BE201" s="87">
        <v>0.54291533313936569</v>
      </c>
      <c r="BF201" s="87">
        <v>0.54296645085344319</v>
      </c>
      <c r="BG201" s="87">
        <v>0.54304837237602677</v>
      </c>
    </row>
    <row r="202" spans="3:59" x14ac:dyDescent="0.2">
      <c r="C202" s="29">
        <v>67</v>
      </c>
      <c r="F202" s="87">
        <v>0.33654248639598155</v>
      </c>
      <c r="G202" s="87">
        <v>0.3466101694915254</v>
      </c>
      <c r="H202" s="87">
        <v>0.3559322033898305</v>
      </c>
      <c r="I202" s="87">
        <v>0.36492103075644222</v>
      </c>
      <c r="J202" s="87">
        <v>0.3733279286582894</v>
      </c>
      <c r="K202" s="87">
        <v>0.38097133757961782</v>
      </c>
      <c r="L202" s="87">
        <v>0.38873994638069703</v>
      </c>
      <c r="M202" s="87">
        <v>0.39534883720930231</v>
      </c>
      <c r="N202" s="87">
        <v>0.40226112326768781</v>
      </c>
      <c r="O202" s="87">
        <v>0.40823571175008877</v>
      </c>
      <c r="P202" s="87">
        <v>0.41386554621848737</v>
      </c>
      <c r="Q202" s="87">
        <v>0.41906354515050165</v>
      </c>
      <c r="R202" s="87">
        <v>0.42419248516809493</v>
      </c>
      <c r="S202" s="87">
        <v>0.42852644836272041</v>
      </c>
      <c r="T202" s="87">
        <v>0.43294190358467244</v>
      </c>
      <c r="U202" s="87">
        <v>0.43686635944700458</v>
      </c>
      <c r="V202" s="87">
        <v>0.44064070351758794</v>
      </c>
      <c r="W202" s="87">
        <v>0.44379276637341153</v>
      </c>
      <c r="X202" s="87">
        <v>0.44699704627502462</v>
      </c>
      <c r="Y202" s="87">
        <v>0.44964493221433183</v>
      </c>
      <c r="Z202" s="87">
        <v>0.45244956772334294</v>
      </c>
      <c r="AA202" s="87">
        <v>0.45494643982356647</v>
      </c>
      <c r="AB202" s="87">
        <v>0.45680958385876419</v>
      </c>
      <c r="AC202" s="87">
        <v>0.45886654478976235</v>
      </c>
      <c r="AD202" s="87">
        <v>0.46058348851644942</v>
      </c>
      <c r="AE202" s="87">
        <v>0.4622792937399679</v>
      </c>
      <c r="AF202" s="87">
        <v>0.46358496840705021</v>
      </c>
      <c r="AG202" s="87">
        <v>0.4650277008310249</v>
      </c>
      <c r="AH202" s="87">
        <v>0.46608632571635839</v>
      </c>
      <c r="AI202" s="87">
        <v>0.46715063520871142</v>
      </c>
      <c r="AJ202" s="87">
        <v>0.46793697325027483</v>
      </c>
      <c r="AK202" s="87">
        <v>0.46908315565031983</v>
      </c>
      <c r="AL202" s="87">
        <v>0.46943852167732764</v>
      </c>
      <c r="AM202" s="87">
        <v>0.47010965688008488</v>
      </c>
      <c r="AN202" s="87">
        <v>0.47064917127071826</v>
      </c>
      <c r="AO202" s="87">
        <v>0.4711051030753633</v>
      </c>
      <c r="AP202" s="87">
        <v>0.47171074656846335</v>
      </c>
      <c r="AQ202" s="87">
        <v>0.47176625082074852</v>
      </c>
      <c r="AR202" s="87">
        <v>0.47190646313738227</v>
      </c>
      <c r="AS202" s="87">
        <v>0.47222222222222221</v>
      </c>
      <c r="AT202" s="87">
        <v>0.47244805781391147</v>
      </c>
      <c r="AU202" s="87">
        <v>0.47272191094072546</v>
      </c>
      <c r="AV202" s="87">
        <v>0.47254294564911292</v>
      </c>
      <c r="AW202" s="87">
        <v>0.47277701778385772</v>
      </c>
      <c r="AX202" s="87">
        <v>0.47296161389745028</v>
      </c>
      <c r="AY202" s="87">
        <v>0.47296161389745028</v>
      </c>
      <c r="AZ202" s="87">
        <v>0.47281525761457444</v>
      </c>
      <c r="BA202" s="87">
        <v>0.47299602046617395</v>
      </c>
      <c r="BB202" s="87">
        <v>0.47287939988459321</v>
      </c>
      <c r="BC202" s="87">
        <v>0.4728213977566868</v>
      </c>
      <c r="BD202" s="87">
        <v>0.47307132459970885</v>
      </c>
      <c r="BE202" s="87">
        <v>0.47310221159593546</v>
      </c>
      <c r="BF202" s="87">
        <v>0.47293364377182773</v>
      </c>
      <c r="BG202" s="87">
        <v>0.47306446864880775</v>
      </c>
    </row>
    <row r="203" spans="3:59" x14ac:dyDescent="0.2">
      <c r="C203" s="29">
        <v>68</v>
      </c>
      <c r="F203" s="87">
        <v>0.29101644875579924</v>
      </c>
      <c r="G203" s="87">
        <v>0.30008417508417506</v>
      </c>
      <c r="H203" s="87">
        <v>0.30887372013651876</v>
      </c>
      <c r="I203" s="87">
        <v>0.31697171381031614</v>
      </c>
      <c r="J203" s="87">
        <v>0.32455039732329571</v>
      </c>
      <c r="K203" s="87">
        <v>0.33156606851549758</v>
      </c>
      <c r="L203" s="87">
        <v>0.33827061649319456</v>
      </c>
      <c r="M203" s="87">
        <v>0.34476117103235748</v>
      </c>
      <c r="N203" s="87">
        <v>0.35043379856657864</v>
      </c>
      <c r="O203" s="87">
        <v>0.35593841642228741</v>
      </c>
      <c r="P203" s="87">
        <v>0.36104174099179448</v>
      </c>
      <c r="Q203" s="87">
        <v>0.36593947923997183</v>
      </c>
      <c r="R203" s="87">
        <v>0.37029569892473119</v>
      </c>
      <c r="S203" s="87">
        <v>0.37450331125827813</v>
      </c>
      <c r="T203" s="87">
        <v>0.37855787476280833</v>
      </c>
      <c r="U203" s="87">
        <v>0.38206083178150219</v>
      </c>
      <c r="V203" s="87">
        <v>0.38537488429497069</v>
      </c>
      <c r="W203" s="87">
        <v>0.38839848675914251</v>
      </c>
      <c r="X203" s="87">
        <v>0.39110529758011775</v>
      </c>
      <c r="Y203" s="87">
        <v>0.39393939393939392</v>
      </c>
      <c r="Z203" s="87">
        <v>0.39617751862649819</v>
      </c>
      <c r="AA203" s="87">
        <v>0.39845758354755784</v>
      </c>
      <c r="AB203" s="87">
        <v>0.40012642225031608</v>
      </c>
      <c r="AC203" s="87">
        <v>0.40196078431372551</v>
      </c>
      <c r="AD203" s="87">
        <v>0.40372860635696822</v>
      </c>
      <c r="AE203" s="87">
        <v>0.4053549190535492</v>
      </c>
      <c r="AF203" s="87">
        <v>0.40650144834245255</v>
      </c>
      <c r="AG203" s="87">
        <v>0.40780260086695563</v>
      </c>
      <c r="AH203" s="87">
        <v>0.40888580354043735</v>
      </c>
      <c r="AI203" s="87">
        <v>0.40966921119592875</v>
      </c>
      <c r="AJ203" s="87">
        <v>0.4101818181818182</v>
      </c>
      <c r="AK203" s="87">
        <v>0.41131105398457585</v>
      </c>
      <c r="AL203" s="87">
        <v>0.41189035243859023</v>
      </c>
      <c r="AM203" s="87">
        <v>0.41239316239316237</v>
      </c>
      <c r="AN203" s="87">
        <v>0.41297412265154199</v>
      </c>
      <c r="AO203" s="87">
        <v>0.41300588031822899</v>
      </c>
      <c r="AP203" s="87">
        <v>0.41367637102234256</v>
      </c>
      <c r="AQ203" s="87">
        <v>0.41367750586657726</v>
      </c>
      <c r="AR203" s="87">
        <v>0.41387245233399078</v>
      </c>
      <c r="AS203" s="87">
        <v>0.41411841249186726</v>
      </c>
      <c r="AT203" s="87">
        <v>0.41447992412266838</v>
      </c>
      <c r="AU203" s="87">
        <v>0.4146562123039807</v>
      </c>
      <c r="AV203" s="87">
        <v>0.41464855286473717</v>
      </c>
      <c r="AW203" s="87">
        <v>0.41455160744500846</v>
      </c>
      <c r="AX203" s="87">
        <v>0.41479452054794519</v>
      </c>
      <c r="AY203" s="87">
        <v>0.41498316498316501</v>
      </c>
      <c r="AZ203" s="87">
        <v>0.41486676016830293</v>
      </c>
      <c r="BA203" s="87">
        <v>0.41493302935309206</v>
      </c>
      <c r="BB203" s="87">
        <v>0.4147937411095306</v>
      </c>
      <c r="BC203" s="87">
        <v>0.41495812879006644</v>
      </c>
      <c r="BD203" s="87">
        <v>0.41479562464018421</v>
      </c>
      <c r="BE203" s="87">
        <v>0.41491841491841491</v>
      </c>
      <c r="BF203" s="87">
        <v>0.41477272727272729</v>
      </c>
      <c r="BG203" s="87">
        <v>0.41496796738497377</v>
      </c>
    </row>
    <row r="204" spans="3:59" x14ac:dyDescent="0.2">
      <c r="C204" s="29">
        <v>69</v>
      </c>
      <c r="F204" s="87">
        <v>0.24949899799599198</v>
      </c>
      <c r="G204" s="87">
        <v>0.25732484076433121</v>
      </c>
      <c r="H204" s="87">
        <v>0.26516758591429784</v>
      </c>
      <c r="I204" s="87">
        <v>0.27245380318006018</v>
      </c>
      <c r="J204" s="87">
        <v>0.27943024717218268</v>
      </c>
      <c r="K204" s="87">
        <v>0.28589473684210526</v>
      </c>
      <c r="L204" s="87">
        <v>0.29187192118226601</v>
      </c>
      <c r="M204" s="87">
        <v>0.29746070133010882</v>
      </c>
      <c r="N204" s="87">
        <v>0.30271317829457367</v>
      </c>
      <c r="O204" s="87">
        <v>0.30777988614800761</v>
      </c>
      <c r="P204" s="87">
        <v>0.31231563421828906</v>
      </c>
      <c r="Q204" s="87">
        <v>0.31646932185145316</v>
      </c>
      <c r="R204" s="87">
        <v>0.32083480721613017</v>
      </c>
      <c r="S204" s="87">
        <v>0.32432432432432434</v>
      </c>
      <c r="T204" s="87">
        <v>0.32789613848202398</v>
      </c>
      <c r="U204" s="87">
        <v>0.3312142403051494</v>
      </c>
      <c r="V204" s="87">
        <v>0.33406113537117904</v>
      </c>
      <c r="W204" s="87">
        <v>0.3369497830130192</v>
      </c>
      <c r="X204" s="87">
        <v>0.3392461197339246</v>
      </c>
      <c r="Y204" s="87">
        <v>0.34165571616294349</v>
      </c>
      <c r="Z204" s="87">
        <v>0.34369831293417136</v>
      </c>
      <c r="AA204" s="87">
        <v>0.34580351333767079</v>
      </c>
      <c r="AB204" s="87">
        <v>0.34741935483870967</v>
      </c>
      <c r="AC204" s="87">
        <v>0.34898477157360408</v>
      </c>
      <c r="AD204" s="87">
        <v>0.3504761904761905</v>
      </c>
      <c r="AE204" s="87">
        <v>0.35173259736277218</v>
      </c>
      <c r="AF204" s="87">
        <v>0.35301468291159011</v>
      </c>
      <c r="AG204" s="87">
        <v>0.35421375524701326</v>
      </c>
      <c r="AH204" s="87">
        <v>0.35518394648829432</v>
      </c>
      <c r="AI204" s="87">
        <v>0.35572572224155935</v>
      </c>
      <c r="AJ204" s="87">
        <v>0.35654393000364565</v>
      </c>
      <c r="AK204" s="87">
        <v>0.35740335521517141</v>
      </c>
      <c r="AL204" s="87">
        <v>0.35787923416789397</v>
      </c>
      <c r="AM204" s="87">
        <v>0.35831548893647397</v>
      </c>
      <c r="AN204" s="87">
        <v>0.35867237687366166</v>
      </c>
      <c r="AO204" s="87">
        <v>0.3591474245115453</v>
      </c>
      <c r="AP204" s="87">
        <v>0.35957004160887657</v>
      </c>
      <c r="AQ204" s="87">
        <v>0.35968781812012218</v>
      </c>
      <c r="AR204" s="87">
        <v>0.3598790322580645</v>
      </c>
      <c r="AS204" s="87">
        <v>0.36001317523056653</v>
      </c>
      <c r="AT204" s="87">
        <v>0.36016949152542371</v>
      </c>
      <c r="AU204" s="87">
        <v>0.36046879949318972</v>
      </c>
      <c r="AV204" s="87">
        <v>0.36042296072507551</v>
      </c>
      <c r="AW204" s="87">
        <v>0.36035502958579879</v>
      </c>
      <c r="AX204" s="87">
        <v>0.36045197740112994</v>
      </c>
      <c r="AY204" s="87">
        <v>0.36059275521405049</v>
      </c>
      <c r="AZ204" s="87">
        <v>0.36049452093284629</v>
      </c>
      <c r="BA204" s="87">
        <v>0.36067415730337077</v>
      </c>
      <c r="BB204" s="87">
        <v>0.36073059360730592</v>
      </c>
      <c r="BC204" s="87">
        <v>0.36068376068376068</v>
      </c>
      <c r="BD204" s="87">
        <v>0.36061307113938695</v>
      </c>
      <c r="BE204" s="87">
        <v>0.36062265782646297</v>
      </c>
      <c r="BF204" s="87">
        <v>0.3605600933488915</v>
      </c>
      <c r="BG204" s="87">
        <v>0.36077844311377244</v>
      </c>
    </row>
    <row r="205" spans="3:59" x14ac:dyDescent="0.2">
      <c r="C205" s="29">
        <v>70</v>
      </c>
      <c r="F205" s="87">
        <v>0.22452229299363058</v>
      </c>
      <c r="G205" s="87">
        <v>0.23170116102978294</v>
      </c>
      <c r="H205" s="87">
        <v>0.23907455012853471</v>
      </c>
      <c r="I205" s="87">
        <v>0.24550898203592814</v>
      </c>
      <c r="J205" s="87">
        <v>0.25173310225303291</v>
      </c>
      <c r="K205" s="87">
        <v>0.25760135135135137</v>
      </c>
      <c r="L205" s="87">
        <v>0.26262197708952056</v>
      </c>
      <c r="M205" s="87">
        <v>0.26799007444168732</v>
      </c>
      <c r="N205" s="87">
        <v>0.27272727272727271</v>
      </c>
      <c r="O205" s="87">
        <v>0.27712724434035907</v>
      </c>
      <c r="P205" s="87">
        <v>0.28151260504201681</v>
      </c>
      <c r="Q205" s="87">
        <v>0.28534322820037106</v>
      </c>
      <c r="R205" s="87">
        <v>0.28891296496930302</v>
      </c>
      <c r="S205" s="87">
        <v>0.29227483090067641</v>
      </c>
      <c r="T205" s="87">
        <v>0.29537729435757987</v>
      </c>
      <c r="U205" s="87">
        <v>0.29829260127217944</v>
      </c>
      <c r="V205" s="87">
        <v>0.30115089514066495</v>
      </c>
      <c r="W205" s="87">
        <v>0.30363864491844417</v>
      </c>
      <c r="X205" s="87">
        <v>0.30579800498753118</v>
      </c>
      <c r="Y205" s="87">
        <v>0.3078637376631646</v>
      </c>
      <c r="Z205" s="87">
        <v>0.31000330141961041</v>
      </c>
      <c r="AA205" s="87">
        <v>0.31173147224991693</v>
      </c>
      <c r="AB205" s="87">
        <v>0.3130718954248366</v>
      </c>
      <c r="AC205" s="87">
        <v>0.31464679196370704</v>
      </c>
      <c r="AD205" s="87">
        <v>0.31580624601657109</v>
      </c>
      <c r="AE205" s="87">
        <v>0.31718202103920945</v>
      </c>
      <c r="AF205" s="87">
        <v>0.3181398213735756</v>
      </c>
      <c r="AG205" s="87">
        <v>0.31922232674819695</v>
      </c>
      <c r="AH205" s="87">
        <v>0.31993517017828199</v>
      </c>
      <c r="AI205" s="87">
        <v>0.32057737495803962</v>
      </c>
      <c r="AJ205" s="87">
        <v>0.32134125043660494</v>
      </c>
      <c r="AK205" s="87">
        <v>0.32187271397220191</v>
      </c>
      <c r="AL205" s="87">
        <v>0.32260424286759326</v>
      </c>
      <c r="AM205" s="87">
        <v>0.3227474150664697</v>
      </c>
      <c r="AN205" s="87">
        <v>0.32330827067669171</v>
      </c>
      <c r="AO205" s="87">
        <v>0.32355046528274872</v>
      </c>
      <c r="AP205" s="87">
        <v>0.32383327395796224</v>
      </c>
      <c r="AQ205" s="87">
        <v>0.32394855752519985</v>
      </c>
      <c r="AR205" s="87">
        <v>0.32448979591836735</v>
      </c>
      <c r="AS205" s="87">
        <v>0.3243516335466487</v>
      </c>
      <c r="AT205" s="87">
        <v>0.32463672391017173</v>
      </c>
      <c r="AU205" s="87">
        <v>0.32473048023521722</v>
      </c>
      <c r="AV205" s="87">
        <v>0.32476190476190475</v>
      </c>
      <c r="AW205" s="87">
        <v>0.32485619134120497</v>
      </c>
      <c r="AX205" s="87">
        <v>0.32493329380373553</v>
      </c>
      <c r="AY205" s="87">
        <v>0.32502831257078141</v>
      </c>
      <c r="AZ205" s="87">
        <v>0.32499312620291448</v>
      </c>
      <c r="BA205" s="87">
        <v>0.32488738738738737</v>
      </c>
      <c r="BB205" s="87">
        <v>0.32507739938080493</v>
      </c>
      <c r="BC205" s="87">
        <v>0.32504288164665524</v>
      </c>
      <c r="BD205" s="87">
        <v>0.32505707762557079</v>
      </c>
      <c r="BE205" s="87">
        <v>0.32493483927019984</v>
      </c>
      <c r="BF205" s="87">
        <v>0.32505773672055427</v>
      </c>
      <c r="BG205" s="87">
        <v>0.32486123283669294</v>
      </c>
    </row>
    <row r="206" spans="3:59" x14ac:dyDescent="0.2">
      <c r="C206" s="29">
        <v>71</v>
      </c>
      <c r="F206" s="87">
        <v>0.18693181818181817</v>
      </c>
      <c r="G206" s="87">
        <v>0.19335832886984466</v>
      </c>
      <c r="H206" s="87">
        <v>0.19928644240570845</v>
      </c>
      <c r="I206" s="87">
        <v>0.20501730103806229</v>
      </c>
      <c r="J206" s="87">
        <v>0.21027633851468047</v>
      </c>
      <c r="K206" s="87">
        <v>0.21547202797202797</v>
      </c>
      <c r="L206" s="87">
        <v>0.22018739352640546</v>
      </c>
      <c r="M206" s="87">
        <v>0.22464698331193839</v>
      </c>
      <c r="N206" s="87">
        <v>0.22884535223009586</v>
      </c>
      <c r="O206" s="87">
        <v>0.23281505728314239</v>
      </c>
      <c r="P206" s="87">
        <v>0.23672827369248919</v>
      </c>
      <c r="Q206" s="87">
        <v>0.24018475750577367</v>
      </c>
      <c r="R206" s="87">
        <v>0.24336448598130841</v>
      </c>
      <c r="S206" s="87">
        <v>0.24618181818181817</v>
      </c>
      <c r="T206" s="87">
        <v>0.24910394265232974</v>
      </c>
      <c r="U206" s="87">
        <v>0.25154004106776179</v>
      </c>
      <c r="V206" s="87">
        <v>0.25404312668463613</v>
      </c>
      <c r="W206" s="87">
        <v>0.25611325611325614</v>
      </c>
      <c r="X206" s="87">
        <v>0.25812559166929633</v>
      </c>
      <c r="Y206" s="87">
        <v>0.2598746081504702</v>
      </c>
      <c r="Z206" s="87">
        <v>0.26160742875440279</v>
      </c>
      <c r="AA206" s="87">
        <v>0.26319283106538333</v>
      </c>
      <c r="AB206" s="87">
        <v>0.26461744069495491</v>
      </c>
      <c r="AC206" s="87">
        <v>0.26576872536136664</v>
      </c>
      <c r="AD206" s="87">
        <v>0.26701400195376102</v>
      </c>
      <c r="AE206" s="87">
        <v>0.2680115273775216</v>
      </c>
      <c r="AF206" s="87">
        <v>0.26897214217098941</v>
      </c>
      <c r="AG206" s="87">
        <v>0.26971852768326632</v>
      </c>
      <c r="AH206" s="87">
        <v>0.2705511811023622</v>
      </c>
      <c r="AI206" s="87">
        <v>0.27115885416666669</v>
      </c>
      <c r="AJ206" s="87">
        <v>0.27199191102123355</v>
      </c>
      <c r="AK206" s="87">
        <v>0.27244039270687237</v>
      </c>
      <c r="AL206" s="87">
        <v>0.27276064610866374</v>
      </c>
      <c r="AM206" s="87">
        <v>0.27312775330396477</v>
      </c>
      <c r="AN206" s="87">
        <v>0.27343460540941089</v>
      </c>
      <c r="AO206" s="87">
        <v>0.27370689655172414</v>
      </c>
      <c r="AP206" s="87">
        <v>0.27396768402154398</v>
      </c>
      <c r="AQ206" s="87">
        <v>0.27438370846730975</v>
      </c>
      <c r="AR206" s="87">
        <v>0.27440725244072522</v>
      </c>
      <c r="AS206" s="87">
        <v>0.27465029000341179</v>
      </c>
      <c r="AT206" s="87">
        <v>0.27456940222897669</v>
      </c>
      <c r="AU206" s="87">
        <v>0.27483443708609273</v>
      </c>
      <c r="AV206" s="87">
        <v>0.27481166066164431</v>
      </c>
      <c r="AW206" s="87">
        <v>0.27498408656906431</v>
      </c>
      <c r="AX206" s="87">
        <v>0.27504553734061932</v>
      </c>
      <c r="AY206" s="87">
        <v>0.27488855869242201</v>
      </c>
      <c r="AZ206" s="87">
        <v>0.27497162315550511</v>
      </c>
      <c r="BA206" s="87">
        <v>0.27508269018743109</v>
      </c>
      <c r="BB206" s="87">
        <v>0.27511286681715574</v>
      </c>
      <c r="BC206" s="87">
        <v>0.27495769881556681</v>
      </c>
      <c r="BD206" s="87">
        <v>0.27499283872815811</v>
      </c>
      <c r="BE206" s="87">
        <v>0.27509293680297398</v>
      </c>
      <c r="BF206" s="87">
        <v>0.2751015670342426</v>
      </c>
      <c r="BG206" s="87">
        <v>0.27509401214926238</v>
      </c>
    </row>
    <row r="207" spans="3:59" x14ac:dyDescent="0.2">
      <c r="C207" s="29">
        <v>72</v>
      </c>
      <c r="F207" s="87">
        <v>0.15364916773367476</v>
      </c>
      <c r="G207" s="87">
        <v>0.15949512335054503</v>
      </c>
      <c r="H207" s="87">
        <v>0.16459122902003248</v>
      </c>
      <c r="I207" s="87">
        <v>0.16950025759917567</v>
      </c>
      <c r="J207" s="87">
        <v>0.1743881118881119</v>
      </c>
      <c r="K207" s="87">
        <v>0.17880505887483647</v>
      </c>
      <c r="L207" s="87">
        <v>0.18270079435127978</v>
      </c>
      <c r="M207" s="87">
        <v>0.18658641444539983</v>
      </c>
      <c r="N207" s="87">
        <v>0.19041450777202074</v>
      </c>
      <c r="O207" s="87">
        <v>0.19394194362641987</v>
      </c>
      <c r="P207" s="87">
        <v>0.19686339248865042</v>
      </c>
      <c r="Q207" s="87">
        <v>0.19992066640222134</v>
      </c>
      <c r="R207" s="87">
        <v>0.20256111757857975</v>
      </c>
      <c r="S207" s="87">
        <v>0.20535041446872646</v>
      </c>
      <c r="T207" s="87">
        <v>0.2074019787467937</v>
      </c>
      <c r="U207" s="87">
        <v>0.20974729241877257</v>
      </c>
      <c r="V207" s="87">
        <v>0.21199586349534644</v>
      </c>
      <c r="W207" s="87">
        <v>0.21377672209026127</v>
      </c>
      <c r="X207" s="87">
        <v>0.21541950113378686</v>
      </c>
      <c r="Y207" s="87">
        <v>0.21696315120711562</v>
      </c>
      <c r="Z207" s="87">
        <v>0.21836541495739981</v>
      </c>
      <c r="AA207" s="87">
        <v>0.21971649484536082</v>
      </c>
      <c r="AB207" s="87">
        <v>0.22103505843071786</v>
      </c>
      <c r="AC207" s="87">
        <v>0.22211021505376344</v>
      </c>
      <c r="AD207" s="87">
        <v>0.22299306243805747</v>
      </c>
      <c r="AE207" s="87">
        <v>0.22396856581532418</v>
      </c>
      <c r="AF207" s="87">
        <v>0.22472633612363169</v>
      </c>
      <c r="AG207" s="87">
        <v>0.22561956871580302</v>
      </c>
      <c r="AH207" s="87">
        <v>0.22629779297482125</v>
      </c>
      <c r="AI207" s="87">
        <v>0.22658227848101264</v>
      </c>
      <c r="AJ207" s="87">
        <v>0.22727272727272727</v>
      </c>
      <c r="AK207" s="87">
        <v>0.22782667569397427</v>
      </c>
      <c r="AL207" s="87">
        <v>0.22816901408450704</v>
      </c>
      <c r="AM207" s="87">
        <v>0.22852930335422042</v>
      </c>
      <c r="AN207" s="87">
        <v>0.22889789900479174</v>
      </c>
      <c r="AO207" s="87">
        <v>0.22916666666666666</v>
      </c>
      <c r="AP207" s="87">
        <v>0.22927180966113914</v>
      </c>
      <c r="AQ207" s="87">
        <v>0.22918918918918918</v>
      </c>
      <c r="AR207" s="87">
        <v>0.22947292936536393</v>
      </c>
      <c r="AS207" s="87">
        <v>0.22953114065780267</v>
      </c>
      <c r="AT207" s="87">
        <v>0.229637234770705</v>
      </c>
      <c r="AU207" s="87">
        <v>0.22975262622839715</v>
      </c>
      <c r="AV207" s="87">
        <v>0.22982397874460311</v>
      </c>
      <c r="AW207" s="87">
        <v>0.22996057818659657</v>
      </c>
      <c r="AX207" s="87">
        <v>0.22981168209383976</v>
      </c>
      <c r="AY207" s="87">
        <v>0.22983257229832571</v>
      </c>
      <c r="AZ207" s="87">
        <v>0.23010432190760061</v>
      </c>
      <c r="BA207" s="87">
        <v>0.22993739328400684</v>
      </c>
      <c r="BB207" s="87">
        <v>0.22989776181265542</v>
      </c>
      <c r="BC207" s="87">
        <v>0.22998585572842997</v>
      </c>
      <c r="BD207" s="87">
        <v>0.22985581000848176</v>
      </c>
      <c r="BE207" s="87">
        <v>0.23004020677771395</v>
      </c>
      <c r="BF207" s="87">
        <v>0.22986529091430211</v>
      </c>
      <c r="BG207" s="87">
        <v>0.23000872346612386</v>
      </c>
    </row>
    <row r="208" spans="3:59" x14ac:dyDescent="0.2">
      <c r="C208" s="29">
        <v>73</v>
      </c>
      <c r="F208" s="87">
        <v>0.12645687645687645</v>
      </c>
      <c r="G208" s="87">
        <v>0.13147668393782383</v>
      </c>
      <c r="H208" s="87">
        <v>0.13596746077861707</v>
      </c>
      <c r="I208" s="87">
        <v>0.14082191780821918</v>
      </c>
      <c r="J208" s="87">
        <v>0.14486711829077645</v>
      </c>
      <c r="K208" s="87">
        <v>0.14898320070733864</v>
      </c>
      <c r="L208" s="87">
        <v>0.15255731922398588</v>
      </c>
      <c r="M208" s="87">
        <v>0.15611061552185548</v>
      </c>
      <c r="N208" s="87">
        <v>0.15942658557775846</v>
      </c>
      <c r="O208" s="87">
        <v>0.16223288268643699</v>
      </c>
      <c r="P208" s="87">
        <v>0.16525063721325403</v>
      </c>
      <c r="Q208" s="87">
        <v>0.16791666666666666</v>
      </c>
      <c r="R208" s="87">
        <v>0.17053642914331466</v>
      </c>
      <c r="S208" s="87">
        <v>0.17267032106499608</v>
      </c>
      <c r="T208" s="87">
        <v>0.17483846446218168</v>
      </c>
      <c r="U208" s="87">
        <v>0.17664449371766444</v>
      </c>
      <c r="V208" s="87">
        <v>0.17874044412085913</v>
      </c>
      <c r="W208" s="87">
        <v>0.18033356497567754</v>
      </c>
      <c r="X208" s="87">
        <v>0.18194254445964433</v>
      </c>
      <c r="Y208" s="87">
        <v>0.18342036553524804</v>
      </c>
      <c r="Z208" s="87">
        <v>0.18464</v>
      </c>
      <c r="AA208" s="87">
        <v>0.18589132507149667</v>
      </c>
      <c r="AB208" s="87">
        <v>0.18689162881245944</v>
      </c>
      <c r="AC208" s="87">
        <v>0.18789915966386556</v>
      </c>
      <c r="AD208" s="87">
        <v>0.18870476834629693</v>
      </c>
      <c r="AE208" s="87">
        <v>0.18949468085106383</v>
      </c>
      <c r="AF208" s="87">
        <v>0.19038208168642951</v>
      </c>
      <c r="AG208" s="87">
        <v>0.19106217616580312</v>
      </c>
      <c r="AH208" s="87">
        <v>0.19164778245386857</v>
      </c>
      <c r="AI208" s="87">
        <v>0.19193497968115036</v>
      </c>
      <c r="AJ208" s="87">
        <v>0.1924912503977092</v>
      </c>
      <c r="AK208" s="87">
        <v>0.19296515450361604</v>
      </c>
      <c r="AL208" s="87">
        <v>0.19326301463082682</v>
      </c>
      <c r="AM208" s="87">
        <v>0.19355980184005661</v>
      </c>
      <c r="AN208" s="87">
        <v>0.19370370370370371</v>
      </c>
      <c r="AO208" s="87">
        <v>0.19400222139948167</v>
      </c>
      <c r="AP208" s="87">
        <v>0.1942472917444901</v>
      </c>
      <c r="AQ208" s="87">
        <v>0.1944243301955105</v>
      </c>
      <c r="AR208" s="87">
        <v>0.19471588852696345</v>
      </c>
      <c r="AS208" s="87">
        <v>0.19474442044636428</v>
      </c>
      <c r="AT208" s="87">
        <v>0.19459079733052337</v>
      </c>
      <c r="AU208" s="87">
        <v>0.194778426657506</v>
      </c>
      <c r="AV208" s="87">
        <v>0.19483168990139407</v>
      </c>
      <c r="AW208" s="87">
        <v>0.19500000000000001</v>
      </c>
      <c r="AX208" s="87">
        <v>0.19485657764589515</v>
      </c>
      <c r="AY208" s="87">
        <v>0.19500480307396734</v>
      </c>
      <c r="AZ208" s="87">
        <v>0.19486866218692731</v>
      </c>
      <c r="BA208" s="87">
        <v>0.19491778774289986</v>
      </c>
      <c r="BB208" s="87">
        <v>0.19497573508421354</v>
      </c>
      <c r="BC208" s="87">
        <v>0.1951219512195122</v>
      </c>
      <c r="BD208" s="87">
        <v>0.19489361702127658</v>
      </c>
      <c r="BE208" s="87">
        <v>0.19506662886305642</v>
      </c>
      <c r="BF208" s="87">
        <v>0.19493233515692485</v>
      </c>
      <c r="BG208" s="87">
        <v>0.19511494252873562</v>
      </c>
    </row>
    <row r="209" spans="1:59" x14ac:dyDescent="0.2">
      <c r="C209" s="29">
        <v>74</v>
      </c>
      <c r="F209" s="87">
        <v>0.10822249093107618</v>
      </c>
      <c r="G209" s="87">
        <v>0.1127508854781582</v>
      </c>
      <c r="H209" s="87">
        <v>0.11687458962573867</v>
      </c>
      <c r="I209" s="87">
        <v>0.12065921130076515</v>
      </c>
      <c r="J209" s="87">
        <v>0.1243753470294281</v>
      </c>
      <c r="K209" s="87">
        <v>0.12770448548812666</v>
      </c>
      <c r="L209" s="87">
        <v>0.13115487914055507</v>
      </c>
      <c r="M209" s="87">
        <v>0.13431503792949576</v>
      </c>
      <c r="N209" s="87">
        <v>0.13718411552346571</v>
      </c>
      <c r="O209" s="87">
        <v>0.13971880492091387</v>
      </c>
      <c r="P209" s="87">
        <v>0.1419753086419753</v>
      </c>
      <c r="Q209" s="87">
        <v>0.14426792614856163</v>
      </c>
      <c r="R209" s="87">
        <v>0.14646464646464646</v>
      </c>
      <c r="S209" s="87">
        <v>0.14880711686211079</v>
      </c>
      <c r="T209" s="87">
        <v>0.15065243179122181</v>
      </c>
      <c r="U209" s="87">
        <v>0.1523407521105142</v>
      </c>
      <c r="V209" s="87">
        <v>0.1536740022379709</v>
      </c>
      <c r="W209" s="87">
        <v>0.15540044085231447</v>
      </c>
      <c r="X209" s="87">
        <v>0.15667718191377497</v>
      </c>
      <c r="Y209" s="87">
        <v>0.15798551224560192</v>
      </c>
      <c r="Z209" s="87">
        <v>0.15898617511520738</v>
      </c>
      <c r="AA209" s="87">
        <v>0.16</v>
      </c>
      <c r="AB209" s="87">
        <v>0.16111467008327995</v>
      </c>
      <c r="AC209" s="87">
        <v>0.16181758744687808</v>
      </c>
      <c r="AD209" s="87">
        <v>0.16254656281747376</v>
      </c>
      <c r="AE209" s="87">
        <v>0.16314713896457766</v>
      </c>
      <c r="AF209" s="87">
        <v>0.1639892904953146</v>
      </c>
      <c r="AG209" s="87">
        <v>0.16451077943615258</v>
      </c>
      <c r="AH209" s="87">
        <v>0.16492829204693613</v>
      </c>
      <c r="AI209" s="87">
        <v>0.16552623004235908</v>
      </c>
      <c r="AJ209" s="87">
        <v>0.16577540106951871</v>
      </c>
      <c r="AK209" s="87">
        <v>0.16613316261203584</v>
      </c>
      <c r="AL209" s="87">
        <v>0.16666666666666666</v>
      </c>
      <c r="AM209" s="87">
        <v>0.16666666666666666</v>
      </c>
      <c r="AN209" s="87">
        <v>0.16684453930985416</v>
      </c>
      <c r="AO209" s="87">
        <v>0.16716306775874906</v>
      </c>
      <c r="AP209" s="87">
        <v>0.16747301823595087</v>
      </c>
      <c r="AQ209" s="87">
        <v>0.16741741741741742</v>
      </c>
      <c r="AR209" s="87">
        <v>0.16769734448890505</v>
      </c>
      <c r="AS209" s="87">
        <v>0.16757542711741186</v>
      </c>
      <c r="AT209" s="87">
        <v>0.1678119349005425</v>
      </c>
      <c r="AU209" s="87">
        <v>0.16790123456790124</v>
      </c>
      <c r="AV209" s="87">
        <v>0.16804692891649414</v>
      </c>
      <c r="AW209" s="87">
        <v>0.16803278688524589</v>
      </c>
      <c r="AX209" s="87">
        <v>0.16800535475234271</v>
      </c>
      <c r="AY209" s="87">
        <v>0.16810059563203178</v>
      </c>
      <c r="AZ209" s="87">
        <v>0.1681131468981035</v>
      </c>
      <c r="BA209" s="87">
        <v>0.16799509503372165</v>
      </c>
      <c r="BB209" s="87">
        <v>0.16801680168016803</v>
      </c>
      <c r="BC209" s="87">
        <v>0.16814666284732169</v>
      </c>
      <c r="BD209" s="87">
        <v>0.16796440489432704</v>
      </c>
      <c r="BE209" s="87">
        <v>0.16794762311414746</v>
      </c>
      <c r="BF209" s="87">
        <v>0.16808873720136519</v>
      </c>
      <c r="BG209" s="87">
        <v>0.16806237366445279</v>
      </c>
    </row>
    <row r="210" spans="1:59" x14ac:dyDescent="0.2">
      <c r="C210" s="29">
        <v>75</v>
      </c>
      <c r="F210" s="87">
        <v>9.7609561752988044E-2</v>
      </c>
      <c r="G210" s="87">
        <v>0.10190300798035605</v>
      </c>
      <c r="H210" s="87">
        <v>0.10557888422315537</v>
      </c>
      <c r="I210" s="87">
        <v>0.10859427048634245</v>
      </c>
      <c r="J210" s="87">
        <v>0.11230585424133811</v>
      </c>
      <c r="K210" s="87">
        <v>0.11542792792792793</v>
      </c>
      <c r="L210" s="87">
        <v>0.1183083511777302</v>
      </c>
      <c r="M210" s="87">
        <v>0.12114337568058076</v>
      </c>
      <c r="N210" s="87">
        <v>0.12347354138398914</v>
      </c>
      <c r="O210" s="87">
        <v>0.12574302697759487</v>
      </c>
      <c r="P210" s="87">
        <v>0.12817089452603472</v>
      </c>
      <c r="Q210" s="87">
        <v>0.13035714285714287</v>
      </c>
      <c r="R210" s="87">
        <v>0.13205907906168549</v>
      </c>
      <c r="S210" s="87">
        <v>0.13415672913117546</v>
      </c>
      <c r="T210" s="87">
        <v>0.13573180703188881</v>
      </c>
      <c r="U210" s="87">
        <v>0.13709032773780974</v>
      </c>
      <c r="V210" s="87">
        <v>0.13842574641333849</v>
      </c>
      <c r="W210" s="87">
        <v>0.13984168865435356</v>
      </c>
      <c r="X210" s="87">
        <v>0.14100185528756956</v>
      </c>
      <c r="Y210" s="87">
        <v>0.14230088495575222</v>
      </c>
      <c r="Z210" s="87">
        <v>0.14345403899721448</v>
      </c>
      <c r="AA210" s="87">
        <v>0.14418604651162792</v>
      </c>
      <c r="AB210" s="87">
        <v>0.14518229166666666</v>
      </c>
      <c r="AC210" s="87">
        <v>0.14571890145395799</v>
      </c>
      <c r="AD210" s="87">
        <v>0.14671941971645236</v>
      </c>
      <c r="AE210" s="87">
        <v>0.14714919767838852</v>
      </c>
      <c r="AF210" s="87">
        <v>0.14766483516483517</v>
      </c>
      <c r="AG210" s="87">
        <v>0.1484480431848853</v>
      </c>
      <c r="AH210" s="87">
        <v>0.14868025392582693</v>
      </c>
      <c r="AI210" s="87">
        <v>0.14904793171372291</v>
      </c>
      <c r="AJ210" s="87">
        <v>0.14960629921259844</v>
      </c>
      <c r="AK210" s="87">
        <v>0.14982578397212543</v>
      </c>
      <c r="AL210" s="87">
        <v>0.15017724782468578</v>
      </c>
      <c r="AM210" s="87">
        <v>0.15041597337770382</v>
      </c>
      <c r="AN210" s="87">
        <v>0.15048209366391185</v>
      </c>
      <c r="AO210" s="87">
        <v>0.15068002863278454</v>
      </c>
      <c r="AP210" s="87">
        <v>0.15087982029202546</v>
      </c>
      <c r="AQ210" s="87">
        <v>0.15082335329341318</v>
      </c>
      <c r="AR210" s="87">
        <v>0.15100037750094375</v>
      </c>
      <c r="AS210" s="87">
        <v>0.15106071689831749</v>
      </c>
      <c r="AT210" s="87">
        <v>0.15131578947368421</v>
      </c>
      <c r="AU210" s="87">
        <v>0.15121773900399854</v>
      </c>
      <c r="AV210" s="87">
        <v>0.15136476426799009</v>
      </c>
      <c r="AW210" s="87">
        <v>0.15147313691507799</v>
      </c>
      <c r="AX210" s="87">
        <v>0.15128644939965694</v>
      </c>
      <c r="AY210" s="87">
        <v>0.15126050420168066</v>
      </c>
      <c r="AZ210" s="87">
        <v>0.15126329787234041</v>
      </c>
      <c r="BA210" s="87">
        <v>0.1514368743945754</v>
      </c>
      <c r="BB210" s="87">
        <v>0.15143120960295475</v>
      </c>
      <c r="BC210" s="87">
        <v>0.15155167219041879</v>
      </c>
      <c r="BD210" s="87">
        <v>0.15156744319815935</v>
      </c>
      <c r="BE210" s="87">
        <v>0.15131211613623674</v>
      </c>
      <c r="BF210" s="87">
        <v>0.15142857142857144</v>
      </c>
      <c r="BG210" s="87">
        <v>0.1512988866685698</v>
      </c>
    </row>
    <row r="211" spans="1:59" x14ac:dyDescent="0.2">
      <c r="C211" s="29">
        <v>76</v>
      </c>
      <c r="F211" s="87">
        <v>8.7564385577630605E-2</v>
      </c>
      <c r="G211" s="87">
        <v>9.1154625253207291E-2</v>
      </c>
      <c r="H211" s="87">
        <v>9.4316052467207992E-2</v>
      </c>
      <c r="I211" s="87">
        <v>9.7010372178157417E-2</v>
      </c>
      <c r="J211" s="87">
        <v>9.959349593495935E-2</v>
      </c>
      <c r="K211" s="87">
        <v>0.10261080752884032</v>
      </c>
      <c r="L211" s="87">
        <v>0.10526315789473684</v>
      </c>
      <c r="M211" s="87">
        <v>0.10760869565217392</v>
      </c>
      <c r="N211" s="87">
        <v>0.10962690004606172</v>
      </c>
      <c r="O211" s="87">
        <v>0.11151904543368518</v>
      </c>
      <c r="P211" s="87">
        <v>0.11363636363636363</v>
      </c>
      <c r="Q211" s="87">
        <v>0.11552346570397112</v>
      </c>
      <c r="R211" s="87">
        <v>0.11719457013574661</v>
      </c>
      <c r="S211" s="87">
        <v>0.11839788732394366</v>
      </c>
      <c r="T211" s="87">
        <v>0.1198792583009918</v>
      </c>
      <c r="U211" s="87">
        <v>0.12132505175983437</v>
      </c>
      <c r="V211" s="87">
        <v>0.12257281553398058</v>
      </c>
      <c r="W211" s="87">
        <v>0.12362637362637363</v>
      </c>
      <c r="X211" s="87">
        <v>0.12466641250476554</v>
      </c>
      <c r="Y211" s="87">
        <v>0.12570356472795496</v>
      </c>
      <c r="Z211" s="87">
        <v>0.12665474060822898</v>
      </c>
      <c r="AA211" s="87">
        <v>0.12737508796622096</v>
      </c>
      <c r="AB211" s="87">
        <v>0.12818791946308725</v>
      </c>
      <c r="AC211" s="87">
        <v>0.12853385930309008</v>
      </c>
      <c r="AD211" s="87">
        <v>0.12920065252854812</v>
      </c>
      <c r="AE211" s="87">
        <v>0.12978369384359401</v>
      </c>
      <c r="AF211" s="87">
        <v>0.13025499655410061</v>
      </c>
      <c r="AG211" s="87">
        <v>0.13063063063063063</v>
      </c>
      <c r="AH211" s="87">
        <v>0.1309969377339231</v>
      </c>
      <c r="AI211" s="87">
        <v>0.13140161725067384</v>
      </c>
      <c r="AJ211" s="87">
        <v>0.13174445547831845</v>
      </c>
      <c r="AK211" s="87">
        <v>0.13198809130003308</v>
      </c>
      <c r="AL211" s="87">
        <v>0.13214171720395787</v>
      </c>
      <c r="AM211" s="87">
        <v>0.13246753246753246</v>
      </c>
      <c r="AN211" s="87">
        <v>0.13275226282266175</v>
      </c>
      <c r="AO211" s="87">
        <v>0.13284772806104753</v>
      </c>
      <c r="AP211" s="87">
        <v>0.13297297297297297</v>
      </c>
      <c r="AQ211" s="87">
        <v>0.13305691669807765</v>
      </c>
      <c r="AR211" s="87">
        <v>0.13295668549905837</v>
      </c>
      <c r="AS211" s="87">
        <v>0.13335866261398177</v>
      </c>
      <c r="AT211" s="87">
        <v>0.1332351858667648</v>
      </c>
      <c r="AU211" s="87">
        <v>0.13345588235294117</v>
      </c>
      <c r="AV211" s="87">
        <v>0.13345521023765997</v>
      </c>
      <c r="AW211" s="87">
        <v>0.13333333333333333</v>
      </c>
      <c r="AX211" s="87">
        <v>0.13349599163471593</v>
      </c>
      <c r="AY211" s="87">
        <v>0.13349430838220075</v>
      </c>
      <c r="AZ211" s="87">
        <v>0.1334910442717134</v>
      </c>
      <c r="BA211" s="87">
        <v>0.13331105913798863</v>
      </c>
      <c r="BB211" s="87">
        <v>0.13335496430889032</v>
      </c>
      <c r="BC211" s="87">
        <v>0.13331271265078873</v>
      </c>
      <c r="BD211" s="87">
        <v>0.13347457627118645</v>
      </c>
      <c r="BE211" s="87">
        <v>0.13348743137821439</v>
      </c>
      <c r="BF211" s="87">
        <v>0.1334828939988783</v>
      </c>
      <c r="BG211" s="87">
        <v>0.13342898134863701</v>
      </c>
    </row>
    <row r="212" spans="1:59" x14ac:dyDescent="0.2">
      <c r="C212" s="29">
        <v>77</v>
      </c>
      <c r="F212" s="87">
        <v>7.8678206136900075E-2</v>
      </c>
      <c r="G212" s="87">
        <v>8.1020255063765936E-2</v>
      </c>
      <c r="H212" s="87">
        <v>8.4079944865609921E-2</v>
      </c>
      <c r="I212" s="87">
        <v>8.6624203821656046E-2</v>
      </c>
      <c r="J212" s="87">
        <v>8.8930348258706465E-2</v>
      </c>
      <c r="K212" s="87">
        <v>9.1097308488612833E-2</v>
      </c>
      <c r="L212" s="87">
        <v>9.3382807668521958E-2</v>
      </c>
      <c r="M212" s="87">
        <v>9.5515433896330812E-2</v>
      </c>
      <c r="N212" s="87">
        <v>9.7291321171918188E-2</v>
      </c>
      <c r="O212" s="87">
        <v>9.8829039812646374E-2</v>
      </c>
      <c r="P212" s="87">
        <v>0.10027985074626866</v>
      </c>
      <c r="Q212" s="87">
        <v>0.10226201696512724</v>
      </c>
      <c r="R212" s="87">
        <v>0.10352725606962895</v>
      </c>
      <c r="S212" s="87">
        <v>0.10473128158015618</v>
      </c>
      <c r="T212" s="87">
        <v>0.10585082626172398</v>
      </c>
      <c r="U212" s="87">
        <v>0.10717410323709536</v>
      </c>
      <c r="V212" s="87">
        <v>0.10831234256926953</v>
      </c>
      <c r="W212" s="87">
        <v>0.1090610906109061</v>
      </c>
      <c r="X212" s="87">
        <v>0.11013916500994035</v>
      </c>
      <c r="Y212" s="87">
        <v>0.11081081081081082</v>
      </c>
      <c r="Z212" s="87">
        <v>0.11170212765957446</v>
      </c>
      <c r="AA212" s="87">
        <v>0.11227816008692502</v>
      </c>
      <c r="AB212" s="87">
        <v>0.1128917378917379</v>
      </c>
      <c r="AC212" s="87">
        <v>0.11337406653088934</v>
      </c>
      <c r="AD212" s="87">
        <v>0.11402925531914894</v>
      </c>
      <c r="AE212" s="87">
        <v>0.11444591029023747</v>
      </c>
      <c r="AF212" s="87">
        <v>0.11503531786074672</v>
      </c>
      <c r="AG212" s="87">
        <v>0.11525069637883008</v>
      </c>
      <c r="AH212" s="87">
        <v>0.11550577528876443</v>
      </c>
      <c r="AI212" s="87">
        <v>0.11580756013745705</v>
      </c>
      <c r="AJ212" s="87">
        <v>0.11602585913576047</v>
      </c>
      <c r="AK212" s="87">
        <v>0.11627129969929836</v>
      </c>
      <c r="AL212" s="87">
        <v>0.1164886515353805</v>
      </c>
      <c r="AM212" s="87">
        <v>0.11690821256038647</v>
      </c>
      <c r="AN212" s="87">
        <v>0.11693416311824435</v>
      </c>
      <c r="AO212" s="87">
        <v>0.1169709263015551</v>
      </c>
      <c r="AP212" s="87">
        <v>0.11713286713286714</v>
      </c>
      <c r="AQ212" s="87">
        <v>0.1173265528514348</v>
      </c>
      <c r="AR212" s="87">
        <v>0.11740121580547112</v>
      </c>
      <c r="AS212" s="87">
        <v>0.11726755218216318</v>
      </c>
      <c r="AT212" s="87">
        <v>0.11748947569843092</v>
      </c>
      <c r="AU212" s="87">
        <v>0.11749444032616753</v>
      </c>
      <c r="AV212" s="87">
        <v>0.1173639392817475</v>
      </c>
      <c r="AW212" s="87">
        <v>0.11740890688259109</v>
      </c>
      <c r="AX212" s="87">
        <v>0.11768927161822748</v>
      </c>
      <c r="AY212" s="87">
        <v>0.11750263065591021</v>
      </c>
      <c r="AZ212" s="87">
        <v>0.1176674765706352</v>
      </c>
      <c r="BA212" s="87">
        <v>0.11764705882352941</v>
      </c>
      <c r="BB212" s="87">
        <v>0.11760752688172044</v>
      </c>
      <c r="BC212" s="87">
        <v>0.11745513866231648</v>
      </c>
      <c r="BD212" s="87">
        <v>0.11757387247278382</v>
      </c>
      <c r="BE212" s="87">
        <v>0.11746804625684723</v>
      </c>
      <c r="BF212" s="87">
        <v>0.11762997386000582</v>
      </c>
      <c r="BG212" s="87">
        <v>0.11753100338218715</v>
      </c>
    </row>
    <row r="213" spans="1:59" x14ac:dyDescent="0.2">
      <c r="C213" s="29">
        <v>78</v>
      </c>
      <c r="F213" s="87">
        <v>6.9747899159663868E-2</v>
      </c>
      <c r="G213" s="87">
        <v>7.2405470635559133E-2</v>
      </c>
      <c r="H213" s="87">
        <v>7.444359171143515E-2</v>
      </c>
      <c r="I213" s="87">
        <v>7.6814658210007047E-2</v>
      </c>
      <c r="J213" s="87">
        <v>7.8776041666666671E-2</v>
      </c>
      <c r="K213" s="87">
        <v>8.0686149936467597E-2</v>
      </c>
      <c r="L213" s="87">
        <v>8.2452431289640596E-2</v>
      </c>
      <c r="M213" s="87">
        <v>8.4542586750788642E-2</v>
      </c>
      <c r="N213" s="87">
        <v>8.6104513064133012E-2</v>
      </c>
      <c r="O213" s="87">
        <v>8.7323943661971826E-2</v>
      </c>
      <c r="P213" s="87">
        <v>8.8740458015267171E-2</v>
      </c>
      <c r="Q213" s="87">
        <v>9.0261282660332537E-2</v>
      </c>
      <c r="R213" s="87">
        <v>9.1606714628297364E-2</v>
      </c>
      <c r="S213" s="87">
        <v>9.277389277389278E-2</v>
      </c>
      <c r="T213" s="87">
        <v>9.3881363848668853E-2</v>
      </c>
      <c r="U213" s="87">
        <v>9.4416704493871989E-2</v>
      </c>
      <c r="V213" s="87">
        <v>9.555555555555556E-2</v>
      </c>
      <c r="W213" s="87">
        <v>9.6334185848252346E-2</v>
      </c>
      <c r="X213" s="87">
        <v>9.7002497918401334E-2</v>
      </c>
      <c r="Y213" s="87">
        <v>9.7659402744148513E-2</v>
      </c>
      <c r="Z213" s="87">
        <v>9.831570701135918E-2</v>
      </c>
      <c r="AA213" s="87">
        <v>9.8998459167950692E-2</v>
      </c>
      <c r="AB213" s="87">
        <v>9.9486049926578557E-2</v>
      </c>
      <c r="AC213" s="87">
        <v>9.9963911945146158E-2</v>
      </c>
      <c r="AD213" s="87">
        <v>0.10041265474552957</v>
      </c>
      <c r="AE213" s="87">
        <v>0.10101010101010101</v>
      </c>
      <c r="AF213" s="87">
        <v>0.1011686143572621</v>
      </c>
      <c r="AG213" s="87">
        <v>0.10146407899216887</v>
      </c>
      <c r="AH213" s="87">
        <v>0.10179640718562874</v>
      </c>
      <c r="AI213" s="87">
        <v>0.10230088495575221</v>
      </c>
      <c r="AJ213" s="87">
        <v>0.10250173731758165</v>
      </c>
      <c r="AK213" s="87">
        <v>0.10247592847317744</v>
      </c>
      <c r="AL213" s="87">
        <v>0.10266801756163459</v>
      </c>
      <c r="AM213" s="87">
        <v>0.10283209710047202</v>
      </c>
      <c r="AN213" s="87">
        <v>0.10312296681847756</v>
      </c>
      <c r="AO213" s="87">
        <v>0.10317460317460317</v>
      </c>
      <c r="AP213" s="87">
        <v>0.10307167235494881</v>
      </c>
      <c r="AQ213" s="87">
        <v>0.10338743824982358</v>
      </c>
      <c r="AR213" s="87">
        <v>0.10337243401759531</v>
      </c>
      <c r="AS213" s="87">
        <v>0.10344827586206896</v>
      </c>
      <c r="AT213" s="87">
        <v>0.10332950631458095</v>
      </c>
      <c r="AU213" s="87">
        <v>0.10339506172839506</v>
      </c>
      <c r="AV213" s="87">
        <v>0.10347403810235338</v>
      </c>
      <c r="AW213" s="87">
        <v>0.10335820895522388</v>
      </c>
      <c r="AX213" s="87">
        <v>0.103486646884273</v>
      </c>
      <c r="AY213" s="87">
        <v>0.10339840925524223</v>
      </c>
      <c r="AZ213" s="87">
        <v>0.10353356890459364</v>
      </c>
      <c r="BA213" s="87">
        <v>0.10346032855644879</v>
      </c>
      <c r="BB213" s="87">
        <v>0.10373159876754535</v>
      </c>
      <c r="BC213" s="87">
        <v>0.10351826792963464</v>
      </c>
      <c r="BD213" s="87">
        <v>0.10344827586206896</v>
      </c>
      <c r="BE213" s="87">
        <v>0.10359937402190923</v>
      </c>
      <c r="BF213" s="87">
        <v>0.10352220520673813</v>
      </c>
      <c r="BG213" s="87">
        <v>0.10344827586206896</v>
      </c>
    </row>
    <row r="214" spans="1:59" x14ac:dyDescent="0.2">
      <c r="C214" s="29">
        <v>79</v>
      </c>
      <c r="F214" s="87">
        <v>6.2100456621004566E-2</v>
      </c>
      <c r="G214" s="87">
        <v>6.4655172413793108E-2</v>
      </c>
      <c r="H214" s="87">
        <v>6.6061106523534266E-2</v>
      </c>
      <c r="I214" s="87">
        <v>6.8503937007874022E-2</v>
      </c>
      <c r="J214" s="87">
        <v>7.0036101083032487E-2</v>
      </c>
      <c r="K214" s="87">
        <v>7.1333333333333332E-2</v>
      </c>
      <c r="L214" s="87">
        <v>7.3472041612483746E-2</v>
      </c>
      <c r="M214" s="87">
        <v>7.4981975486661856E-2</v>
      </c>
      <c r="N214" s="87">
        <v>7.6129032258064513E-2</v>
      </c>
      <c r="O214" s="87">
        <v>7.7669902912621352E-2</v>
      </c>
      <c r="P214" s="87">
        <v>7.8871617731721355E-2</v>
      </c>
      <c r="Q214" s="87">
        <v>7.9922027290448339E-2</v>
      </c>
      <c r="R214" s="87">
        <v>8.0950072709646145E-2</v>
      </c>
      <c r="S214" s="87">
        <v>8.170254403131115E-2</v>
      </c>
      <c r="T214" s="87">
        <v>8.2699619771863117E-2</v>
      </c>
      <c r="U214" s="87">
        <v>8.3769633507853408E-2</v>
      </c>
      <c r="V214" s="87">
        <v>8.4142394822006472E-2</v>
      </c>
      <c r="W214" s="87">
        <v>8.5067873303167424E-2</v>
      </c>
      <c r="X214" s="87">
        <v>8.5900216919739703E-2</v>
      </c>
      <c r="Y214" s="87">
        <v>8.6404066073697591E-2</v>
      </c>
      <c r="Z214" s="87">
        <v>8.6992203528929016E-2</v>
      </c>
      <c r="AA214" s="87">
        <v>8.7579617834394899E-2</v>
      </c>
      <c r="AB214" s="87">
        <v>8.8062622309197647E-2</v>
      </c>
      <c r="AC214" s="87">
        <v>8.8366890380313201E-2</v>
      </c>
      <c r="AD214" s="87">
        <v>8.8644688644688649E-2</v>
      </c>
      <c r="AE214" s="87">
        <v>8.9005235602094238E-2</v>
      </c>
      <c r="AF214" s="87">
        <v>8.9480874316939893E-2</v>
      </c>
      <c r="AG214" s="87">
        <v>8.9739248222146975E-2</v>
      </c>
      <c r="AH214" s="87">
        <v>8.9717046238785375E-2</v>
      </c>
      <c r="AI214" s="87">
        <v>8.9935760171306209E-2</v>
      </c>
      <c r="AJ214" s="87">
        <v>9.0354965937612053E-2</v>
      </c>
      <c r="AK214" s="87">
        <v>9.0429275158339192E-2</v>
      </c>
      <c r="AL214" s="87">
        <v>9.0529247910863503E-2</v>
      </c>
      <c r="AM214" s="87">
        <v>9.0567327409432671E-2</v>
      </c>
      <c r="AN214" s="87">
        <v>9.0754008870692598E-2</v>
      </c>
      <c r="AO214" s="87">
        <v>9.0819348469891412E-2</v>
      </c>
      <c r="AP214" s="87">
        <v>9.0969899665551843E-2</v>
      </c>
      <c r="AQ214" s="87">
        <v>9.1097308488612833E-2</v>
      </c>
      <c r="AR214" s="87">
        <v>9.1298145506419404E-2</v>
      </c>
      <c r="AS214" s="87">
        <v>9.1111111111111115E-2</v>
      </c>
      <c r="AT214" s="87">
        <v>9.1366627951993809E-2</v>
      </c>
      <c r="AU214" s="87">
        <v>9.1225357557015843E-2</v>
      </c>
      <c r="AV214" s="87">
        <v>9.1156992598363851E-2</v>
      </c>
      <c r="AW214" s="87">
        <v>9.1251885369532423E-2</v>
      </c>
      <c r="AX214" s="87">
        <v>9.1490963855421686E-2</v>
      </c>
      <c r="AY214" s="87">
        <v>9.1283202394313506E-2</v>
      </c>
      <c r="AZ214" s="87">
        <v>9.1174325309992713E-2</v>
      </c>
      <c r="BA214" s="87">
        <v>9.1233071988595871E-2</v>
      </c>
      <c r="BB214" s="87">
        <v>9.1293620021149102E-2</v>
      </c>
      <c r="BC214" s="87">
        <v>9.1442374051069697E-2</v>
      </c>
      <c r="BD214" s="87">
        <v>9.1405184174624829E-2</v>
      </c>
      <c r="BE214" s="87">
        <v>9.1360476663356505E-2</v>
      </c>
      <c r="BF214" s="87">
        <v>9.1453800063071591E-2</v>
      </c>
      <c r="BG214" s="87">
        <v>9.1301665638494761E-2</v>
      </c>
    </row>
    <row r="215" spans="1:59" x14ac:dyDescent="0.2">
      <c r="C215" s="29" t="s">
        <v>1267</v>
      </c>
      <c r="F215" s="87">
        <v>3.2891355740569429E-2</v>
      </c>
      <c r="G215" s="87">
        <v>3.4198350432508552E-2</v>
      </c>
      <c r="H215" s="87">
        <v>3.5294117647058823E-2</v>
      </c>
      <c r="I215" s="87">
        <v>3.6242250834525515E-2</v>
      </c>
      <c r="J215" s="87">
        <v>3.7896293557630092E-2</v>
      </c>
      <c r="K215" s="87">
        <v>3.9142425051152036E-2</v>
      </c>
      <c r="L215" s="87">
        <v>3.997278448715768E-2</v>
      </c>
      <c r="M215" s="87">
        <v>4.1480276535176899E-2</v>
      </c>
      <c r="N215" s="87">
        <v>4.1877370417193423E-2</v>
      </c>
      <c r="O215" s="87">
        <v>4.2562894276810821E-2</v>
      </c>
      <c r="P215" s="87">
        <v>4.3712662101121957E-2</v>
      </c>
      <c r="Q215" s="87">
        <v>4.4611738463683256E-2</v>
      </c>
      <c r="R215" s="87">
        <v>4.5892611289582379E-2</v>
      </c>
      <c r="S215" s="87">
        <v>4.6502976190476192E-2</v>
      </c>
      <c r="T215" s="87">
        <v>4.6615920221868175E-2</v>
      </c>
      <c r="U215" s="87">
        <v>4.7286647151542446E-2</v>
      </c>
      <c r="V215" s="87">
        <v>4.7462380669866779E-2</v>
      </c>
      <c r="W215" s="87">
        <v>4.7591950752677047E-2</v>
      </c>
      <c r="X215" s="87">
        <v>4.7718461079630181E-2</v>
      </c>
      <c r="Y215" s="87">
        <v>4.7760053491259911E-2</v>
      </c>
      <c r="Z215" s="87">
        <v>4.8249241797628892E-2</v>
      </c>
      <c r="AA215" s="87">
        <v>4.8230088495575224E-2</v>
      </c>
      <c r="AB215" s="87">
        <v>4.8605781529803022E-2</v>
      </c>
      <c r="AC215" s="87">
        <v>4.8551678736010531E-2</v>
      </c>
      <c r="AD215" s="87">
        <v>4.8799841301329104E-2</v>
      </c>
      <c r="AE215" s="87">
        <v>4.865713957319643E-2</v>
      </c>
      <c r="AF215" s="87">
        <v>4.913188031030661E-2</v>
      </c>
      <c r="AG215" s="87">
        <v>4.9224184055644729E-2</v>
      </c>
      <c r="AH215" s="87">
        <v>4.9012839983432283E-2</v>
      </c>
      <c r="AI215" s="87">
        <v>4.900808969151757E-2</v>
      </c>
      <c r="AJ215" s="87">
        <v>4.8916611950098492E-2</v>
      </c>
      <c r="AK215" s="87">
        <v>4.8610887551105819E-2</v>
      </c>
      <c r="AL215" s="87">
        <v>4.8322910744741328E-2</v>
      </c>
      <c r="AM215" s="87">
        <v>4.836609412786011E-2</v>
      </c>
      <c r="AN215" s="87">
        <v>4.810766373352008E-2</v>
      </c>
      <c r="AO215" s="87">
        <v>4.7942947892008508E-2</v>
      </c>
      <c r="AP215" s="87">
        <v>4.7963747645951037E-2</v>
      </c>
      <c r="AQ215" s="87">
        <v>4.7835792769547442E-2</v>
      </c>
      <c r="AR215" s="87">
        <v>4.7883931643537103E-2</v>
      </c>
      <c r="AS215" s="87">
        <v>4.7541776980670143E-2</v>
      </c>
      <c r="AT215" s="87">
        <v>4.7378574670903312E-2</v>
      </c>
      <c r="AU215" s="87">
        <v>4.6857694601425609E-2</v>
      </c>
      <c r="AV215" s="87">
        <v>4.661872139628756E-2</v>
      </c>
      <c r="AW215" s="87">
        <v>4.6438746438746438E-2</v>
      </c>
      <c r="AX215" s="87">
        <v>4.6449333181351873E-2</v>
      </c>
      <c r="AY215" s="87">
        <v>4.646124903799561E-2</v>
      </c>
      <c r="AZ215" s="87">
        <v>4.6465222348916764E-2</v>
      </c>
      <c r="BA215" s="87">
        <v>4.6372688477951639E-2</v>
      </c>
      <c r="BB215" s="87">
        <v>4.6470771584823323E-2</v>
      </c>
      <c r="BC215" s="87">
        <v>4.6813310772701636E-2</v>
      </c>
      <c r="BD215" s="87">
        <v>4.6776090975295503E-2</v>
      </c>
      <c r="BE215" s="87">
        <v>4.6969233762263418E-2</v>
      </c>
      <c r="BF215" s="87">
        <v>4.7032290004950766E-2</v>
      </c>
      <c r="BG215" s="87">
        <v>4.7444760742849396E-2</v>
      </c>
    </row>
    <row r="216" spans="1:59" x14ac:dyDescent="0.2">
      <c r="C216" s="76" t="s">
        <v>1268</v>
      </c>
      <c r="F216" s="88">
        <v>0.62478865500042269</v>
      </c>
      <c r="G216" s="88">
        <v>0.62497917881235943</v>
      </c>
      <c r="H216" s="88">
        <v>0.62498582868686037</v>
      </c>
      <c r="I216" s="88">
        <v>0.62466189664499405</v>
      </c>
      <c r="J216" s="88">
        <v>0.62385093921032553</v>
      </c>
      <c r="K216" s="88">
        <v>0.62286243492190629</v>
      </c>
      <c r="L216" s="88">
        <v>0.62142464041885437</v>
      </c>
      <c r="M216" s="88">
        <v>0.61960389721942721</v>
      </c>
      <c r="N216" s="88">
        <v>0.61742932089769742</v>
      </c>
      <c r="O216" s="88">
        <v>0.61539608484440378</v>
      </c>
      <c r="P216" s="88">
        <v>0.61319092605995962</v>
      </c>
      <c r="Q216" s="88">
        <v>0.61112997867964758</v>
      </c>
      <c r="R216" s="88">
        <v>0.60910174602061562</v>
      </c>
      <c r="S216" s="88">
        <v>0.60708839166933204</v>
      </c>
      <c r="T216" s="88">
        <v>0.60516875017247562</v>
      </c>
      <c r="U216" s="88">
        <v>0.60327635327635332</v>
      </c>
      <c r="V216" s="88">
        <v>0.60116754444011344</v>
      </c>
      <c r="W216" s="88">
        <v>0.59895336489137674</v>
      </c>
      <c r="X216" s="88">
        <v>0.59673931497913479</v>
      </c>
      <c r="Y216" s="88">
        <v>0.59454050912059775</v>
      </c>
      <c r="Z216" s="88">
        <v>0.59243034560566932</v>
      </c>
      <c r="AA216" s="88">
        <v>0.59036819753951231</v>
      </c>
      <c r="AB216" s="88">
        <v>0.58844306792873047</v>
      </c>
      <c r="AC216" s="88">
        <v>0.5866196361184236</v>
      </c>
      <c r="AD216" s="88">
        <v>0.58508531088739646</v>
      </c>
      <c r="AE216" s="88">
        <v>0.58370816513957413</v>
      </c>
      <c r="AF216" s="88">
        <v>0.58261194600426458</v>
      </c>
      <c r="AG216" s="88">
        <v>0.58166593436306491</v>
      </c>
      <c r="AH216" s="88">
        <v>0.58086615894151072</v>
      </c>
      <c r="AI216" s="88">
        <v>0.58025378078158463</v>
      </c>
      <c r="AJ216" s="88">
        <v>0.57984581956226744</v>
      </c>
      <c r="AK216" s="88">
        <v>0.57948282292486841</v>
      </c>
      <c r="AL216" s="88">
        <v>0.57924383480241659</v>
      </c>
      <c r="AM216" s="88">
        <v>0.579052496167488</v>
      </c>
      <c r="AN216" s="88">
        <v>0.57883035955553008</v>
      </c>
      <c r="AO216" s="88">
        <v>0.57860919371420183</v>
      </c>
      <c r="AP216" s="88">
        <v>0.57834161334124745</v>
      </c>
      <c r="AQ216" s="88">
        <v>0.57796633520540064</v>
      </c>
      <c r="AR216" s="88">
        <v>0.57753362685301124</v>
      </c>
      <c r="AS216" s="88">
        <v>0.57691084149106242</v>
      </c>
      <c r="AT216" s="88">
        <v>0.57618326862777369</v>
      </c>
      <c r="AU216" s="88">
        <v>0.57535699845070476</v>
      </c>
      <c r="AV216" s="88">
        <v>0.57440931209158808</v>
      </c>
      <c r="AW216" s="88">
        <v>0.57339436759876605</v>
      </c>
      <c r="AX216" s="88">
        <v>0.57238296740593131</v>
      </c>
      <c r="AY216" s="88">
        <v>0.57132904226935532</v>
      </c>
      <c r="AZ216" s="88">
        <v>0.57022956514873369</v>
      </c>
      <c r="BA216" s="88">
        <v>0.56911254064864614</v>
      </c>
      <c r="BB216" s="88">
        <v>0.56800185300780071</v>
      </c>
      <c r="BC216" s="88">
        <v>0.56692478742228969</v>
      </c>
      <c r="BD216" s="88">
        <v>0.56579784597007465</v>
      </c>
      <c r="BE216" s="88">
        <v>0.56471325481281964</v>
      </c>
      <c r="BF216" s="88">
        <v>0.56360722282804843</v>
      </c>
      <c r="BG216" s="88">
        <v>0.56257738021542647</v>
      </c>
    </row>
    <row r="217" spans="1:59" x14ac:dyDescent="0.2">
      <c r="C217" s="76"/>
    </row>
    <row r="218" spans="1:59" x14ac:dyDescent="0.2">
      <c r="A218" s="76" t="s">
        <v>1271</v>
      </c>
    </row>
    <row r="219" spans="1:59" x14ac:dyDescent="0.2">
      <c r="A219" s="76" t="s">
        <v>1273</v>
      </c>
      <c r="C219" s="76" t="s">
        <v>1266</v>
      </c>
    </row>
    <row r="220" spans="1:59" x14ac:dyDescent="0.2">
      <c r="C220" s="29">
        <v>15</v>
      </c>
      <c r="F220" s="87">
        <v>0.18351477449455678</v>
      </c>
      <c r="G220" s="87">
        <v>0.18106471150781001</v>
      </c>
      <c r="H220" s="87">
        <v>0.17870339267719179</v>
      </c>
      <c r="I220" s="87">
        <v>0.17650984317650983</v>
      </c>
      <c r="J220" s="87">
        <v>0.17448343719252213</v>
      </c>
      <c r="K220" s="87">
        <v>0.17240238252812706</v>
      </c>
      <c r="L220" s="87">
        <v>0.17079530638852672</v>
      </c>
      <c r="M220" s="87">
        <v>0.16909711448960596</v>
      </c>
      <c r="N220" s="87">
        <v>0.16756272401433692</v>
      </c>
      <c r="O220" s="87">
        <v>0.16592460670822201</v>
      </c>
      <c r="P220" s="87">
        <v>0.16469194312796209</v>
      </c>
      <c r="Q220" s="87">
        <v>0.16326530612244897</v>
      </c>
      <c r="R220" s="87">
        <v>0.16201982651796779</v>
      </c>
      <c r="S220" s="87">
        <v>0.16104632839583991</v>
      </c>
      <c r="T220" s="87">
        <v>0.15993537964458804</v>
      </c>
      <c r="U220" s="87">
        <v>0.15900131406044679</v>
      </c>
      <c r="V220" s="87">
        <v>0.1579630230295167</v>
      </c>
      <c r="W220" s="87">
        <v>0.15725288831835688</v>
      </c>
      <c r="X220" s="87">
        <v>0.15648854961832062</v>
      </c>
      <c r="Y220" s="87">
        <v>0.15573770491803279</v>
      </c>
      <c r="Z220" s="87">
        <v>0.15504845264145045</v>
      </c>
      <c r="AA220" s="87">
        <v>0.1545144275519702</v>
      </c>
      <c r="AB220" s="87">
        <v>0.15382244143033291</v>
      </c>
      <c r="AC220" s="87">
        <v>0.15358675659104842</v>
      </c>
      <c r="AD220" s="87">
        <v>0.15293040293040294</v>
      </c>
      <c r="AE220" s="87">
        <v>0.15276932440657334</v>
      </c>
      <c r="AF220" s="87">
        <v>0.15239829993928355</v>
      </c>
      <c r="AG220" s="87">
        <v>0.15191024863553668</v>
      </c>
      <c r="AH220" s="87">
        <v>0.15160703456640387</v>
      </c>
      <c r="AI220" s="87">
        <v>0.15139563106796117</v>
      </c>
      <c r="AJ220" s="87">
        <v>0.15106382978723404</v>
      </c>
      <c r="AK220" s="87">
        <v>0.15108132805360949</v>
      </c>
      <c r="AL220" s="87">
        <v>0.15088576664630421</v>
      </c>
      <c r="AM220" s="87">
        <v>0.15068912710566615</v>
      </c>
      <c r="AN220" s="87">
        <v>0.15070595457335789</v>
      </c>
      <c r="AO220" s="87">
        <v>0.15032277897325547</v>
      </c>
      <c r="AP220" s="87">
        <v>0.15046153846153845</v>
      </c>
      <c r="AQ220" s="87">
        <v>0.15015384615384617</v>
      </c>
      <c r="AR220" s="87">
        <v>0.15010765918179023</v>
      </c>
      <c r="AS220" s="87">
        <v>0.15023041474654378</v>
      </c>
      <c r="AT220" s="87">
        <v>0.15004602638846271</v>
      </c>
      <c r="AU220" s="87">
        <v>0.15016855654305852</v>
      </c>
      <c r="AV220" s="87">
        <v>0.1499388004895961</v>
      </c>
      <c r="AW220" s="87">
        <v>0.15006112469437652</v>
      </c>
      <c r="AX220" s="87">
        <v>0.1499236641221374</v>
      </c>
      <c r="AY220" s="87">
        <v>0.15013732072017089</v>
      </c>
      <c r="AZ220" s="87">
        <v>0.15004574565416284</v>
      </c>
      <c r="BA220" s="87">
        <v>0.15</v>
      </c>
      <c r="BB220" s="87">
        <v>0.14995428223102714</v>
      </c>
      <c r="BC220" s="87">
        <v>0.15016752969844654</v>
      </c>
      <c r="BD220" s="87">
        <v>0.15003043213633596</v>
      </c>
      <c r="BE220" s="87">
        <v>0.15015197568389058</v>
      </c>
      <c r="BF220" s="87">
        <v>0.14987864077669902</v>
      </c>
      <c r="BG220" s="87">
        <v>0.14990914597213809</v>
      </c>
    </row>
    <row r="221" spans="1:59" x14ac:dyDescent="0.2">
      <c r="C221" s="29">
        <v>16</v>
      </c>
      <c r="F221" s="87">
        <v>0.32087424770351597</v>
      </c>
      <c r="G221" s="87">
        <v>0.31956856702619413</v>
      </c>
      <c r="H221" s="87">
        <v>0.31792273590880304</v>
      </c>
      <c r="I221" s="87">
        <v>0.31677225741913972</v>
      </c>
      <c r="J221" s="87">
        <v>0.31533620404107321</v>
      </c>
      <c r="K221" s="87">
        <v>0.31400651465798046</v>
      </c>
      <c r="L221" s="87">
        <v>0.31317778508051264</v>
      </c>
      <c r="M221" s="87">
        <v>0.31207510521204274</v>
      </c>
      <c r="N221" s="87">
        <v>0.31103575832305796</v>
      </c>
      <c r="O221" s="87">
        <v>0.30988423864648262</v>
      </c>
      <c r="P221" s="87">
        <v>0.30914454277286135</v>
      </c>
      <c r="Q221" s="87">
        <v>0.30841671571512652</v>
      </c>
      <c r="R221" s="87">
        <v>0.30750605326876512</v>
      </c>
      <c r="S221" s="87">
        <v>0.30686365035395508</v>
      </c>
      <c r="T221" s="87">
        <v>0.30610328638497653</v>
      </c>
      <c r="U221" s="87">
        <v>0.30542188001283282</v>
      </c>
      <c r="V221" s="87">
        <v>0.30495759947814743</v>
      </c>
      <c r="W221" s="87">
        <v>0.30434782608695654</v>
      </c>
      <c r="X221" s="87">
        <v>0.30401529636711283</v>
      </c>
      <c r="Y221" s="87">
        <v>0.30353758686039167</v>
      </c>
      <c r="Z221" s="87">
        <v>0.30306825297432688</v>
      </c>
      <c r="AA221" s="87">
        <v>0.30270102452654457</v>
      </c>
      <c r="AB221" s="87">
        <v>0.30261941448382124</v>
      </c>
      <c r="AC221" s="87">
        <v>0.3022045315370484</v>
      </c>
      <c r="AD221" s="87">
        <v>0.30176613885505482</v>
      </c>
      <c r="AE221" s="87">
        <v>0.30169799878714371</v>
      </c>
      <c r="AF221" s="87">
        <v>0.30139056831922612</v>
      </c>
      <c r="AG221" s="87">
        <v>0.30126658624849217</v>
      </c>
      <c r="AH221" s="87">
        <v>0.30090361445783131</v>
      </c>
      <c r="AI221" s="87">
        <v>0.30090361445783131</v>
      </c>
      <c r="AJ221" s="87">
        <v>0.30078360458107295</v>
      </c>
      <c r="AK221" s="87">
        <v>0.30072463768115942</v>
      </c>
      <c r="AL221" s="87">
        <v>0.30045385779122541</v>
      </c>
      <c r="AM221" s="87">
        <v>0.30036407766990292</v>
      </c>
      <c r="AN221" s="87">
        <v>0.30018248175182483</v>
      </c>
      <c r="AO221" s="87">
        <v>0.30030487804878048</v>
      </c>
      <c r="AP221" s="87">
        <v>0.30015267175572519</v>
      </c>
      <c r="AQ221" s="87">
        <v>0.30012224938875304</v>
      </c>
      <c r="AR221" s="87">
        <v>0.30012224938875304</v>
      </c>
      <c r="AS221" s="87">
        <v>0.30003055300947146</v>
      </c>
      <c r="AT221" s="87">
        <v>0.29996948428440645</v>
      </c>
      <c r="AU221" s="87">
        <v>0.29990856446205427</v>
      </c>
      <c r="AV221" s="87">
        <v>0.30006086427267192</v>
      </c>
      <c r="AW221" s="87">
        <v>0.3</v>
      </c>
      <c r="AX221" s="87">
        <v>0.29993928354584093</v>
      </c>
      <c r="AY221" s="87">
        <v>0.299969669396421</v>
      </c>
      <c r="AZ221" s="87">
        <v>0.30009093664746894</v>
      </c>
      <c r="BA221" s="87">
        <v>0.29990911844895485</v>
      </c>
      <c r="BB221" s="87">
        <v>0.30012113870381585</v>
      </c>
      <c r="BC221" s="87">
        <v>0.29993946731234866</v>
      </c>
      <c r="BD221" s="87">
        <v>0.30006049606775559</v>
      </c>
      <c r="BE221" s="87">
        <v>0.30009066183136901</v>
      </c>
      <c r="BF221" s="87">
        <v>0.30003018412315124</v>
      </c>
      <c r="BG221" s="87">
        <v>0.2998794454490657</v>
      </c>
    </row>
    <row r="222" spans="1:59" x14ac:dyDescent="0.2">
      <c r="C222" s="29">
        <v>17</v>
      </c>
      <c r="F222" s="87">
        <v>0.48066811011444477</v>
      </c>
      <c r="G222" s="87">
        <v>0.48071495766698025</v>
      </c>
      <c r="H222" s="87">
        <v>0.48055130168453292</v>
      </c>
      <c r="I222" s="87">
        <v>0.48065429380308272</v>
      </c>
      <c r="J222" s="87">
        <v>0.48062272275587942</v>
      </c>
      <c r="K222" s="87">
        <v>0.48042119118130966</v>
      </c>
      <c r="L222" s="87">
        <v>0.4804270462633452</v>
      </c>
      <c r="M222" s="87">
        <v>0.48041775456919061</v>
      </c>
      <c r="N222" s="87">
        <v>0.48038585209003215</v>
      </c>
      <c r="O222" s="87">
        <v>0.48024502297090355</v>
      </c>
      <c r="P222" s="87">
        <v>0.480377692534671</v>
      </c>
      <c r="Q222" s="87">
        <v>0.48021108179419525</v>
      </c>
      <c r="R222" s="87">
        <v>0.48039789350497369</v>
      </c>
      <c r="S222" s="87">
        <v>0.48030075187969923</v>
      </c>
      <c r="T222" s="87">
        <v>0.4801223241590214</v>
      </c>
      <c r="U222" s="87">
        <v>0.48024883359253501</v>
      </c>
      <c r="V222" s="87">
        <v>0.48007650621613007</v>
      </c>
      <c r="W222" s="87">
        <v>0.48007774538386783</v>
      </c>
      <c r="X222" s="87">
        <v>0.48032000000000002</v>
      </c>
      <c r="Y222" s="87">
        <v>0.48005066497783405</v>
      </c>
      <c r="Z222" s="87">
        <v>0.48007530593034203</v>
      </c>
      <c r="AA222" s="87">
        <v>0.47993779160186623</v>
      </c>
      <c r="AB222" s="87">
        <v>0.47995064774830354</v>
      </c>
      <c r="AC222" s="87">
        <v>0.48009797917942437</v>
      </c>
      <c r="AD222" s="87">
        <v>0.48007301490721022</v>
      </c>
      <c r="AE222" s="87">
        <v>0.48002421307506055</v>
      </c>
      <c r="AF222" s="87">
        <v>0.48010849909584086</v>
      </c>
      <c r="AG222" s="87">
        <v>0.48002403124061277</v>
      </c>
      <c r="AH222" s="87">
        <v>0.48021582733812951</v>
      </c>
      <c r="AI222" s="87">
        <v>0.47994011976047907</v>
      </c>
      <c r="AJ222" s="87">
        <v>0.48009577970667466</v>
      </c>
      <c r="AK222" s="87">
        <v>0.48022768124625526</v>
      </c>
      <c r="AL222" s="87">
        <v>0.48004800480048004</v>
      </c>
      <c r="AM222" s="87">
        <v>0.47985568250150329</v>
      </c>
      <c r="AN222" s="87">
        <v>0.47995176364184505</v>
      </c>
      <c r="AO222" s="87">
        <v>0.47990329404653975</v>
      </c>
      <c r="AP222" s="87">
        <v>0.48015752802181155</v>
      </c>
      <c r="AQ222" s="87">
        <v>0.47997572815533979</v>
      </c>
      <c r="AR222" s="87">
        <v>0.48010932280595203</v>
      </c>
      <c r="AS222" s="87">
        <v>0.48010932280595203</v>
      </c>
      <c r="AT222" s="87">
        <v>0.47996357012750457</v>
      </c>
      <c r="AU222" s="87">
        <v>0.4799878714372347</v>
      </c>
      <c r="AV222" s="87">
        <v>0.48001211387038156</v>
      </c>
      <c r="AW222" s="87">
        <v>0.47989114000604777</v>
      </c>
      <c r="AX222" s="87">
        <v>0.47991543340380549</v>
      </c>
      <c r="AY222" s="87">
        <v>0.47993966817496231</v>
      </c>
      <c r="AZ222" s="87">
        <v>0.48010849909584086</v>
      </c>
      <c r="BA222" s="87">
        <v>0.48012048192771084</v>
      </c>
      <c r="BB222" s="87">
        <v>0.48013245033112584</v>
      </c>
      <c r="BC222" s="87">
        <v>0.47998796268432142</v>
      </c>
      <c r="BD222" s="87">
        <v>0.48</v>
      </c>
      <c r="BE222" s="87">
        <v>0.48001202284340244</v>
      </c>
      <c r="BF222" s="87">
        <v>0.4798798798798799</v>
      </c>
      <c r="BG222" s="87">
        <v>0.47990401919616077</v>
      </c>
    </row>
    <row r="223" spans="1:59" x14ac:dyDescent="0.2">
      <c r="C223" s="29">
        <v>18</v>
      </c>
      <c r="F223" s="87">
        <v>0.61065449010654493</v>
      </c>
      <c r="G223" s="87">
        <v>0.61046865489957391</v>
      </c>
      <c r="H223" s="87">
        <v>0.61045426260112012</v>
      </c>
      <c r="I223" s="87">
        <v>0.6104527499240352</v>
      </c>
      <c r="J223" s="87">
        <v>0.61048689138576784</v>
      </c>
      <c r="K223" s="87">
        <v>0.61050903119868638</v>
      </c>
      <c r="L223" s="87">
        <v>0.61044045676998371</v>
      </c>
      <c r="M223" s="87">
        <v>0.61071887034659822</v>
      </c>
      <c r="N223" s="87">
        <v>0.61035598705501615</v>
      </c>
      <c r="O223" s="87">
        <v>0.61052631578947369</v>
      </c>
      <c r="P223" s="87">
        <v>0.6104527499240352</v>
      </c>
      <c r="Q223" s="87">
        <v>0.61054172767203518</v>
      </c>
      <c r="R223" s="87">
        <v>0.61041606051789354</v>
      </c>
      <c r="S223" s="87">
        <v>0.61062717770034847</v>
      </c>
      <c r="T223" s="87">
        <v>0.61056401074306177</v>
      </c>
      <c r="U223" s="87">
        <v>0.6104368932038835</v>
      </c>
      <c r="V223" s="87">
        <v>0.61061400802221533</v>
      </c>
      <c r="W223" s="87">
        <v>0.61049636421119191</v>
      </c>
      <c r="X223" s="87">
        <v>0.61034371988435587</v>
      </c>
      <c r="Y223" s="87">
        <v>0.61040609137055835</v>
      </c>
      <c r="Z223" s="87">
        <v>0.6103610675039246</v>
      </c>
      <c r="AA223" s="87">
        <v>0.61064425770308128</v>
      </c>
      <c r="AB223" s="87">
        <v>0.61061400802221533</v>
      </c>
      <c r="AC223" s="87">
        <v>0.61046511627906974</v>
      </c>
      <c r="AD223" s="87">
        <v>0.61057108140947747</v>
      </c>
      <c r="AE223" s="87">
        <v>0.61032297011771808</v>
      </c>
      <c r="AF223" s="87">
        <v>0.6103272290603422</v>
      </c>
      <c r="AG223" s="87">
        <v>0.61046337817638263</v>
      </c>
      <c r="AH223" s="87">
        <v>0.61043219076005961</v>
      </c>
      <c r="AI223" s="87">
        <v>0.61046684507879867</v>
      </c>
      <c r="AJ223" s="87">
        <v>0.61033561033561035</v>
      </c>
      <c r="AK223" s="87">
        <v>0.61063261063261065</v>
      </c>
      <c r="AL223" s="87">
        <v>0.61040118870728088</v>
      </c>
      <c r="AM223" s="87">
        <v>0.61059839237868418</v>
      </c>
      <c r="AN223" s="87">
        <v>0.61038186157517904</v>
      </c>
      <c r="AO223" s="87">
        <v>0.61034688995215314</v>
      </c>
      <c r="AP223" s="87">
        <v>0.61049475262368813</v>
      </c>
      <c r="AQ223" s="87">
        <v>0.61057692307692313</v>
      </c>
      <c r="AR223" s="87">
        <v>0.61047561709813369</v>
      </c>
      <c r="AS223" s="87">
        <v>0.61054216867469879</v>
      </c>
      <c r="AT223" s="87">
        <v>0.61072612232600176</v>
      </c>
      <c r="AU223" s="87">
        <v>0.61065943992773264</v>
      </c>
      <c r="AV223" s="87">
        <v>0.6107099879663056</v>
      </c>
      <c r="AW223" s="87">
        <v>0.61039351156503452</v>
      </c>
      <c r="AX223" s="87">
        <v>0.61056105610561051</v>
      </c>
      <c r="AY223" s="87">
        <v>0.61054523666866389</v>
      </c>
      <c r="AZ223" s="87">
        <v>0.61041292639138245</v>
      </c>
      <c r="BA223" s="87">
        <v>0.61046337817638263</v>
      </c>
      <c r="BB223" s="87">
        <v>0.61069614580221099</v>
      </c>
      <c r="BC223" s="87">
        <v>0.61063003881755751</v>
      </c>
      <c r="BD223" s="87">
        <v>0.61044776119402988</v>
      </c>
      <c r="BE223" s="87">
        <v>0.61038186157517904</v>
      </c>
      <c r="BF223" s="87">
        <v>0.61031604054859867</v>
      </c>
      <c r="BG223" s="87">
        <v>0.61036639857015196</v>
      </c>
    </row>
    <row r="224" spans="1:59" x14ac:dyDescent="0.2">
      <c r="C224" s="29">
        <v>19</v>
      </c>
      <c r="F224" s="87">
        <v>0.64700729927007294</v>
      </c>
      <c r="G224" s="87">
        <v>0.64709371293001183</v>
      </c>
      <c r="H224" s="87">
        <v>0.64704115349954938</v>
      </c>
      <c r="I224" s="87">
        <v>0.64722136935830521</v>
      </c>
      <c r="J224" s="87">
        <v>0.64697060587882427</v>
      </c>
      <c r="K224" s="87">
        <v>0.6470588235294118</v>
      </c>
      <c r="L224" s="87">
        <v>0.6473445595854922</v>
      </c>
      <c r="M224" s="87">
        <v>0.64703989703989706</v>
      </c>
      <c r="N224" s="87">
        <v>0.64715189873417722</v>
      </c>
      <c r="O224" s="87">
        <v>0.64698372167251839</v>
      </c>
      <c r="P224" s="87">
        <v>0.6470588235294118</v>
      </c>
      <c r="Q224" s="87">
        <v>0.64727054589082178</v>
      </c>
      <c r="R224" s="87">
        <v>0.64700780572419769</v>
      </c>
      <c r="S224" s="87">
        <v>0.64712643678160919</v>
      </c>
      <c r="T224" s="87">
        <v>0.64707568807339455</v>
      </c>
      <c r="U224" s="87">
        <v>0.64731879787860935</v>
      </c>
      <c r="V224" s="87">
        <v>0.64719976040730753</v>
      </c>
      <c r="W224" s="87">
        <v>0.64718417047184174</v>
      </c>
      <c r="X224" s="87">
        <v>0.64702213907078265</v>
      </c>
      <c r="Y224" s="87">
        <v>0.64733840304182511</v>
      </c>
      <c r="Z224" s="87">
        <v>0.64726134585289519</v>
      </c>
      <c r="AA224" s="87">
        <v>0.64714993804213139</v>
      </c>
      <c r="AB224" s="87">
        <v>0.64722136935830521</v>
      </c>
      <c r="AC224" s="87">
        <v>0.64718417047184174</v>
      </c>
      <c r="AD224" s="87">
        <v>0.64704106280193241</v>
      </c>
      <c r="AE224" s="87">
        <v>0.64718225419664266</v>
      </c>
      <c r="AF224" s="87">
        <v>0.64700625558534408</v>
      </c>
      <c r="AG224" s="87">
        <v>0.64730290456431538</v>
      </c>
      <c r="AH224" s="87">
        <v>0.64709353791678959</v>
      </c>
      <c r="AI224" s="87">
        <v>0.6472491909385113</v>
      </c>
      <c r="AJ224" s="87">
        <v>0.64719694746110945</v>
      </c>
      <c r="AK224" s="87">
        <v>0.64702433304016416</v>
      </c>
      <c r="AL224" s="87">
        <v>0.64731750219876871</v>
      </c>
      <c r="AM224" s="87">
        <v>0.6471105896157231</v>
      </c>
      <c r="AN224" s="87">
        <v>0.64736996767558042</v>
      </c>
      <c r="AO224" s="87">
        <v>0.6472320376914017</v>
      </c>
      <c r="AP224" s="87">
        <v>0.64698937426210157</v>
      </c>
      <c r="AQ224" s="87">
        <v>0.64723290914471732</v>
      </c>
      <c r="AR224" s="87">
        <v>0.64709371293001183</v>
      </c>
      <c r="AS224" s="87">
        <v>0.64716364716364716</v>
      </c>
      <c r="AT224" s="87">
        <v>0.64714625445897744</v>
      </c>
      <c r="AU224" s="87">
        <v>0.64714625445897744</v>
      </c>
      <c r="AV224" s="87">
        <v>0.64725111441307581</v>
      </c>
      <c r="AW224" s="87">
        <v>0.64707628376372806</v>
      </c>
      <c r="AX224" s="87">
        <v>0.647198339756893</v>
      </c>
      <c r="AY224" s="87">
        <v>0.64712847838957965</v>
      </c>
      <c r="AZ224" s="87">
        <v>0.64725014784151391</v>
      </c>
      <c r="BA224" s="87">
        <v>0.64707619610159484</v>
      </c>
      <c r="BB224" s="87">
        <v>0.64709353791678959</v>
      </c>
      <c r="BC224" s="87">
        <v>0.64711084905660377</v>
      </c>
      <c r="BD224" s="87">
        <v>0.64721485411140589</v>
      </c>
      <c r="BE224" s="87">
        <v>0.64712812960235644</v>
      </c>
      <c r="BF224" s="87">
        <v>0.6472320376914017</v>
      </c>
      <c r="BG224" s="87">
        <v>0.64714537963507945</v>
      </c>
    </row>
    <row r="225" spans="3:59" x14ac:dyDescent="0.2">
      <c r="C225" s="29">
        <v>20</v>
      </c>
      <c r="F225" s="87">
        <v>0.67445887445887442</v>
      </c>
      <c r="G225" s="87">
        <v>0.67455115417497857</v>
      </c>
      <c r="H225" s="87">
        <v>0.67447992968063286</v>
      </c>
      <c r="I225" s="87">
        <v>0.67448071216617211</v>
      </c>
      <c r="J225" s="87">
        <v>0.67434808975136451</v>
      </c>
      <c r="K225" s="87">
        <v>0.6743703703703704</v>
      </c>
      <c r="L225" s="87">
        <v>0.67436910915171788</v>
      </c>
      <c r="M225" s="87">
        <v>0.67444089456869005</v>
      </c>
      <c r="N225" s="87">
        <v>0.67449984121943474</v>
      </c>
      <c r="O225" s="87">
        <v>0.67447672602311781</v>
      </c>
      <c r="P225" s="87">
        <v>0.67454316320100816</v>
      </c>
      <c r="Q225" s="87">
        <v>0.67453416149068324</v>
      </c>
      <c r="R225" s="87">
        <v>0.6743703703703704</v>
      </c>
      <c r="S225" s="87">
        <v>0.67428571428571427</v>
      </c>
      <c r="T225" s="87">
        <v>0.67452428287418342</v>
      </c>
      <c r="U225" s="87">
        <v>0.67441201473505241</v>
      </c>
      <c r="V225" s="87">
        <v>0.67433061699650754</v>
      </c>
      <c r="W225" s="87">
        <v>0.67435669920141972</v>
      </c>
      <c r="X225" s="87">
        <v>0.67438364401683704</v>
      </c>
      <c r="Y225" s="87">
        <v>0.67436134195136965</v>
      </c>
      <c r="Z225" s="87">
        <v>0.67448405253283306</v>
      </c>
      <c r="AA225" s="87">
        <v>0.67438986716095151</v>
      </c>
      <c r="AB225" s="87">
        <v>0.67431192660550454</v>
      </c>
      <c r="AC225" s="87">
        <v>0.67444680206123064</v>
      </c>
      <c r="AD225" s="87">
        <v>0.67448151487826868</v>
      </c>
      <c r="AE225" s="87">
        <v>0.67441860465116277</v>
      </c>
      <c r="AF225" s="87">
        <v>0.6743635287152161</v>
      </c>
      <c r="AG225" s="87">
        <v>0.67431597528684906</v>
      </c>
      <c r="AH225" s="87">
        <v>0.67447306791569084</v>
      </c>
      <c r="AI225" s="87">
        <v>0.67443893908481489</v>
      </c>
      <c r="AJ225" s="87">
        <v>0.67451322290031968</v>
      </c>
      <c r="AK225" s="87">
        <v>0.67439837634096844</v>
      </c>
      <c r="AL225" s="87">
        <v>0.67448595424268754</v>
      </c>
      <c r="AM225" s="87">
        <v>0.67429067747539084</v>
      </c>
      <c r="AN225" s="87">
        <v>0.6745870762097943</v>
      </c>
      <c r="AO225" s="87">
        <v>0.67440510737086479</v>
      </c>
      <c r="AP225" s="87">
        <v>0.67452006980802792</v>
      </c>
      <c r="AQ225" s="87">
        <v>0.6743440233236152</v>
      </c>
      <c r="AR225" s="87">
        <v>0.67445938047925191</v>
      </c>
      <c r="AS225" s="87">
        <v>0.67457527826596364</v>
      </c>
      <c r="AT225" s="87">
        <v>0.67439131710178934</v>
      </c>
      <c r="AU225" s="87">
        <v>0.67439812096300644</v>
      </c>
      <c r="AV225" s="87">
        <v>0.67439812096300644</v>
      </c>
      <c r="AW225" s="87">
        <v>0.67429577464788737</v>
      </c>
      <c r="AX225" s="87">
        <v>0.67458223394898853</v>
      </c>
      <c r="AY225" s="87">
        <v>0.67447306791569084</v>
      </c>
      <c r="AZ225" s="87">
        <v>0.67456140350877192</v>
      </c>
      <c r="BA225" s="87">
        <v>0.67445255474452559</v>
      </c>
      <c r="BB225" s="87">
        <v>0.67424905220180809</v>
      </c>
      <c r="BC225" s="87">
        <v>0.67453379953379955</v>
      </c>
      <c r="BD225" s="87">
        <v>0.67443214909726268</v>
      </c>
      <c r="BE225" s="87">
        <v>0.67433061699650754</v>
      </c>
      <c r="BF225" s="87">
        <v>0.67442537096304922</v>
      </c>
      <c r="BG225" s="87">
        <v>0.67432393137539981</v>
      </c>
    </row>
    <row r="226" spans="3:59" x14ac:dyDescent="0.2">
      <c r="C226" s="29">
        <v>21</v>
      </c>
      <c r="F226" s="87">
        <v>0.75057937427578214</v>
      </c>
      <c r="G226" s="87">
        <v>0.75042492917847026</v>
      </c>
      <c r="H226" s="87">
        <v>0.75028344671201819</v>
      </c>
      <c r="I226" s="87">
        <v>0.75058275058275059</v>
      </c>
      <c r="J226" s="87">
        <v>0.75036884036588969</v>
      </c>
      <c r="K226" s="87">
        <v>0.75015069318866789</v>
      </c>
      <c r="L226" s="87">
        <v>0.75044195639363587</v>
      </c>
      <c r="M226" s="87">
        <v>0.75030229746070132</v>
      </c>
      <c r="N226" s="87">
        <v>0.750396951413147</v>
      </c>
      <c r="O226" s="87">
        <v>0.7503944461975387</v>
      </c>
      <c r="P226" s="87">
        <v>0.7503880782365725</v>
      </c>
      <c r="Q226" s="87">
        <v>0.75046963055729488</v>
      </c>
      <c r="R226" s="87">
        <v>0.75030864197530867</v>
      </c>
      <c r="S226" s="87">
        <v>0.75022091310751104</v>
      </c>
      <c r="T226" s="87">
        <v>0.75049730036942308</v>
      </c>
      <c r="U226" s="87">
        <v>0.75035300762496471</v>
      </c>
      <c r="V226" s="87">
        <v>0.75035221189067347</v>
      </c>
      <c r="W226" s="87">
        <v>0.75050651230101306</v>
      </c>
      <c r="X226" s="87">
        <v>0.75036753895912967</v>
      </c>
      <c r="Y226" s="87">
        <v>0.75044829647340106</v>
      </c>
      <c r="Z226" s="87">
        <v>0.75038237993270118</v>
      </c>
      <c r="AA226" s="87">
        <v>0.75046612802983215</v>
      </c>
      <c r="AB226" s="87">
        <v>0.75038378876266498</v>
      </c>
      <c r="AC226" s="87">
        <v>0.75045592705167175</v>
      </c>
      <c r="AD226" s="87">
        <v>0.75022597167821636</v>
      </c>
      <c r="AE226" s="87">
        <v>0.75022408126680606</v>
      </c>
      <c r="AF226" s="87">
        <v>0.75044457617071725</v>
      </c>
      <c r="AG226" s="87">
        <v>0.75044143613890524</v>
      </c>
      <c r="AH226" s="87">
        <v>0.75021936238666276</v>
      </c>
      <c r="AI226" s="87">
        <v>0.75036368926389296</v>
      </c>
      <c r="AJ226" s="87">
        <v>0.75021732831063459</v>
      </c>
      <c r="AK226" s="87">
        <v>0.75014442518775271</v>
      </c>
      <c r="AL226" s="87">
        <v>0.75036033439031424</v>
      </c>
      <c r="AM226" s="87">
        <v>0.75035991937805935</v>
      </c>
      <c r="AN226" s="87">
        <v>0.75043177892918822</v>
      </c>
      <c r="AO226" s="87">
        <v>0.7505041774704696</v>
      </c>
      <c r="AP226" s="87">
        <v>0.75043277553375654</v>
      </c>
      <c r="AQ226" s="87">
        <v>0.75021682567215964</v>
      </c>
      <c r="AR226" s="87">
        <v>0.75043478260869567</v>
      </c>
      <c r="AS226" s="87">
        <v>0.75043579314352116</v>
      </c>
      <c r="AT226" s="87">
        <v>0.75021834061135373</v>
      </c>
      <c r="AU226" s="87">
        <v>0.75036453776611256</v>
      </c>
      <c r="AV226" s="87">
        <v>0.75021885030639046</v>
      </c>
      <c r="AW226" s="87">
        <v>0.75021885030639046</v>
      </c>
      <c r="AX226" s="87">
        <v>0.75058343057176191</v>
      </c>
      <c r="AY226" s="87">
        <v>0.75029137529137524</v>
      </c>
      <c r="AZ226" s="87">
        <v>0.75029103608847492</v>
      </c>
      <c r="BA226" s="87">
        <v>0.75036326649229879</v>
      </c>
      <c r="BB226" s="87">
        <v>0.75036284470246739</v>
      </c>
      <c r="BC226" s="87">
        <v>0.75036242389098284</v>
      </c>
      <c r="BD226" s="87">
        <v>0.75036200405444542</v>
      </c>
      <c r="BE226" s="87">
        <v>0.75050651230101306</v>
      </c>
      <c r="BF226" s="87">
        <v>0.7503615851894706</v>
      </c>
      <c r="BG226" s="87">
        <v>0.75043377674956624</v>
      </c>
    </row>
    <row r="227" spans="3:59" x14ac:dyDescent="0.2">
      <c r="C227" s="29">
        <v>22</v>
      </c>
      <c r="F227" s="87">
        <v>0.79902101929167868</v>
      </c>
      <c r="G227" s="87">
        <v>0.79908805927614701</v>
      </c>
      <c r="H227" s="87">
        <v>0.79903764506085484</v>
      </c>
      <c r="I227" s="87">
        <v>0.79898074745186864</v>
      </c>
      <c r="J227" s="87">
        <v>0.79918509895227008</v>
      </c>
      <c r="K227" s="87">
        <v>0.79899793692897136</v>
      </c>
      <c r="L227" s="87">
        <v>0.79915688045769351</v>
      </c>
      <c r="M227" s="87">
        <v>0.79899941141848141</v>
      </c>
      <c r="N227" s="87">
        <v>0.79891304347826086</v>
      </c>
      <c r="O227" s="87">
        <v>0.79923882017126546</v>
      </c>
      <c r="P227" s="87">
        <v>0.79924361802710364</v>
      </c>
      <c r="Q227" s="87">
        <v>0.79906976744186042</v>
      </c>
      <c r="R227" s="87">
        <v>0.79924953095684803</v>
      </c>
      <c r="S227" s="87">
        <v>0.7990135635018496</v>
      </c>
      <c r="T227" s="87">
        <v>0.79905854663136211</v>
      </c>
      <c r="U227" s="87">
        <v>0.79909194097616343</v>
      </c>
      <c r="V227" s="87">
        <v>0.79915373765867415</v>
      </c>
      <c r="W227" s="87">
        <v>0.79904306220095689</v>
      </c>
      <c r="X227" s="87">
        <v>0.79913294797687862</v>
      </c>
      <c r="Y227" s="87">
        <v>0.79911894273127748</v>
      </c>
      <c r="Z227" s="87">
        <v>0.79886601014622505</v>
      </c>
      <c r="AA227" s="87">
        <v>0.79926672777268559</v>
      </c>
      <c r="AB227" s="87">
        <v>0.79894508222153271</v>
      </c>
      <c r="AC227" s="87">
        <v>0.79889638258736972</v>
      </c>
      <c r="AD227" s="87">
        <v>0.79908952959028834</v>
      </c>
      <c r="AE227" s="87">
        <v>0.79927776105928383</v>
      </c>
      <c r="AF227" s="87">
        <v>0.79916442852879732</v>
      </c>
      <c r="AG227" s="87">
        <v>0.79928952042628776</v>
      </c>
      <c r="AH227" s="87">
        <v>0.79923574368018813</v>
      </c>
      <c r="AI227" s="87">
        <v>0.79929886064855393</v>
      </c>
      <c r="AJ227" s="87">
        <v>0.79918628305725081</v>
      </c>
      <c r="AK227" s="87">
        <v>0.79890046296296291</v>
      </c>
      <c r="AL227" s="87">
        <v>0.79919215233698793</v>
      </c>
      <c r="AM227" s="87">
        <v>0.79907887161773172</v>
      </c>
      <c r="AN227" s="87">
        <v>0.79902242668200119</v>
      </c>
      <c r="AO227" s="87">
        <v>0.79908019545846509</v>
      </c>
      <c r="AP227" s="87">
        <v>0.79919447640966623</v>
      </c>
      <c r="AQ227" s="87">
        <v>0.79919331604724864</v>
      </c>
      <c r="AR227" s="87">
        <v>0.79907621247113159</v>
      </c>
      <c r="AS227" s="87">
        <v>0.79913169319826338</v>
      </c>
      <c r="AT227" s="87">
        <v>0.79895561357702349</v>
      </c>
      <c r="AU227" s="87">
        <v>0.79912790697674418</v>
      </c>
      <c r="AV227" s="87">
        <v>0.79906814210832844</v>
      </c>
      <c r="AW227" s="87">
        <v>0.79895104895104896</v>
      </c>
      <c r="AX227" s="87">
        <v>0.79895104895104896</v>
      </c>
      <c r="AY227" s="87">
        <v>0.79930090300029133</v>
      </c>
      <c r="AZ227" s="87">
        <v>0.79895257491998839</v>
      </c>
      <c r="BA227" s="87">
        <v>0.79918628305725081</v>
      </c>
      <c r="BB227" s="87">
        <v>0.7991874637260592</v>
      </c>
      <c r="BC227" s="87">
        <v>0.79889886989278469</v>
      </c>
      <c r="BD227" s="87">
        <v>0.79913169319826338</v>
      </c>
      <c r="BE227" s="87">
        <v>0.79901677270098326</v>
      </c>
      <c r="BF227" s="87">
        <v>0.79913294797687862</v>
      </c>
      <c r="BG227" s="87">
        <v>0.79896013864818027</v>
      </c>
    </row>
    <row r="228" spans="3:59" x14ac:dyDescent="0.2">
      <c r="C228" s="29">
        <v>23</v>
      </c>
      <c r="F228" s="87">
        <v>0.81905037637521716</v>
      </c>
      <c r="G228" s="87">
        <v>0.81905569691829239</v>
      </c>
      <c r="H228" s="87">
        <v>0.81906116642958748</v>
      </c>
      <c r="I228" s="87">
        <v>0.81915795422435711</v>
      </c>
      <c r="J228" s="87">
        <v>0.81910684002261169</v>
      </c>
      <c r="K228" s="87">
        <v>0.81929110981987219</v>
      </c>
      <c r="L228" s="87">
        <v>0.81906443071491619</v>
      </c>
      <c r="M228" s="87">
        <v>0.81911057692307687</v>
      </c>
      <c r="N228" s="87">
        <v>0.81903642773207985</v>
      </c>
      <c r="O228" s="87">
        <v>0.81916817359855332</v>
      </c>
      <c r="P228" s="87">
        <v>0.81898734177215193</v>
      </c>
      <c r="Q228" s="87">
        <v>0.81886792452830193</v>
      </c>
      <c r="R228" s="87">
        <v>0.81925100588053235</v>
      </c>
      <c r="S228" s="87">
        <v>0.81903276131045244</v>
      </c>
      <c r="T228" s="87">
        <v>0.81913257459243305</v>
      </c>
      <c r="U228" s="87">
        <v>0.81884908984145621</v>
      </c>
      <c r="V228" s="87">
        <v>0.81898016997167133</v>
      </c>
      <c r="W228" s="87">
        <v>0.81897522522522526</v>
      </c>
      <c r="X228" s="87">
        <v>0.81905029502669291</v>
      </c>
      <c r="Y228" s="87">
        <v>0.81909982688978644</v>
      </c>
      <c r="Z228" s="87">
        <v>0.81916764361078542</v>
      </c>
      <c r="AA228" s="87">
        <v>0.81893984514592022</v>
      </c>
      <c r="AB228" s="87">
        <v>0.81920731707317074</v>
      </c>
      <c r="AC228" s="87">
        <v>0.81888544891640869</v>
      </c>
      <c r="AD228" s="87">
        <v>0.81890486387274397</v>
      </c>
      <c r="AE228" s="87">
        <v>0.81889763779527558</v>
      </c>
      <c r="AF228" s="87">
        <v>0.81921921921921925</v>
      </c>
      <c r="AG228" s="87">
        <v>0.81923764145324596</v>
      </c>
      <c r="AH228" s="87">
        <v>0.81896042528056701</v>
      </c>
      <c r="AI228" s="87">
        <v>0.81906158357771264</v>
      </c>
      <c r="AJ228" s="87">
        <v>0.81900320606237254</v>
      </c>
      <c r="AK228" s="87">
        <v>0.81931554524361949</v>
      </c>
      <c r="AL228" s="87">
        <v>0.81894311290788335</v>
      </c>
      <c r="AM228" s="87">
        <v>0.81917650446300028</v>
      </c>
      <c r="AN228" s="87">
        <v>0.81901752370008618</v>
      </c>
      <c r="AO228" s="87">
        <v>0.81922525107604016</v>
      </c>
      <c r="AP228" s="87">
        <v>0.81899024670109011</v>
      </c>
      <c r="AQ228" s="87">
        <v>0.81888633754305395</v>
      </c>
      <c r="AR228" s="87">
        <v>0.81914893617021278</v>
      </c>
      <c r="AS228" s="87">
        <v>0.81907231345433595</v>
      </c>
      <c r="AT228" s="87">
        <v>0.81894311290788335</v>
      </c>
      <c r="AU228" s="87">
        <v>0.81905037637521716</v>
      </c>
      <c r="AV228" s="87">
        <v>0.81897302001740646</v>
      </c>
      <c r="AW228" s="87">
        <v>0.81900058105752471</v>
      </c>
      <c r="AX228" s="87">
        <v>0.81913346903169526</v>
      </c>
      <c r="AY228" s="87">
        <v>0.81913346903169526</v>
      </c>
      <c r="AZ228" s="87">
        <v>0.81923859343214178</v>
      </c>
      <c r="BA228" s="87">
        <v>0.81886792452830193</v>
      </c>
      <c r="BB228" s="87">
        <v>0.81907799362133948</v>
      </c>
      <c r="BC228" s="87">
        <v>0.81905037637521716</v>
      </c>
      <c r="BD228" s="87">
        <v>0.81925968768074031</v>
      </c>
      <c r="BE228" s="87">
        <v>0.81917966493356442</v>
      </c>
      <c r="BF228" s="87">
        <v>0.81909982688978644</v>
      </c>
      <c r="BG228" s="87">
        <v>0.8192041522491349</v>
      </c>
    </row>
    <row r="229" spans="3:59" x14ac:dyDescent="0.2">
      <c r="C229" s="29">
        <v>24</v>
      </c>
      <c r="F229" s="87">
        <v>0.84826796450042941</v>
      </c>
      <c r="G229" s="87">
        <v>0.84814078910019874</v>
      </c>
      <c r="H229" s="87">
        <v>0.84804059768818718</v>
      </c>
      <c r="I229" s="87">
        <v>0.84794326241134754</v>
      </c>
      <c r="J229" s="87">
        <v>0.84788732394366195</v>
      </c>
      <c r="K229" s="87">
        <v>0.84808342728297637</v>
      </c>
      <c r="L229" s="87">
        <v>0.84795829713292792</v>
      </c>
      <c r="M229" s="87">
        <v>0.84809384164222879</v>
      </c>
      <c r="N229" s="87">
        <v>0.84811264230077887</v>
      </c>
      <c r="O229" s="87">
        <v>0.84802342606149339</v>
      </c>
      <c r="P229" s="87">
        <v>0.84800240312406128</v>
      </c>
      <c r="Q229" s="87">
        <v>0.84826498422712937</v>
      </c>
      <c r="R229" s="87">
        <v>0.84827586206896555</v>
      </c>
      <c r="S229" s="87">
        <v>0.84824182603331277</v>
      </c>
      <c r="T229" s="87">
        <v>0.84794776119402981</v>
      </c>
      <c r="U229" s="87">
        <v>0.8479460453709381</v>
      </c>
      <c r="V229" s="87">
        <v>0.84806791569086648</v>
      </c>
      <c r="W229" s="87">
        <v>0.84806551821519349</v>
      </c>
      <c r="X229" s="87">
        <v>0.84811903425042112</v>
      </c>
      <c r="Y229" s="87">
        <v>0.84817927170868346</v>
      </c>
      <c r="Z229" s="87">
        <v>0.84814495254529765</v>
      </c>
      <c r="AA229" s="87">
        <v>0.84808647385334501</v>
      </c>
      <c r="AB229" s="87">
        <v>0.84802612051053727</v>
      </c>
      <c r="AC229" s="87">
        <v>0.8480704952901853</v>
      </c>
      <c r="AD229" s="87">
        <v>0.84819500154273375</v>
      </c>
      <c r="AE229" s="87">
        <v>0.84817073170731705</v>
      </c>
      <c r="AF229" s="87">
        <v>0.84817386054935107</v>
      </c>
      <c r="AG229" s="87">
        <v>0.84824902723735407</v>
      </c>
      <c r="AH229" s="87">
        <v>0.84807121661721063</v>
      </c>
      <c r="AI229" s="87">
        <v>0.84810126582278478</v>
      </c>
      <c r="AJ229" s="87">
        <v>0.84799766150248468</v>
      </c>
      <c r="AK229" s="87">
        <v>0.84805345729227188</v>
      </c>
      <c r="AL229" s="87">
        <v>0.84797687861271676</v>
      </c>
      <c r="AM229" s="87">
        <v>0.84801381692573408</v>
      </c>
      <c r="AN229" s="87">
        <v>0.84820659971305601</v>
      </c>
      <c r="AO229" s="87">
        <v>0.84822451317296677</v>
      </c>
      <c r="AP229" s="87">
        <v>0.84786960251644261</v>
      </c>
      <c r="AQ229" s="87">
        <v>0.8481555619102088</v>
      </c>
      <c r="AR229" s="87">
        <v>0.84806866952789695</v>
      </c>
      <c r="AS229" s="87">
        <v>0.84813753581661888</v>
      </c>
      <c r="AT229" s="87">
        <v>0.84811943726672412</v>
      </c>
      <c r="AU229" s="87">
        <v>0.84830166954519282</v>
      </c>
      <c r="AV229" s="87">
        <v>0.84795152914021932</v>
      </c>
      <c r="AW229" s="87">
        <v>0.84793292859207858</v>
      </c>
      <c r="AX229" s="87">
        <v>0.8480023161551824</v>
      </c>
      <c r="AY229" s="87">
        <v>0.84815995363662711</v>
      </c>
      <c r="AZ229" s="87">
        <v>0.84815995363662711</v>
      </c>
      <c r="BA229" s="87">
        <v>0.84795829713292792</v>
      </c>
      <c r="BB229" s="87">
        <v>0.84809027777777779</v>
      </c>
      <c r="BC229" s="87">
        <v>0.848020803236059</v>
      </c>
      <c r="BD229" s="87">
        <v>0.84795152914021932</v>
      </c>
      <c r="BE229" s="87">
        <v>0.84812680115273775</v>
      </c>
      <c r="BF229" s="87">
        <v>0.84801381692573408</v>
      </c>
      <c r="BG229" s="87">
        <v>0.84814495254529765</v>
      </c>
    </row>
    <row r="230" spans="3:59" x14ac:dyDescent="0.2">
      <c r="C230" s="29">
        <v>25</v>
      </c>
      <c r="F230" s="87">
        <v>0.86750223813786931</v>
      </c>
      <c r="G230" s="87">
        <v>0.86749017405951712</v>
      </c>
      <c r="H230" s="87">
        <v>0.86764705882352944</v>
      </c>
      <c r="I230" s="87">
        <v>0.86769662921348312</v>
      </c>
      <c r="J230" s="87">
        <v>0.86772187676653478</v>
      </c>
      <c r="K230" s="87">
        <v>0.8675273645804098</v>
      </c>
      <c r="L230" s="87">
        <v>0.8677337826453243</v>
      </c>
      <c r="M230" s="87">
        <v>0.86757068667051351</v>
      </c>
      <c r="N230" s="87">
        <v>0.86765994741454866</v>
      </c>
      <c r="O230" s="87">
        <v>0.86754176610978517</v>
      </c>
      <c r="P230" s="87">
        <v>0.86756126021003499</v>
      </c>
      <c r="Q230" s="87">
        <v>0.8674842955429255</v>
      </c>
      <c r="R230" s="87">
        <v>0.86750392464678183</v>
      </c>
      <c r="S230" s="87">
        <v>0.86739469578783146</v>
      </c>
      <c r="T230" s="87">
        <v>0.86762899262899262</v>
      </c>
      <c r="U230" s="87">
        <v>0.86749226006191948</v>
      </c>
      <c r="V230" s="87">
        <v>0.86752136752136755</v>
      </c>
      <c r="W230" s="87">
        <v>0.86738560186534541</v>
      </c>
      <c r="X230" s="87">
        <v>0.86751054852320675</v>
      </c>
      <c r="Y230" s="87">
        <v>0.86772930648769575</v>
      </c>
      <c r="Z230" s="87">
        <v>0.8677455357142857</v>
      </c>
      <c r="AA230" s="87">
        <v>0.86741122565864837</v>
      </c>
      <c r="AB230" s="87">
        <v>0.86761710794297353</v>
      </c>
      <c r="AC230" s="87">
        <v>0.86757315991723327</v>
      </c>
      <c r="AD230" s="87">
        <v>0.86751361161524498</v>
      </c>
      <c r="AE230" s="87">
        <v>0.86758832565284183</v>
      </c>
      <c r="AF230" s="87">
        <v>0.86763812993321188</v>
      </c>
      <c r="AG230" s="87">
        <v>0.86774872257288849</v>
      </c>
      <c r="AH230" s="87">
        <v>0.86740166865315849</v>
      </c>
      <c r="AI230" s="87">
        <v>0.86761229314420807</v>
      </c>
      <c r="AJ230" s="87">
        <v>0.86748754031075925</v>
      </c>
      <c r="AK230" s="87">
        <v>0.8675400291120815</v>
      </c>
      <c r="AL230" s="87">
        <v>0.86776620370370372</v>
      </c>
      <c r="AM230" s="87">
        <v>0.86758779504893491</v>
      </c>
      <c r="AN230" s="87">
        <v>0.86758383490971624</v>
      </c>
      <c r="AO230" s="87">
        <v>0.86742857142857144</v>
      </c>
      <c r="AP230" s="87">
        <v>0.8676931850584545</v>
      </c>
      <c r="AQ230" s="87">
        <v>0.86755909997151803</v>
      </c>
      <c r="AR230" s="87">
        <v>0.86759681093394081</v>
      </c>
      <c r="AS230" s="87">
        <v>0.86752136752136755</v>
      </c>
      <c r="AT230" s="87">
        <v>0.86733238231098431</v>
      </c>
      <c r="AU230" s="87">
        <v>0.86760080068630252</v>
      </c>
      <c r="AV230" s="87">
        <v>0.86758383490971624</v>
      </c>
      <c r="AW230" s="87">
        <v>0.86756679115196778</v>
      </c>
      <c r="AX230" s="87">
        <v>0.86758779504893491</v>
      </c>
      <c r="AY230" s="87">
        <v>0.86739694436437009</v>
      </c>
      <c r="AZ230" s="87">
        <v>0.86757068667051351</v>
      </c>
      <c r="BA230" s="87">
        <v>0.86757068667051351</v>
      </c>
      <c r="BB230" s="87">
        <v>0.86735870818915806</v>
      </c>
      <c r="BC230" s="87">
        <v>0.86747335061941799</v>
      </c>
      <c r="BD230" s="87">
        <v>0.86737629459148446</v>
      </c>
      <c r="BE230" s="87">
        <v>0.86756679115196778</v>
      </c>
      <c r="BF230" s="87">
        <v>0.86771879483500713</v>
      </c>
      <c r="BG230" s="87">
        <v>0.86758383490971624</v>
      </c>
    </row>
    <row r="231" spans="3:59" x14ac:dyDescent="0.2">
      <c r="C231" s="29">
        <v>26</v>
      </c>
      <c r="F231" s="87">
        <v>0.88251791835462756</v>
      </c>
      <c r="G231" s="87">
        <v>0.88271424393097397</v>
      </c>
      <c r="H231" s="87">
        <v>0.8824678950307091</v>
      </c>
      <c r="I231" s="87">
        <v>0.88273340832395952</v>
      </c>
      <c r="J231" s="87">
        <v>0.88268156424581001</v>
      </c>
      <c r="K231" s="87">
        <v>0.8825512784490025</v>
      </c>
      <c r="L231" s="87">
        <v>0.88277979346915991</v>
      </c>
      <c r="M231" s="87">
        <v>0.88274706867671693</v>
      </c>
      <c r="N231" s="87">
        <v>0.88270719816461141</v>
      </c>
      <c r="O231" s="87">
        <v>0.88269454123112656</v>
      </c>
      <c r="P231" s="87">
        <v>0.8825970945745627</v>
      </c>
      <c r="Q231" s="87">
        <v>0.88257465932154244</v>
      </c>
      <c r="R231" s="87">
        <v>0.88284269997026465</v>
      </c>
      <c r="S231" s="87">
        <v>0.88268330733229328</v>
      </c>
      <c r="T231" s="87">
        <v>0.88279069767441865</v>
      </c>
      <c r="U231" s="87">
        <v>0.88281965212084224</v>
      </c>
      <c r="V231" s="87">
        <v>0.88249769301753311</v>
      </c>
      <c r="W231" s="87">
        <v>0.88262056414922652</v>
      </c>
      <c r="X231" s="87">
        <v>0.88264271225731672</v>
      </c>
      <c r="Y231" s="87">
        <v>0.8825503355704698</v>
      </c>
      <c r="Z231" s="87">
        <v>0.88268001112037808</v>
      </c>
      <c r="AA231" s="87">
        <v>0.88266296809986133</v>
      </c>
      <c r="AB231" s="87">
        <v>0.88243666382009678</v>
      </c>
      <c r="AC231" s="87">
        <v>0.88259109311740891</v>
      </c>
      <c r="AD231" s="87">
        <v>0.88278495887191544</v>
      </c>
      <c r="AE231" s="87">
        <v>0.88247670574090775</v>
      </c>
      <c r="AF231" s="87">
        <v>0.88251449496490697</v>
      </c>
      <c r="AG231" s="87">
        <v>0.88268998793727382</v>
      </c>
      <c r="AH231" s="87">
        <v>0.88265153777246941</v>
      </c>
      <c r="AI231" s="87">
        <v>0.88273615635179148</v>
      </c>
      <c r="AJ231" s="87">
        <v>0.88256018790369939</v>
      </c>
      <c r="AK231" s="87">
        <v>0.88260996213224585</v>
      </c>
      <c r="AL231" s="87">
        <v>0.88255713045993633</v>
      </c>
      <c r="AM231" s="87">
        <v>0.88269120184013805</v>
      </c>
      <c r="AN231" s="87">
        <v>0.88272311212814647</v>
      </c>
      <c r="AO231" s="87">
        <v>0.88262108262108263</v>
      </c>
      <c r="AP231" s="87">
        <v>0.88270377733598404</v>
      </c>
      <c r="AQ231" s="87">
        <v>0.88240294701048461</v>
      </c>
      <c r="AR231" s="87">
        <v>0.8825360883102179</v>
      </c>
      <c r="AS231" s="87">
        <v>0.8825693265421618</v>
      </c>
      <c r="AT231" s="87">
        <v>0.88275276125743418</v>
      </c>
      <c r="AU231" s="87">
        <v>0.88258650028360752</v>
      </c>
      <c r="AV231" s="87">
        <v>0.88263711281614099</v>
      </c>
      <c r="AW231" s="87">
        <v>0.88265451438336662</v>
      </c>
      <c r="AX231" s="87">
        <v>0.88263849229011992</v>
      </c>
      <c r="AY231" s="87">
        <v>0.88268955650929903</v>
      </c>
      <c r="AZ231" s="87">
        <v>0.88280802292263605</v>
      </c>
      <c r="BA231" s="87">
        <v>0.88245412844036697</v>
      </c>
      <c r="BB231" s="87">
        <v>0.88245412844036697</v>
      </c>
      <c r="BC231" s="87">
        <v>0.88277443393522503</v>
      </c>
      <c r="BD231" s="87">
        <v>0.88262238763240763</v>
      </c>
      <c r="BE231" s="87">
        <v>0.88250428816466553</v>
      </c>
      <c r="BF231" s="87">
        <v>0.88263849229011992</v>
      </c>
      <c r="BG231" s="87">
        <v>0.88252067293983461</v>
      </c>
    </row>
    <row r="232" spans="3:59" x14ac:dyDescent="0.2">
      <c r="C232" s="29">
        <v>27</v>
      </c>
      <c r="F232" s="87">
        <v>0.89409836065573767</v>
      </c>
      <c r="G232" s="87">
        <v>0.89422195047386122</v>
      </c>
      <c r="H232" s="87">
        <v>0.89392618424876491</v>
      </c>
      <c r="I232" s="87">
        <v>0.89397724118789901</v>
      </c>
      <c r="J232" s="87">
        <v>0.89404528934861616</v>
      </c>
      <c r="K232" s="87">
        <v>0.89394780677401442</v>
      </c>
      <c r="L232" s="87">
        <v>0.8938547486033519</v>
      </c>
      <c r="M232" s="87">
        <v>0.89403606102635225</v>
      </c>
      <c r="N232" s="87">
        <v>0.89397724118789901</v>
      </c>
      <c r="O232" s="87">
        <v>0.89395667046750282</v>
      </c>
      <c r="P232" s="87">
        <v>0.89408369408369404</v>
      </c>
      <c r="Q232" s="87">
        <v>0.8942251031231585</v>
      </c>
      <c r="R232" s="87">
        <v>0.89397868049553442</v>
      </c>
      <c r="S232" s="87">
        <v>0.89394387001477105</v>
      </c>
      <c r="T232" s="87">
        <v>0.89401921289123021</v>
      </c>
      <c r="U232" s="87">
        <v>0.89405605174006775</v>
      </c>
      <c r="V232" s="87">
        <v>0.89390724461958171</v>
      </c>
      <c r="W232" s="87">
        <v>0.89398105713412768</v>
      </c>
      <c r="X232" s="87">
        <v>0.89421338155515373</v>
      </c>
      <c r="Y232" s="87">
        <v>0.89403973509933776</v>
      </c>
      <c r="Z232" s="87">
        <v>0.8938299055030573</v>
      </c>
      <c r="AA232" s="87">
        <v>0.89416966012710697</v>
      </c>
      <c r="AB232" s="87">
        <v>0.89412737799834574</v>
      </c>
      <c r="AC232" s="87">
        <v>0.89417091114883984</v>
      </c>
      <c r="AD232" s="87">
        <v>0.89396551724137929</v>
      </c>
      <c r="AE232" s="87">
        <v>0.89404553415061294</v>
      </c>
      <c r="AF232" s="87">
        <v>0.89399820842042399</v>
      </c>
      <c r="AG232" s="87">
        <v>0.89390724461958171</v>
      </c>
      <c r="AH232" s="87">
        <v>0.89394847213900541</v>
      </c>
      <c r="AI232" s="87">
        <v>0.89409670720854351</v>
      </c>
      <c r="AJ232" s="87">
        <v>0.89408649602824364</v>
      </c>
      <c r="AK232" s="87">
        <v>0.89381563593932323</v>
      </c>
      <c r="AL232" s="87">
        <v>0.89406657018813318</v>
      </c>
      <c r="AM232" s="87">
        <v>0.89393503880425407</v>
      </c>
      <c r="AN232" s="87">
        <v>0.89400000000000002</v>
      </c>
      <c r="AO232" s="87">
        <v>0.89397384877771457</v>
      </c>
      <c r="AP232" s="87">
        <v>0.89411098527746324</v>
      </c>
      <c r="AQ232" s="87">
        <v>0.89415749364944963</v>
      </c>
      <c r="AR232" s="87">
        <v>0.89411433399042528</v>
      </c>
      <c r="AS232" s="87">
        <v>0.89395218002812937</v>
      </c>
      <c r="AT232" s="87">
        <v>0.8939820022497188</v>
      </c>
      <c r="AU232" s="87">
        <v>0.8939223410241981</v>
      </c>
      <c r="AV232" s="87">
        <v>0.89377289377289382</v>
      </c>
      <c r="AW232" s="87">
        <v>0.89409771251059023</v>
      </c>
      <c r="AX232" s="87">
        <v>0.89414095669402771</v>
      </c>
      <c r="AY232" s="87">
        <v>0.8939007092198582</v>
      </c>
      <c r="AZ232" s="87">
        <v>0.89397384877771457</v>
      </c>
      <c r="BA232" s="87">
        <v>0.89382294335325929</v>
      </c>
      <c r="BB232" s="87">
        <v>0.89401709401709406</v>
      </c>
      <c r="BC232" s="87">
        <v>0.89401709401709406</v>
      </c>
      <c r="BD232" s="87">
        <v>0.89407744874715267</v>
      </c>
      <c r="BE232" s="87">
        <v>0.89391353811149032</v>
      </c>
      <c r="BF232" s="87">
        <v>0.89403409090909092</v>
      </c>
      <c r="BG232" s="87">
        <v>0.8939007092198582</v>
      </c>
    </row>
    <row r="233" spans="3:59" x14ac:dyDescent="0.2">
      <c r="C233" s="29">
        <v>28</v>
      </c>
      <c r="F233" s="87">
        <v>0.90180702352540065</v>
      </c>
      <c r="G233" s="87">
        <v>0.90170253774494058</v>
      </c>
      <c r="H233" s="87">
        <v>0.9017586416009703</v>
      </c>
      <c r="I233" s="87">
        <v>0.90193250648976064</v>
      </c>
      <c r="J233" s="87">
        <v>0.90190135023422435</v>
      </c>
      <c r="K233" s="87">
        <v>0.90177580466148721</v>
      </c>
      <c r="L233" s="87">
        <v>0.90187431091510473</v>
      </c>
      <c r="M233" s="87">
        <v>0.90183028286189681</v>
      </c>
      <c r="N233" s="87">
        <v>0.90195538419168275</v>
      </c>
      <c r="O233" s="87">
        <v>0.90165289256198344</v>
      </c>
      <c r="P233" s="87">
        <v>0.90183875530410185</v>
      </c>
      <c r="Q233" s="87">
        <v>0.90177548682703323</v>
      </c>
      <c r="R233" s="87">
        <v>0.90178310435545161</v>
      </c>
      <c r="S233" s="87">
        <v>0.90191592793823272</v>
      </c>
      <c r="T233" s="87">
        <v>0.90181711606096127</v>
      </c>
      <c r="U233" s="87">
        <v>0.90196681007990165</v>
      </c>
      <c r="V233" s="87">
        <v>0.90195479535736101</v>
      </c>
      <c r="W233" s="87">
        <v>0.90168370414912813</v>
      </c>
      <c r="X233" s="87">
        <v>0.90181818181818185</v>
      </c>
      <c r="Y233" s="87">
        <v>0.90167364016736407</v>
      </c>
      <c r="Z233" s="87">
        <v>0.90200000000000002</v>
      </c>
      <c r="AA233" s="87">
        <v>0.9017931034482759</v>
      </c>
      <c r="AB233" s="87">
        <v>0.90181020296215031</v>
      </c>
      <c r="AC233" s="87">
        <v>0.90175150519978109</v>
      </c>
      <c r="AD233" s="87">
        <v>0.90174059517125216</v>
      </c>
      <c r="AE233" s="87">
        <v>0.90191046478471626</v>
      </c>
      <c r="AF233" s="87">
        <v>0.90182450043440487</v>
      </c>
      <c r="AG233" s="87">
        <v>0.90195497630331756</v>
      </c>
      <c r="AH233" s="87">
        <v>0.90198436560432949</v>
      </c>
      <c r="AI233" s="87">
        <v>0.90193164933135217</v>
      </c>
      <c r="AJ233" s="87">
        <v>0.90200117716303707</v>
      </c>
      <c r="AK233" s="87">
        <v>0.90166326232856731</v>
      </c>
      <c r="AL233" s="87">
        <v>0.9018813314037627</v>
      </c>
      <c r="AM233" s="87">
        <v>0.9017805858701895</v>
      </c>
      <c r="AN233" s="87">
        <v>0.90162532078699742</v>
      </c>
      <c r="AO233" s="87">
        <v>0.90164399092970526</v>
      </c>
      <c r="AP233" s="87">
        <v>0.90157924421883817</v>
      </c>
      <c r="AQ233" s="87">
        <v>0.901685393258427</v>
      </c>
      <c r="AR233" s="87">
        <v>0.90170820498459814</v>
      </c>
      <c r="AS233" s="87">
        <v>0.9016485051690416</v>
      </c>
      <c r="AT233" s="87">
        <v>0.90175830309796257</v>
      </c>
      <c r="AU233" s="87">
        <v>0.9017857142857143</v>
      </c>
      <c r="AV233" s="87">
        <v>0.90198268640044676</v>
      </c>
      <c r="AW233" s="87">
        <v>0.90184563758389258</v>
      </c>
      <c r="AX233" s="87">
        <v>0.90193331465396465</v>
      </c>
      <c r="AY233" s="87">
        <v>0.90171300196574</v>
      </c>
      <c r="AZ233" s="87">
        <v>0.90177314945116804</v>
      </c>
      <c r="BA233" s="87">
        <v>0.90157924421883817</v>
      </c>
      <c r="BB233" s="87">
        <v>0.90172267720982768</v>
      </c>
      <c r="BC233" s="87">
        <v>0.9019219898247598</v>
      </c>
      <c r="BD233" s="87">
        <v>0.9019219898247598</v>
      </c>
      <c r="BE233" s="87">
        <v>0.90169491525423728</v>
      </c>
      <c r="BF233" s="87">
        <v>0.90180586907449212</v>
      </c>
      <c r="BG233" s="87">
        <v>0.90191657271702363</v>
      </c>
    </row>
    <row r="234" spans="3:59" x14ac:dyDescent="0.2">
      <c r="C234" s="29">
        <v>29</v>
      </c>
      <c r="F234" s="87">
        <v>0.90454545454545454</v>
      </c>
      <c r="G234" s="87">
        <v>0.9043970686209194</v>
      </c>
      <c r="H234" s="87">
        <v>0.9044444444444445</v>
      </c>
      <c r="I234" s="87">
        <v>0.90434782608695652</v>
      </c>
      <c r="J234" s="87">
        <v>0.90439497716894979</v>
      </c>
      <c r="K234" s="87">
        <v>0.90452809601745776</v>
      </c>
      <c r="L234" s="87">
        <v>0.90442186212578957</v>
      </c>
      <c r="M234" s="87">
        <v>0.90450204638472032</v>
      </c>
      <c r="N234" s="87">
        <v>0.90447433433982982</v>
      </c>
      <c r="O234" s="87">
        <v>0.90458015267175573</v>
      </c>
      <c r="P234" s="87">
        <v>0.90455413144259611</v>
      </c>
      <c r="Q234" s="87">
        <v>0.90453527435610304</v>
      </c>
      <c r="R234" s="87">
        <v>0.90450552564465858</v>
      </c>
      <c r="S234" s="87">
        <v>0.90456911509543092</v>
      </c>
      <c r="T234" s="87">
        <v>0.90438472418670435</v>
      </c>
      <c r="U234" s="87">
        <v>0.90461003189330236</v>
      </c>
      <c r="V234" s="87">
        <v>0.90431348724179828</v>
      </c>
      <c r="W234" s="87">
        <v>0.90458937198067635</v>
      </c>
      <c r="X234" s="87">
        <v>0.90428061831153383</v>
      </c>
      <c r="Y234" s="87">
        <v>0.90470482469283786</v>
      </c>
      <c r="Z234" s="87">
        <v>0.90452261306532666</v>
      </c>
      <c r="AA234" s="87">
        <v>0.90446579988694176</v>
      </c>
      <c r="AB234" s="87">
        <v>0.90442381212452216</v>
      </c>
      <c r="AC234" s="87">
        <v>0.90445168295331158</v>
      </c>
      <c r="AD234" s="87">
        <v>0.90438786565547125</v>
      </c>
      <c r="AE234" s="87">
        <v>0.90441789385940541</v>
      </c>
      <c r="AF234" s="87">
        <v>0.90465444287729191</v>
      </c>
      <c r="AG234" s="87">
        <v>0.90461185906617014</v>
      </c>
      <c r="AH234" s="87">
        <v>0.90451083772700647</v>
      </c>
      <c r="AI234" s="87">
        <v>0.90457788347205703</v>
      </c>
      <c r="AJ234" s="87">
        <v>0.90449603291213632</v>
      </c>
      <c r="AK234" s="87">
        <v>0.90454016298020956</v>
      </c>
      <c r="AL234" s="87">
        <v>0.90447330447330443</v>
      </c>
      <c r="AM234" s="87">
        <v>0.90438018894932726</v>
      </c>
      <c r="AN234" s="87">
        <v>0.90454545454545454</v>
      </c>
      <c r="AO234" s="87">
        <v>0.90437235543018335</v>
      </c>
      <c r="AP234" s="87">
        <v>0.90437464946719015</v>
      </c>
      <c r="AQ234" s="87">
        <v>0.904296875</v>
      </c>
      <c r="AR234" s="87">
        <v>0.90439132851584214</v>
      </c>
      <c r="AS234" s="87">
        <v>0.90440565253532834</v>
      </c>
      <c r="AT234" s="87">
        <v>0.90434061376831631</v>
      </c>
      <c r="AU234" s="87">
        <v>0.9044462855564761</v>
      </c>
      <c r="AV234" s="87">
        <v>0.90447266703478746</v>
      </c>
      <c r="AW234" s="87">
        <v>0.90441988950276242</v>
      </c>
      <c r="AX234" s="87">
        <v>0.90453790813503043</v>
      </c>
      <c r="AY234" s="87">
        <v>0.90462988633213193</v>
      </c>
      <c r="AZ234" s="87">
        <v>0.90441789385940541</v>
      </c>
      <c r="BA234" s="87">
        <v>0.90448343079922022</v>
      </c>
      <c r="BB234" s="87">
        <v>0.9045758928571429</v>
      </c>
      <c r="BC234" s="87">
        <v>0.9044425817267393</v>
      </c>
      <c r="BD234" s="87">
        <v>0.9046420581655481</v>
      </c>
      <c r="BE234" s="87">
        <v>0.9046420581655481</v>
      </c>
      <c r="BF234" s="87">
        <v>0.90469536053661259</v>
      </c>
      <c r="BG234" s="87">
        <v>0.90452261306532666</v>
      </c>
    </row>
    <row r="235" spans="3:59" x14ac:dyDescent="0.2">
      <c r="C235" s="29">
        <v>30</v>
      </c>
      <c r="F235" s="87">
        <v>0.90802139037433161</v>
      </c>
      <c r="G235" s="87">
        <v>0.90788126919140222</v>
      </c>
      <c r="H235" s="87">
        <v>0.90774786605384106</v>
      </c>
      <c r="I235" s="87">
        <v>0.90795241077019406</v>
      </c>
      <c r="J235" s="87">
        <v>0.90796093518792542</v>
      </c>
      <c r="K235" s="87">
        <v>0.90783540022547915</v>
      </c>
      <c r="L235" s="87">
        <v>0.90781671159029653</v>
      </c>
      <c r="M235" s="87">
        <v>0.9080054274084125</v>
      </c>
      <c r="N235" s="87">
        <v>0.90779185764356973</v>
      </c>
      <c r="O235" s="87">
        <v>0.90805532953620827</v>
      </c>
      <c r="P235" s="87">
        <v>0.90813577586206895</v>
      </c>
      <c r="Q235" s="87">
        <v>0.90784155214227968</v>
      </c>
      <c r="R235" s="87">
        <v>0.90790929203539827</v>
      </c>
      <c r="S235" s="87">
        <v>0.90820039182759582</v>
      </c>
      <c r="T235" s="87">
        <v>0.90805254140491143</v>
      </c>
      <c r="U235" s="87">
        <v>0.90779547359597657</v>
      </c>
      <c r="V235" s="87">
        <v>0.90810191812195817</v>
      </c>
      <c r="W235" s="87">
        <v>0.90797362110311752</v>
      </c>
      <c r="X235" s="87">
        <v>0.90792610250297978</v>
      </c>
      <c r="Y235" s="87">
        <v>0.90786384976525825</v>
      </c>
      <c r="Z235" s="87">
        <v>0.90804257835600233</v>
      </c>
      <c r="AA235" s="87">
        <v>0.90781796966161021</v>
      </c>
      <c r="AB235" s="87">
        <v>0.90787269681742044</v>
      </c>
      <c r="AC235" s="87">
        <v>0.90798704803022123</v>
      </c>
      <c r="AD235" s="87">
        <v>0.90799356223175964</v>
      </c>
      <c r="AE235" s="87">
        <v>0.90792291220556742</v>
      </c>
      <c r="AF235" s="87">
        <v>0.90779363336992314</v>
      </c>
      <c r="AG235" s="87">
        <v>0.90779944289693593</v>
      </c>
      <c r="AH235" s="87">
        <v>0.90780542986425339</v>
      </c>
      <c r="AI235" s="87">
        <v>0.90777681410812372</v>
      </c>
      <c r="AJ235" s="87">
        <v>0.90789087709005578</v>
      </c>
      <c r="AK235" s="87">
        <v>0.90777262180974483</v>
      </c>
      <c r="AL235" s="87">
        <v>0.90778511921861538</v>
      </c>
      <c r="AM235" s="87">
        <v>0.90823596466229695</v>
      </c>
      <c r="AN235" s="87">
        <v>0.90785754663651785</v>
      </c>
      <c r="AO235" s="87">
        <v>0.90799438990182324</v>
      </c>
      <c r="AP235" s="87">
        <v>0.90805238227918639</v>
      </c>
      <c r="AQ235" s="87">
        <v>0.90803324099722993</v>
      </c>
      <c r="AR235" s="87">
        <v>0.90793825799338479</v>
      </c>
      <c r="AS235" s="87">
        <v>0.90804282185012353</v>
      </c>
      <c r="AT235" s="87">
        <v>0.90777230432402845</v>
      </c>
      <c r="AU235" s="87">
        <v>0.90794864791040697</v>
      </c>
      <c r="AV235" s="87">
        <v>0.90780141843971629</v>
      </c>
      <c r="AW235" s="87">
        <v>0.90782656122170713</v>
      </c>
      <c r="AX235" s="87">
        <v>0.90802401746724892</v>
      </c>
      <c r="AY235" s="87">
        <v>0.90817163159333147</v>
      </c>
      <c r="AZ235" s="87">
        <v>0.90799561883899238</v>
      </c>
      <c r="BA235" s="87">
        <v>0.90806805708013172</v>
      </c>
      <c r="BB235" s="87">
        <v>0.90786578657865791</v>
      </c>
      <c r="BC235" s="87">
        <v>0.90796362634334526</v>
      </c>
      <c r="BD235" s="87">
        <v>0.90783664459161151</v>
      </c>
      <c r="BE235" s="87">
        <v>0.90803645401822697</v>
      </c>
      <c r="BF235" s="87">
        <v>0.90803645401822697</v>
      </c>
      <c r="BG235" s="87">
        <v>0.90808722053546787</v>
      </c>
    </row>
    <row r="236" spans="3:59" x14ac:dyDescent="0.2">
      <c r="C236" s="29">
        <v>31</v>
      </c>
      <c r="F236" s="87">
        <v>0.91226818830242506</v>
      </c>
      <c r="G236" s="87">
        <v>0.91213389121338917</v>
      </c>
      <c r="H236" s="87">
        <v>0.91245791245791241</v>
      </c>
      <c r="I236" s="87">
        <v>0.91215559157212323</v>
      </c>
      <c r="J236" s="87">
        <v>0.91246520259820596</v>
      </c>
      <c r="K236" s="87">
        <v>0.91222937390286718</v>
      </c>
      <c r="L236" s="87">
        <v>0.91218288263172564</v>
      </c>
      <c r="M236" s="87">
        <v>0.91224326487063212</v>
      </c>
      <c r="N236" s="87">
        <v>0.91243620735965614</v>
      </c>
      <c r="O236" s="87">
        <v>0.91221985058697974</v>
      </c>
      <c r="P236" s="87">
        <v>0.9122383252818036</v>
      </c>
      <c r="Q236" s="87">
        <v>0.91229005598507062</v>
      </c>
      <c r="R236" s="87">
        <v>0.91226666666666667</v>
      </c>
      <c r="S236" s="87">
        <v>0.91244870041039672</v>
      </c>
      <c r="T236" s="87">
        <v>0.91226127871574869</v>
      </c>
      <c r="U236" s="87">
        <v>0.91219649915302092</v>
      </c>
      <c r="V236" s="87">
        <v>0.91238253178551687</v>
      </c>
      <c r="W236" s="87">
        <v>0.91225587319558454</v>
      </c>
      <c r="X236" s="87">
        <v>0.91259259259259262</v>
      </c>
      <c r="Y236" s="87">
        <v>0.91224970553592466</v>
      </c>
      <c r="Z236" s="87">
        <v>0.91238758340586013</v>
      </c>
      <c r="AA236" s="87">
        <v>0.91230634317451043</v>
      </c>
      <c r="AB236" s="87">
        <v>0.91231612344966828</v>
      </c>
      <c r="AC236" s="87">
        <v>0.91220320265046939</v>
      </c>
      <c r="AD236" s="87">
        <v>0.91217298451681794</v>
      </c>
      <c r="AE236" s="87">
        <v>0.91239713299707992</v>
      </c>
      <c r="AF236" s="87">
        <v>0.91234110169491522</v>
      </c>
      <c r="AG236" s="87">
        <v>0.91229975563399401</v>
      </c>
      <c r="AH236" s="87">
        <v>0.91237255442270593</v>
      </c>
      <c r="AI236" s="87">
        <v>0.91244755244755249</v>
      </c>
      <c r="AJ236" s="87">
        <v>0.91252144082332765</v>
      </c>
      <c r="AK236" s="87">
        <v>0.91241299303944312</v>
      </c>
      <c r="AL236" s="87">
        <v>0.91253226268999144</v>
      </c>
      <c r="AM236" s="87">
        <v>0.91224084067026412</v>
      </c>
      <c r="AN236" s="87">
        <v>0.91236968160045084</v>
      </c>
      <c r="AO236" s="87">
        <v>0.91224147568474012</v>
      </c>
      <c r="AP236" s="87">
        <v>0.91234396671289875</v>
      </c>
      <c r="AQ236" s="87">
        <v>0.91237255442270593</v>
      </c>
      <c r="AR236" s="87">
        <v>0.9123287671232877</v>
      </c>
      <c r="AS236" s="87">
        <v>0.91248636859323884</v>
      </c>
      <c r="AT236" s="87">
        <v>0.91229975563399401</v>
      </c>
      <c r="AU236" s="87">
        <v>0.91229020032485109</v>
      </c>
      <c r="AV236" s="87">
        <v>0.9124560929478519</v>
      </c>
      <c r="AW236" s="87">
        <v>0.91230437128980035</v>
      </c>
      <c r="AX236" s="87">
        <v>0.91232802805503099</v>
      </c>
      <c r="AY236" s="87">
        <v>0.91252699784017277</v>
      </c>
      <c r="AZ236" s="87">
        <v>0.91240875912408759</v>
      </c>
      <c r="BA236" s="87">
        <v>0.91251354279523289</v>
      </c>
      <c r="BB236" s="87">
        <v>0.91232356134636261</v>
      </c>
      <c r="BC236" s="87">
        <v>0.91240478781284007</v>
      </c>
      <c r="BD236" s="87">
        <v>0.91223766693922048</v>
      </c>
      <c r="BE236" s="87">
        <v>0.91239082969432317</v>
      </c>
      <c r="BF236" s="87">
        <v>0.91234298197706176</v>
      </c>
      <c r="BG236" s="87">
        <v>0.91234298197706176</v>
      </c>
    </row>
    <row r="237" spans="3:59" x14ac:dyDescent="0.2">
      <c r="C237" s="29">
        <v>32</v>
      </c>
      <c r="F237" s="87">
        <v>0.91795055535650305</v>
      </c>
      <c r="G237" s="87">
        <v>0.91775043936731104</v>
      </c>
      <c r="H237" s="87">
        <v>0.91796469366562827</v>
      </c>
      <c r="I237" s="87">
        <v>0.91778074866310155</v>
      </c>
      <c r="J237" s="87">
        <v>0.91790083708950421</v>
      </c>
      <c r="K237" s="87">
        <v>0.91794714197910265</v>
      </c>
      <c r="L237" s="87">
        <v>0.91799941843559174</v>
      </c>
      <c r="M237" s="87">
        <v>0.91796008869179602</v>
      </c>
      <c r="N237" s="87">
        <v>0.91801538869726718</v>
      </c>
      <c r="O237" s="87">
        <v>0.91800213675213671</v>
      </c>
      <c r="P237" s="87">
        <v>0.91775006633059164</v>
      </c>
      <c r="Q237" s="87">
        <v>0.91806778756338403</v>
      </c>
      <c r="R237" s="87">
        <v>0.91808059384941676</v>
      </c>
      <c r="S237" s="87">
        <v>0.9177936886767436</v>
      </c>
      <c r="T237" s="87">
        <v>0.91811751904243744</v>
      </c>
      <c r="U237" s="87">
        <v>0.91799669785360483</v>
      </c>
      <c r="V237" s="87">
        <v>0.91804658995228738</v>
      </c>
      <c r="W237" s="87">
        <v>0.91810937070623799</v>
      </c>
      <c r="X237" s="87">
        <v>0.91812042768711311</v>
      </c>
      <c r="Y237" s="87">
        <v>0.91786870768324991</v>
      </c>
      <c r="Z237" s="87">
        <v>0.91805677494878546</v>
      </c>
      <c r="AA237" s="87">
        <v>0.91784375900835979</v>
      </c>
      <c r="AB237" s="87">
        <v>0.91780424048794651</v>
      </c>
      <c r="AC237" s="87">
        <v>0.91774147320149035</v>
      </c>
      <c r="AD237" s="87">
        <v>0.91792478726324456</v>
      </c>
      <c r="AE237" s="87">
        <v>0.91797186089726568</v>
      </c>
      <c r="AF237" s="87">
        <v>0.91792029559250465</v>
      </c>
      <c r="AG237" s="87">
        <v>0.91809323149855149</v>
      </c>
      <c r="AH237" s="87">
        <v>0.91794871794871791</v>
      </c>
      <c r="AI237" s="87">
        <v>0.9178307313064914</v>
      </c>
      <c r="AJ237" s="87">
        <v>0.91798721156519325</v>
      </c>
      <c r="AK237" s="87">
        <v>0.91789772727272723</v>
      </c>
      <c r="AL237" s="87">
        <v>0.91815561959654179</v>
      </c>
      <c r="AM237" s="87">
        <v>0.91792533485323458</v>
      </c>
      <c r="AN237" s="87">
        <v>0.9181253529079616</v>
      </c>
      <c r="AO237" s="87">
        <v>0.91795015401848223</v>
      </c>
      <c r="AP237" s="87">
        <v>0.91803278688524592</v>
      </c>
      <c r="AQ237" s="87">
        <v>0.91783843396746623</v>
      </c>
      <c r="AR237" s="87">
        <v>0.9178307313064914</v>
      </c>
      <c r="AS237" s="87">
        <v>0.91802832244008714</v>
      </c>
      <c r="AT237" s="87">
        <v>0.91788617886178858</v>
      </c>
      <c r="AU237" s="87">
        <v>0.91794871794871791</v>
      </c>
      <c r="AV237" s="87">
        <v>0.91792249730893438</v>
      </c>
      <c r="AW237" s="87">
        <v>0.91807681976900346</v>
      </c>
      <c r="AX237" s="87">
        <v>0.9179184549356223</v>
      </c>
      <c r="AY237" s="87">
        <v>0.91794046661303297</v>
      </c>
      <c r="AZ237" s="87">
        <v>0.91814278046162101</v>
      </c>
      <c r="BA237" s="87">
        <v>0.91803278688524592</v>
      </c>
      <c r="BB237" s="87">
        <v>0.91814754981152391</v>
      </c>
      <c r="BC237" s="87">
        <v>0.91797085806799783</v>
      </c>
      <c r="BD237" s="87">
        <v>0.91806381828015138</v>
      </c>
      <c r="BE237" s="87">
        <v>0.91790842590083987</v>
      </c>
      <c r="BF237" s="87">
        <v>0.91806836679327186</v>
      </c>
      <c r="BG237" s="87">
        <v>0.91802388707926164</v>
      </c>
    </row>
    <row r="238" spans="3:59" x14ac:dyDescent="0.2">
      <c r="C238" s="29">
        <v>33</v>
      </c>
      <c r="F238" s="87">
        <v>0.92205393424455118</v>
      </c>
      <c r="G238" s="87">
        <v>0.92236795462601917</v>
      </c>
      <c r="H238" s="87">
        <v>0.92194609730486521</v>
      </c>
      <c r="I238" s="87">
        <v>0.92209582902447429</v>
      </c>
      <c r="J238" s="87">
        <v>0.92210386151797608</v>
      </c>
      <c r="K238" s="87">
        <v>0.92206542655548429</v>
      </c>
      <c r="L238" s="87">
        <v>0.92222902633190451</v>
      </c>
      <c r="M238" s="87">
        <v>0.92231884057971014</v>
      </c>
      <c r="N238" s="87">
        <v>0.92207792207792205</v>
      </c>
      <c r="O238" s="87">
        <v>0.92224279291192801</v>
      </c>
      <c r="P238" s="87">
        <v>0.92225772097976566</v>
      </c>
      <c r="Q238" s="87">
        <v>0.92222222222222228</v>
      </c>
      <c r="R238" s="87">
        <v>0.92205373769619581</v>
      </c>
      <c r="S238" s="87">
        <v>0.92204016913319242</v>
      </c>
      <c r="T238" s="87">
        <v>0.92226335272342674</v>
      </c>
      <c r="U238" s="87">
        <v>0.92218004338394799</v>
      </c>
      <c r="V238" s="87">
        <v>0.9221064179923204</v>
      </c>
      <c r="W238" s="87">
        <v>0.92223776223776222</v>
      </c>
      <c r="X238" s="87">
        <v>0.92221309230347848</v>
      </c>
      <c r="Y238" s="87">
        <v>0.9223219293325855</v>
      </c>
      <c r="Z238" s="87">
        <v>0.92226459372249925</v>
      </c>
      <c r="AA238" s="87">
        <v>0.92213473315835526</v>
      </c>
      <c r="AB238" s="87">
        <v>0.92214880781384656</v>
      </c>
      <c r="AC238" s="87">
        <v>0.92214182344428364</v>
      </c>
      <c r="AD238" s="87">
        <v>0.92202227934875747</v>
      </c>
      <c r="AE238" s="87">
        <v>0.92229822161422703</v>
      </c>
      <c r="AF238" s="87">
        <v>0.92220164064567345</v>
      </c>
      <c r="AG238" s="87">
        <v>0.92212575637990002</v>
      </c>
      <c r="AH238" s="87">
        <v>0.92228931478078235</v>
      </c>
      <c r="AI238" s="87">
        <v>0.92224912563895611</v>
      </c>
      <c r="AJ238" s="87">
        <v>0.92219492219492216</v>
      </c>
      <c r="AK238" s="87">
        <v>0.92213909670268768</v>
      </c>
      <c r="AL238" s="87">
        <v>0.92216246815737335</v>
      </c>
      <c r="AM238" s="87">
        <v>0.92219351134079819</v>
      </c>
      <c r="AN238" s="87">
        <v>0.92220329358319142</v>
      </c>
      <c r="AO238" s="87">
        <v>0.92208157524613221</v>
      </c>
      <c r="AP238" s="87">
        <v>0.9221540178571429</v>
      </c>
      <c r="AQ238" s="87">
        <v>0.92220376522702108</v>
      </c>
      <c r="AR238" s="87">
        <v>0.92223138224787027</v>
      </c>
      <c r="AS238" s="87">
        <v>0.92194323144104806</v>
      </c>
      <c r="AT238" s="87">
        <v>0.92211668928086843</v>
      </c>
      <c r="AU238" s="87">
        <v>0.92195517148258166</v>
      </c>
      <c r="AV238" s="87">
        <v>0.92224912563895611</v>
      </c>
      <c r="AW238" s="87">
        <v>0.9222103004291845</v>
      </c>
      <c r="AX238" s="87">
        <v>0.92210920770877947</v>
      </c>
      <c r="AY238" s="87">
        <v>0.922192513368984</v>
      </c>
      <c r="AZ238" s="87">
        <v>0.92221331194867684</v>
      </c>
      <c r="BA238" s="87">
        <v>0.9221717036640813</v>
      </c>
      <c r="BB238" s="87">
        <v>0.92206748794858062</v>
      </c>
      <c r="BC238" s="87">
        <v>0.92218942849476793</v>
      </c>
      <c r="BD238" s="87">
        <v>0.92229093842430765</v>
      </c>
      <c r="BE238" s="87">
        <v>0.92212341686876853</v>
      </c>
      <c r="BF238" s="87">
        <v>0.9222462203023758</v>
      </c>
      <c r="BG238" s="87">
        <v>0.92214111922141118</v>
      </c>
    </row>
    <row r="239" spans="3:59" x14ac:dyDescent="0.2">
      <c r="C239" s="29">
        <v>34</v>
      </c>
      <c r="F239" s="87">
        <v>0.92650334075723828</v>
      </c>
      <c r="G239" s="87">
        <v>0.92656192911947388</v>
      </c>
      <c r="H239" s="87">
        <v>0.92657959759971764</v>
      </c>
      <c r="I239" s="87">
        <v>0.92677824267782427</v>
      </c>
      <c r="J239" s="87">
        <v>0.92653621695846211</v>
      </c>
      <c r="K239" s="87">
        <v>0.92669983416252077</v>
      </c>
      <c r="L239" s="87">
        <v>0.92649408756791307</v>
      </c>
      <c r="M239" s="87">
        <v>0.9267622825755264</v>
      </c>
      <c r="N239" s="87">
        <v>0.92634315424610048</v>
      </c>
      <c r="O239" s="87">
        <v>0.92672176308539944</v>
      </c>
      <c r="P239" s="87">
        <v>0.92668776371308015</v>
      </c>
      <c r="Q239" s="87">
        <v>0.92646668436421553</v>
      </c>
      <c r="R239" s="87">
        <v>0.92666842521762072</v>
      </c>
      <c r="S239" s="87">
        <v>0.92652519893899199</v>
      </c>
      <c r="T239" s="87">
        <v>0.92648221343873516</v>
      </c>
      <c r="U239" s="87">
        <v>0.92646283605693203</v>
      </c>
      <c r="V239" s="87">
        <v>0.92648648648648646</v>
      </c>
      <c r="W239" s="87">
        <v>0.92671588733934918</v>
      </c>
      <c r="X239" s="87">
        <v>0.92640089211039867</v>
      </c>
      <c r="Y239" s="87">
        <v>0.9265629265629266</v>
      </c>
      <c r="Z239" s="87">
        <v>0.92649524874231415</v>
      </c>
      <c r="AA239" s="87">
        <v>0.92662964045600704</v>
      </c>
      <c r="AB239" s="87">
        <v>0.92647486195873296</v>
      </c>
      <c r="AC239" s="87">
        <v>0.92642427712567998</v>
      </c>
      <c r="AD239" s="87">
        <v>0.92644937986732045</v>
      </c>
      <c r="AE239" s="87">
        <v>0.9265584970111016</v>
      </c>
      <c r="AF239" s="87">
        <v>0.92664303245159529</v>
      </c>
      <c r="AG239" s="87">
        <v>0.92666842521762072</v>
      </c>
      <c r="AH239" s="87">
        <v>0.92656700760555988</v>
      </c>
      <c r="AI239" s="87">
        <v>0.92645904213556662</v>
      </c>
      <c r="AJ239" s="87">
        <v>0.92652185572539558</v>
      </c>
      <c r="AK239" s="87">
        <v>0.92653061224489797</v>
      </c>
      <c r="AL239" s="87">
        <v>0.92653962993648165</v>
      </c>
      <c r="AM239" s="87">
        <v>0.92637517630465449</v>
      </c>
      <c r="AN239" s="87">
        <v>0.92646638054363373</v>
      </c>
      <c r="AO239" s="87">
        <v>0.92642897566496885</v>
      </c>
      <c r="AP239" s="87">
        <v>0.92654892066162042</v>
      </c>
      <c r="AQ239" s="87">
        <v>0.92658509454949944</v>
      </c>
      <c r="AR239" s="87">
        <v>0.92660044150110377</v>
      </c>
      <c r="AS239" s="87">
        <v>0.92634173055859803</v>
      </c>
      <c r="AT239" s="87">
        <v>0.92655059847660504</v>
      </c>
      <c r="AU239" s="87">
        <v>0.92642683256694613</v>
      </c>
      <c r="AV239" s="87">
        <v>0.92651413189771192</v>
      </c>
      <c r="AW239" s="87">
        <v>0.92654155495978552</v>
      </c>
      <c r="AX239" s="87">
        <v>0.9264902432504678</v>
      </c>
      <c r="AY239" s="87">
        <v>0.92662753468516545</v>
      </c>
      <c r="AZ239" s="87">
        <v>0.92645883293365305</v>
      </c>
      <c r="BA239" s="87">
        <v>0.92647842301545014</v>
      </c>
      <c r="BB239" s="87">
        <v>0.92643923240938164</v>
      </c>
      <c r="BC239" s="87">
        <v>0.9263410728582866</v>
      </c>
      <c r="BD239" s="87">
        <v>0.92647058823529416</v>
      </c>
      <c r="BE239" s="87">
        <v>0.92658092175777063</v>
      </c>
      <c r="BF239" s="87">
        <v>0.92642320085929108</v>
      </c>
      <c r="BG239" s="87">
        <v>0.92655367231638419</v>
      </c>
    </row>
    <row r="240" spans="3:59" x14ac:dyDescent="0.2">
      <c r="C240" s="29">
        <v>35</v>
      </c>
      <c r="F240" s="87">
        <v>0.92876089427813568</v>
      </c>
      <c r="G240" s="87">
        <v>0.92836149889786923</v>
      </c>
      <c r="H240" s="87">
        <v>0.92831149927219792</v>
      </c>
      <c r="I240" s="87">
        <v>0.92862165963431786</v>
      </c>
      <c r="J240" s="87">
        <v>0.92847222222222225</v>
      </c>
      <c r="K240" s="87">
        <v>0.92852257181942544</v>
      </c>
      <c r="L240" s="87">
        <v>0.92861863846662263</v>
      </c>
      <c r="M240" s="87">
        <v>0.92866242038216562</v>
      </c>
      <c r="N240" s="87">
        <v>0.92852798053527985</v>
      </c>
      <c r="O240" s="87">
        <v>0.9285714285714286</v>
      </c>
      <c r="P240" s="87">
        <v>0.9285910464158198</v>
      </c>
      <c r="Q240" s="87">
        <v>0.92847751774914544</v>
      </c>
      <c r="R240" s="87">
        <v>0.92853361566966652</v>
      </c>
      <c r="S240" s="87">
        <v>0.92845870594423985</v>
      </c>
      <c r="T240" s="87">
        <v>0.92859032002115838</v>
      </c>
      <c r="U240" s="87">
        <v>0.92853389385181295</v>
      </c>
      <c r="V240" s="87">
        <v>0.92851511169513801</v>
      </c>
      <c r="W240" s="87">
        <v>0.9285714285714286</v>
      </c>
      <c r="X240" s="87">
        <v>0.9285714285714286</v>
      </c>
      <c r="Y240" s="87">
        <v>0.9285714285714286</v>
      </c>
      <c r="Z240" s="87">
        <v>0.92841589548176373</v>
      </c>
      <c r="AA240" s="87">
        <v>0.92867093898021735</v>
      </c>
      <c r="AB240" s="87">
        <v>0.92861305361305357</v>
      </c>
      <c r="AC240" s="87">
        <v>0.92873696407879491</v>
      </c>
      <c r="AD240" s="87">
        <v>0.92865296803652964</v>
      </c>
      <c r="AE240" s="87">
        <v>0.92869465209890745</v>
      </c>
      <c r="AF240" s="87">
        <v>0.92849035187287177</v>
      </c>
      <c r="AG240" s="87">
        <v>0.92849374660141382</v>
      </c>
      <c r="AH240" s="87">
        <v>0.92872172540768017</v>
      </c>
      <c r="AI240" s="87">
        <v>0.92860878661087864</v>
      </c>
      <c r="AJ240" s="87">
        <v>0.92849686847599167</v>
      </c>
      <c r="AK240" s="87">
        <v>0.92860962566844918</v>
      </c>
      <c r="AL240" s="87">
        <v>0.92839707078925959</v>
      </c>
      <c r="AM240" s="87">
        <v>0.92843380126617125</v>
      </c>
      <c r="AN240" s="87">
        <v>0.9285714285714286</v>
      </c>
      <c r="AO240" s="87">
        <v>0.92842885657256913</v>
      </c>
      <c r="AP240" s="87">
        <v>0.92836999435984202</v>
      </c>
      <c r="AQ240" s="87">
        <v>0.92847164012293937</v>
      </c>
      <c r="AR240" s="87">
        <v>0.9284922394678492</v>
      </c>
      <c r="AS240" s="87">
        <v>0.92849284928492848</v>
      </c>
      <c r="AT240" s="87">
        <v>0.92847392847392851</v>
      </c>
      <c r="AU240" s="87">
        <v>0.92866829400596695</v>
      </c>
      <c r="AV240" s="87">
        <v>0.9285521703963332</v>
      </c>
      <c r="AW240" s="87">
        <v>0.9283606117520794</v>
      </c>
      <c r="AX240" s="87">
        <v>0.92862870890136329</v>
      </c>
      <c r="AY240" s="87">
        <v>0.9285714285714286</v>
      </c>
      <c r="AZ240" s="87">
        <v>0.92845744680851061</v>
      </c>
      <c r="BA240" s="87">
        <v>0.92828685258964139</v>
      </c>
      <c r="BB240" s="87">
        <v>0.92830589484864579</v>
      </c>
      <c r="BC240" s="87">
        <v>0.92853347502656747</v>
      </c>
      <c r="BD240" s="87">
        <v>0.92843841447193398</v>
      </c>
      <c r="BE240" s="87">
        <v>0.92830490405117272</v>
      </c>
      <c r="BF240" s="87">
        <v>0.92841880341880345</v>
      </c>
      <c r="BG240" s="87">
        <v>0.92853319057815842</v>
      </c>
    </row>
    <row r="241" spans="3:59" x14ac:dyDescent="0.2">
      <c r="C241" s="29">
        <v>36</v>
      </c>
      <c r="F241" s="87">
        <v>0.92753067484662577</v>
      </c>
      <c r="G241" s="87">
        <v>0.92798199549887472</v>
      </c>
      <c r="H241" s="87">
        <v>0.92789165446559296</v>
      </c>
      <c r="I241" s="87">
        <v>0.92784626540971715</v>
      </c>
      <c r="J241" s="87">
        <v>0.92782060266292921</v>
      </c>
      <c r="K241" s="87">
        <v>0.92768166089965398</v>
      </c>
      <c r="L241" s="87">
        <v>0.92774369461486028</v>
      </c>
      <c r="M241" s="87">
        <v>0.92786561264822132</v>
      </c>
      <c r="N241" s="87">
        <v>0.92793650793650795</v>
      </c>
      <c r="O241" s="87">
        <v>0.92783505154639179</v>
      </c>
      <c r="P241" s="87">
        <v>0.92791499138426192</v>
      </c>
      <c r="Q241" s="87">
        <v>0.92769104354971244</v>
      </c>
      <c r="R241" s="87">
        <v>0.92785939139559281</v>
      </c>
      <c r="S241" s="87">
        <v>0.92766631467793026</v>
      </c>
      <c r="T241" s="87">
        <v>0.92759706190975866</v>
      </c>
      <c r="U241" s="87">
        <v>0.92772355579002896</v>
      </c>
      <c r="V241" s="87">
        <v>0.92767295597484278</v>
      </c>
      <c r="W241" s="87">
        <v>0.92789722076560044</v>
      </c>
      <c r="X241" s="87">
        <v>0.92795698924731185</v>
      </c>
      <c r="Y241" s="87">
        <v>0.92767808591625889</v>
      </c>
      <c r="Z241" s="87">
        <v>0.92766075388026603</v>
      </c>
      <c r="AA241" s="87">
        <v>0.92779587404994568</v>
      </c>
      <c r="AB241" s="87">
        <v>0.927757710475132</v>
      </c>
      <c r="AC241" s="87">
        <v>0.92767934940458907</v>
      </c>
      <c r="AD241" s="87">
        <v>0.92780825873520067</v>
      </c>
      <c r="AE241" s="87">
        <v>0.92800227660785428</v>
      </c>
      <c r="AF241" s="87">
        <v>0.92777300085984526</v>
      </c>
      <c r="AG241" s="87">
        <v>0.92758132956152761</v>
      </c>
      <c r="AH241" s="87">
        <v>0.92762266196801302</v>
      </c>
      <c r="AI241" s="87">
        <v>0.92761605035405192</v>
      </c>
      <c r="AJ241" s="87">
        <v>0.92750977835723603</v>
      </c>
      <c r="AK241" s="87">
        <v>0.92766068175904237</v>
      </c>
      <c r="AL241" s="87">
        <v>0.9277525993068515</v>
      </c>
      <c r="AM241" s="87">
        <v>0.92777928049770086</v>
      </c>
      <c r="AN241" s="87">
        <v>0.92755214050493962</v>
      </c>
      <c r="AO241" s="87">
        <v>0.92767031118587051</v>
      </c>
      <c r="AP241" s="87">
        <v>0.92777935740688089</v>
      </c>
      <c r="AQ241" s="87">
        <v>0.92772778402699663</v>
      </c>
      <c r="AR241" s="87">
        <v>0.92757660167130918</v>
      </c>
      <c r="AS241" s="87">
        <v>0.92786069651741299</v>
      </c>
      <c r="AT241" s="87">
        <v>0.92761173567315602</v>
      </c>
      <c r="AU241" s="87">
        <v>0.92787152966793685</v>
      </c>
      <c r="AV241" s="87">
        <v>0.92779881016765819</v>
      </c>
      <c r="AW241" s="87">
        <v>0.92793761763915028</v>
      </c>
      <c r="AX241" s="87">
        <v>0.92776886035313</v>
      </c>
      <c r="AY241" s="87">
        <v>0.92777185501066095</v>
      </c>
      <c r="AZ241" s="87">
        <v>0.92771724687749135</v>
      </c>
      <c r="BA241" s="87">
        <v>0.92760540970564842</v>
      </c>
      <c r="BB241" s="87">
        <v>0.92794701986754968</v>
      </c>
      <c r="BC241" s="87">
        <v>0.92772041302621133</v>
      </c>
      <c r="BD241" s="87">
        <v>0.92792792792792789</v>
      </c>
      <c r="BE241" s="87">
        <v>0.92758620689655169</v>
      </c>
      <c r="BF241" s="87">
        <v>0.92771724687749135</v>
      </c>
      <c r="BG241" s="87">
        <v>0.92756324900133158</v>
      </c>
    </row>
    <row r="242" spans="3:59" x14ac:dyDescent="0.2">
      <c r="C242" s="29">
        <v>37</v>
      </c>
      <c r="F242" s="87">
        <v>0.92394695787831516</v>
      </c>
      <c r="G242" s="87">
        <v>0.92366122293961261</v>
      </c>
      <c r="H242" s="87">
        <v>0.92373831775700932</v>
      </c>
      <c r="I242" s="87">
        <v>0.92375045603794237</v>
      </c>
      <c r="J242" s="87">
        <v>0.92374412721358867</v>
      </c>
      <c r="K242" s="87">
        <v>0.92385609500523924</v>
      </c>
      <c r="L242" s="87">
        <v>0.92342186961021044</v>
      </c>
      <c r="M242" s="87">
        <v>0.92354740061162077</v>
      </c>
      <c r="N242" s="87">
        <v>0.92380952380952386</v>
      </c>
      <c r="O242" s="87">
        <v>0.92371003482114589</v>
      </c>
      <c r="P242" s="87">
        <v>0.92379800423344416</v>
      </c>
      <c r="Q242" s="87">
        <v>0.92380406760240619</v>
      </c>
      <c r="R242" s="87">
        <v>0.92374965837660561</v>
      </c>
      <c r="S242" s="87">
        <v>0.92358021460350692</v>
      </c>
      <c r="T242" s="87">
        <v>0.92360379346680721</v>
      </c>
      <c r="U242" s="87">
        <v>0.9238219895287958</v>
      </c>
      <c r="V242" s="87">
        <v>0.92366412213740456</v>
      </c>
      <c r="W242" s="87">
        <v>0.92364016736401677</v>
      </c>
      <c r="X242" s="87">
        <v>0.92362019356526293</v>
      </c>
      <c r="Y242" s="87">
        <v>0.9238401716277822</v>
      </c>
      <c r="Z242" s="87">
        <v>0.92378627610523456</v>
      </c>
      <c r="AA242" s="87">
        <v>0.923693668786287</v>
      </c>
      <c r="AB242" s="87">
        <v>0.92363931762794471</v>
      </c>
      <c r="AC242" s="87">
        <v>0.92378048780487809</v>
      </c>
      <c r="AD242" s="87">
        <v>0.92352259559675554</v>
      </c>
      <c r="AE242" s="87">
        <v>0.92367511520737322</v>
      </c>
      <c r="AF242" s="87">
        <v>0.92366628830874009</v>
      </c>
      <c r="AG242" s="87">
        <v>0.92367066895368777</v>
      </c>
      <c r="AH242" s="87">
        <v>0.92353273137697522</v>
      </c>
      <c r="AI242" s="87">
        <v>0.92374256354786366</v>
      </c>
      <c r="AJ242" s="87">
        <v>0.92360020931449505</v>
      </c>
      <c r="AK242" s="87">
        <v>0.92351716961498442</v>
      </c>
      <c r="AL242" s="87">
        <v>0.92367601246105924</v>
      </c>
      <c r="AM242" s="87">
        <v>0.9236702127659574</v>
      </c>
      <c r="AN242" s="87">
        <v>0.92365794442945781</v>
      </c>
      <c r="AO242" s="87">
        <v>0.92362441828634001</v>
      </c>
      <c r="AP242" s="87">
        <v>0.92367906066536198</v>
      </c>
      <c r="AQ242" s="87">
        <v>0.92373121633115962</v>
      </c>
      <c r="AR242" s="87">
        <v>0.92372406057206957</v>
      </c>
      <c r="AS242" s="87">
        <v>0.92386774103917757</v>
      </c>
      <c r="AT242" s="87">
        <v>0.92364939360529219</v>
      </c>
      <c r="AU242" s="87">
        <v>0.92368708971553615</v>
      </c>
      <c r="AV242" s="87">
        <v>0.92372421281216066</v>
      </c>
      <c r="AW242" s="87">
        <v>0.92367853290183388</v>
      </c>
      <c r="AX242" s="87">
        <v>0.9238401716277822</v>
      </c>
      <c r="AY242" s="87">
        <v>0.92367227115025352</v>
      </c>
      <c r="AZ242" s="87">
        <v>0.92371079213184482</v>
      </c>
      <c r="BA242" s="87">
        <v>0.92366816856612777</v>
      </c>
      <c r="BB242" s="87">
        <v>0.92356519439301776</v>
      </c>
      <c r="BC242" s="87">
        <v>0.92364597093791279</v>
      </c>
      <c r="BD242" s="87">
        <v>0.92366613840464873</v>
      </c>
      <c r="BE242" s="87">
        <v>0.92389006342494717</v>
      </c>
      <c r="BF242" s="87">
        <v>0.92354497354497356</v>
      </c>
      <c r="BG242" s="87">
        <v>0.92366816856612777</v>
      </c>
    </row>
    <row r="243" spans="3:59" x14ac:dyDescent="0.2">
      <c r="C243" s="29">
        <v>38</v>
      </c>
      <c r="F243" s="87">
        <v>0.91922639362912395</v>
      </c>
      <c r="G243" s="87">
        <v>0.91959798994974873</v>
      </c>
      <c r="H243" s="87">
        <v>0.91934873154108288</v>
      </c>
      <c r="I243" s="87">
        <v>0.91912038762579207</v>
      </c>
      <c r="J243" s="87">
        <v>0.91924336122226269</v>
      </c>
      <c r="K243" s="87">
        <v>0.91927927927927933</v>
      </c>
      <c r="L243" s="87">
        <v>0.91919191919191923</v>
      </c>
      <c r="M243" s="87">
        <v>0.91947694425326909</v>
      </c>
      <c r="N243" s="87">
        <v>0.9190105049135886</v>
      </c>
      <c r="O243" s="87">
        <v>0.91909597117589259</v>
      </c>
      <c r="P243" s="87">
        <v>0.91916640353646983</v>
      </c>
      <c r="Q243" s="87">
        <v>0.91915535444947205</v>
      </c>
      <c r="R243" s="87">
        <v>0.9193825042881647</v>
      </c>
      <c r="S243" s="87">
        <v>0.91928006544859553</v>
      </c>
      <c r="T243" s="87">
        <v>0.91927899686520376</v>
      </c>
      <c r="U243" s="87">
        <v>0.9190325972660357</v>
      </c>
      <c r="V243" s="87">
        <v>0.91927899686520376</v>
      </c>
      <c r="W243" s="87">
        <v>0.91909640136590487</v>
      </c>
      <c r="X243" s="87">
        <v>0.91910229645093944</v>
      </c>
      <c r="Y243" s="87">
        <v>0.91908117984860349</v>
      </c>
      <c r="Z243" s="87">
        <v>0.91918651324591916</v>
      </c>
      <c r="AA243" s="87">
        <v>0.91935047361299049</v>
      </c>
      <c r="AB243" s="87">
        <v>0.91917241379310344</v>
      </c>
      <c r="AC243" s="87">
        <v>0.91921102404755473</v>
      </c>
      <c r="AD243" s="87">
        <v>0.91924778761061943</v>
      </c>
      <c r="AE243" s="87">
        <v>0.91936416184971104</v>
      </c>
      <c r="AF243" s="87">
        <v>0.91925287356321839</v>
      </c>
      <c r="AG243" s="87">
        <v>0.91930917327293316</v>
      </c>
      <c r="AH243" s="87">
        <v>0.91928123217341695</v>
      </c>
      <c r="AI243" s="87">
        <v>0.9192004504504504</v>
      </c>
      <c r="AJ243" s="87">
        <v>0.9193200215866163</v>
      </c>
      <c r="AK243" s="87">
        <v>0.91932114882506533</v>
      </c>
      <c r="AL243" s="87">
        <v>0.91926272066458981</v>
      </c>
      <c r="AM243" s="87">
        <v>0.91943005181347148</v>
      </c>
      <c r="AN243" s="87">
        <v>0.91907667816396921</v>
      </c>
      <c r="AO243" s="87">
        <v>0.91924629878869446</v>
      </c>
      <c r="AP243" s="87">
        <v>0.91942092324501501</v>
      </c>
      <c r="AQ243" s="87">
        <v>0.91938633193863317</v>
      </c>
      <c r="AR243" s="87">
        <v>0.91911764705882348</v>
      </c>
      <c r="AS243" s="87">
        <v>0.91916083916083913</v>
      </c>
      <c r="AT243" s="87">
        <v>0.91934589800443456</v>
      </c>
      <c r="AU243" s="87">
        <v>0.91916414627440202</v>
      </c>
      <c r="AV243" s="87">
        <v>0.91923601637107777</v>
      </c>
      <c r="AW243" s="87">
        <v>0.91928494041170095</v>
      </c>
      <c r="AX243" s="87">
        <v>0.91928974979822442</v>
      </c>
      <c r="AY243" s="87">
        <v>0.91920813269127877</v>
      </c>
      <c r="AZ243" s="87">
        <v>0.91932907348242809</v>
      </c>
      <c r="BA243" s="87">
        <v>0.91911959692389289</v>
      </c>
      <c r="BB243" s="87">
        <v>0.91909042834479115</v>
      </c>
      <c r="BC243" s="87">
        <v>0.91926121372031666</v>
      </c>
      <c r="BD243" s="87">
        <v>0.91934633632050611</v>
      </c>
      <c r="BE243" s="87">
        <v>0.91936758893280635</v>
      </c>
      <c r="BF243" s="87">
        <v>0.91932507250197737</v>
      </c>
      <c r="BG243" s="87">
        <v>0.91948257655755017</v>
      </c>
    </row>
    <row r="244" spans="3:59" x14ac:dyDescent="0.2">
      <c r="C244" s="29">
        <v>39</v>
      </c>
      <c r="F244" s="87">
        <v>0.91559424678274037</v>
      </c>
      <c r="G244" s="87">
        <v>0.91569439217162218</v>
      </c>
      <c r="H244" s="87">
        <v>0.9155744024672321</v>
      </c>
      <c r="I244" s="87">
        <v>0.91575368341518704</v>
      </c>
      <c r="J244" s="87">
        <v>0.91595388620304941</v>
      </c>
      <c r="K244" s="87">
        <v>0.91578947368421049</v>
      </c>
      <c r="L244" s="87">
        <v>0.91585760517799353</v>
      </c>
      <c r="M244" s="87">
        <v>0.91588460201598887</v>
      </c>
      <c r="N244" s="87">
        <v>0.91555097837281152</v>
      </c>
      <c r="O244" s="87">
        <v>0.91579303347987828</v>
      </c>
      <c r="P244" s="87">
        <v>0.9156587119973848</v>
      </c>
      <c r="Q244" s="87">
        <v>0.91585250551528519</v>
      </c>
      <c r="R244" s="87">
        <v>0.91568804576934659</v>
      </c>
      <c r="S244" s="87">
        <v>0.91581050228310501</v>
      </c>
      <c r="T244" s="87">
        <v>0.91560032670841274</v>
      </c>
      <c r="U244" s="87">
        <v>0.91575378195096502</v>
      </c>
      <c r="V244" s="87">
        <v>0.91572591231294298</v>
      </c>
      <c r="W244" s="87">
        <v>0.91575378195096502</v>
      </c>
      <c r="X244" s="87">
        <v>0.91555205874639389</v>
      </c>
      <c r="Y244" s="87">
        <v>0.91558103178738925</v>
      </c>
      <c r="Z244" s="87">
        <v>0.91555903049257237</v>
      </c>
      <c r="AA244" s="87">
        <v>0.91584290675928404</v>
      </c>
      <c r="AB244" s="87">
        <v>0.9156984598757093</v>
      </c>
      <c r="AC244" s="87">
        <v>0.91572569540071602</v>
      </c>
      <c r="AD244" s="87">
        <v>0.91583490693282976</v>
      </c>
      <c r="AE244" s="87">
        <v>0.91553960805961909</v>
      </c>
      <c r="AF244" s="87">
        <v>0.91548889529852895</v>
      </c>
      <c r="AG244" s="87">
        <v>0.91568683682248353</v>
      </c>
      <c r="AH244" s="87">
        <v>0.91551285673919192</v>
      </c>
      <c r="AI244" s="87">
        <v>0.91574153145459725</v>
      </c>
      <c r="AJ244" s="87">
        <v>0.91570665917392524</v>
      </c>
      <c r="AK244" s="87">
        <v>0.91570158901158094</v>
      </c>
      <c r="AL244" s="87">
        <v>0.91555903049257237</v>
      </c>
      <c r="AM244" s="87">
        <v>0.91552215599896347</v>
      </c>
      <c r="AN244" s="87">
        <v>0.91569692267907943</v>
      </c>
      <c r="AO244" s="87">
        <v>0.91576158940397356</v>
      </c>
      <c r="AP244" s="87">
        <v>0.91563675443310044</v>
      </c>
      <c r="AQ244" s="87">
        <v>0.91575790621592146</v>
      </c>
      <c r="AR244" s="87">
        <v>0.91564587973273948</v>
      </c>
      <c r="AS244" s="87">
        <v>0.91560824160316112</v>
      </c>
      <c r="AT244" s="87">
        <v>0.9156895589056393</v>
      </c>
      <c r="AU244" s="87">
        <v>0.91562932226832638</v>
      </c>
      <c r="AV244" s="87">
        <v>0.91547749725576288</v>
      </c>
      <c r="AW244" s="87">
        <v>0.91557734204793029</v>
      </c>
      <c r="AX244" s="87">
        <v>0.91592322249256553</v>
      </c>
      <c r="AY244" s="87">
        <v>0.91568206229860361</v>
      </c>
      <c r="AZ244" s="87">
        <v>0.91562082777036047</v>
      </c>
      <c r="BA244" s="87">
        <v>0.9157587031623704</v>
      </c>
      <c r="BB244" s="87">
        <v>0.91556379036527258</v>
      </c>
      <c r="BC244" s="87">
        <v>0.91580892055951435</v>
      </c>
      <c r="BD244" s="87">
        <v>0.9157229391624967</v>
      </c>
      <c r="BE244" s="87">
        <v>0.91581162851881082</v>
      </c>
      <c r="BF244" s="87">
        <v>0.91559295293189591</v>
      </c>
      <c r="BG244" s="87">
        <v>0.91554853985793216</v>
      </c>
    </row>
    <row r="245" spans="3:59" x14ac:dyDescent="0.2">
      <c r="C245" s="29">
        <v>40</v>
      </c>
      <c r="F245" s="87">
        <v>0.91307523739956176</v>
      </c>
      <c r="G245" s="87">
        <v>0.91315789473684206</v>
      </c>
      <c r="H245" s="87">
        <v>0.91284748309541697</v>
      </c>
      <c r="I245" s="87">
        <v>0.91301000769822938</v>
      </c>
      <c r="J245" s="87">
        <v>0.91324028668427004</v>
      </c>
      <c r="K245" s="87">
        <v>0.91276911655530812</v>
      </c>
      <c r="L245" s="87">
        <v>0.91304347826086951</v>
      </c>
      <c r="M245" s="87">
        <v>0.91310592459605022</v>
      </c>
      <c r="N245" s="87">
        <v>0.91290770298403889</v>
      </c>
      <c r="O245" s="87">
        <v>0.9129242372300308</v>
      </c>
      <c r="P245" s="87">
        <v>0.91320499831138124</v>
      </c>
      <c r="Q245" s="87">
        <v>0.91315703558602679</v>
      </c>
      <c r="R245" s="87">
        <v>0.91312559017941453</v>
      </c>
      <c r="S245" s="87">
        <v>0.91308270676691727</v>
      </c>
      <c r="T245" s="87">
        <v>0.91305587229190421</v>
      </c>
      <c r="U245" s="87">
        <v>0.9132208922742111</v>
      </c>
      <c r="V245" s="87">
        <v>0.91297550807712347</v>
      </c>
      <c r="W245" s="87">
        <v>0.91319171256228693</v>
      </c>
      <c r="X245" s="87">
        <v>0.91297550807712347</v>
      </c>
      <c r="Y245" s="87">
        <v>0.91302069688236831</v>
      </c>
      <c r="Z245" s="87">
        <v>0.91306611140031235</v>
      </c>
      <c r="AA245" s="87">
        <v>0.91304347826086951</v>
      </c>
      <c r="AB245" s="87">
        <v>0.91326394448892445</v>
      </c>
      <c r="AC245" s="87">
        <v>0.91309041835357629</v>
      </c>
      <c r="AD245" s="87">
        <v>0.91306740027510314</v>
      </c>
      <c r="AE245" s="87">
        <v>0.91298491379310343</v>
      </c>
      <c r="AF245" s="87">
        <v>0.91315136476426795</v>
      </c>
      <c r="AG245" s="87">
        <v>0.91299337366753097</v>
      </c>
      <c r="AH245" s="87">
        <v>0.91294387170675828</v>
      </c>
      <c r="AI245" s="87">
        <v>0.91306802145074795</v>
      </c>
      <c r="AJ245" s="87">
        <v>0.91301876065946563</v>
      </c>
      <c r="AK245" s="87">
        <v>0.91301907968574636</v>
      </c>
      <c r="AL245" s="87">
        <v>0.91285637439483591</v>
      </c>
      <c r="AM245" s="87">
        <v>0.91304347826086951</v>
      </c>
      <c r="AN245" s="87">
        <v>0.91302096815946154</v>
      </c>
      <c r="AO245" s="87">
        <v>0.91296487603305787</v>
      </c>
      <c r="AP245" s="87">
        <v>0.91296296296296298</v>
      </c>
      <c r="AQ245" s="87">
        <v>0.91306680976656829</v>
      </c>
      <c r="AR245" s="87">
        <v>0.91315001361285053</v>
      </c>
      <c r="AS245" s="87">
        <v>0.91298304142340836</v>
      </c>
      <c r="AT245" s="87">
        <v>0.91290868094701239</v>
      </c>
      <c r="AU245" s="87">
        <v>0.9130192361304712</v>
      </c>
      <c r="AV245" s="87">
        <v>0.91298342541436461</v>
      </c>
      <c r="AW245" s="87">
        <v>0.91312688407782949</v>
      </c>
      <c r="AX245" s="87">
        <v>0.91324449279303777</v>
      </c>
      <c r="AY245" s="87">
        <v>0.91309041835357629</v>
      </c>
      <c r="AZ245" s="87">
        <v>0.91311343523732902</v>
      </c>
      <c r="BA245" s="87">
        <v>0.91306666666666669</v>
      </c>
      <c r="BB245" s="87">
        <v>0.91297426373043244</v>
      </c>
      <c r="BC245" s="87">
        <v>0.91303198519693363</v>
      </c>
      <c r="BD245" s="87">
        <v>0.91302055877701638</v>
      </c>
      <c r="BE245" s="87">
        <v>0.91320357706470279</v>
      </c>
      <c r="BF245" s="87">
        <v>0.91305489887050173</v>
      </c>
      <c r="BG245" s="87">
        <v>0.91307773109243695</v>
      </c>
    </row>
    <row r="246" spans="3:59" x14ac:dyDescent="0.2">
      <c r="C246" s="29">
        <v>41</v>
      </c>
      <c r="F246" s="87">
        <v>0.91188811188811192</v>
      </c>
      <c r="G246" s="87">
        <v>0.91140159767610751</v>
      </c>
      <c r="H246" s="87">
        <v>0.91175366128426583</v>
      </c>
      <c r="I246" s="87">
        <v>0.91144465290806753</v>
      </c>
      <c r="J246" s="87">
        <v>0.91157247212610537</v>
      </c>
      <c r="K246" s="87">
        <v>0.91183119819140923</v>
      </c>
      <c r="L246" s="87">
        <v>0.91175380051909527</v>
      </c>
      <c r="M246" s="87">
        <v>0.91169019182048494</v>
      </c>
      <c r="N246" s="87">
        <v>0.91143779132305491</v>
      </c>
      <c r="O246" s="87">
        <v>0.91161178509532059</v>
      </c>
      <c r="P246" s="87">
        <v>0.91164383561643836</v>
      </c>
      <c r="Q246" s="87">
        <v>0.91194331983805665</v>
      </c>
      <c r="R246" s="87">
        <v>0.9119373776908023</v>
      </c>
      <c r="S246" s="87">
        <v>0.91163522012578613</v>
      </c>
      <c r="T246" s="87">
        <v>0.91165865384615385</v>
      </c>
      <c r="U246" s="87">
        <v>0.91170606664767873</v>
      </c>
      <c r="V246" s="87">
        <v>0.91166077738515905</v>
      </c>
      <c r="W246" s="87">
        <v>0.91171875000000002</v>
      </c>
      <c r="X246" s="87">
        <v>0.9116876310272537</v>
      </c>
      <c r="Y246" s="87">
        <v>0.91171875000000002</v>
      </c>
      <c r="Z246" s="87">
        <v>0.91175700445142704</v>
      </c>
      <c r="AA246" s="87">
        <v>0.91157347204161243</v>
      </c>
      <c r="AB246" s="87">
        <v>0.91155046826222685</v>
      </c>
      <c r="AC246" s="87">
        <v>0.91173333333333328</v>
      </c>
      <c r="AD246" s="87">
        <v>0.91156645996225394</v>
      </c>
      <c r="AE246" s="87">
        <v>0.91151415223962629</v>
      </c>
      <c r="AF246" s="87">
        <v>0.91170928667563933</v>
      </c>
      <c r="AG246" s="87">
        <v>0.91159460203800602</v>
      </c>
      <c r="AH246" s="87">
        <v>0.91165467625899277</v>
      </c>
      <c r="AI246" s="87">
        <v>0.9118741058655222</v>
      </c>
      <c r="AJ246" s="87">
        <v>0.9117564138708768</v>
      </c>
      <c r="AK246" s="87">
        <v>0.91167282022152796</v>
      </c>
      <c r="AL246" s="87">
        <v>0.91169049621530696</v>
      </c>
      <c r="AM246" s="87">
        <v>0.91185165278151037</v>
      </c>
      <c r="AN246" s="87">
        <v>0.91183355006501954</v>
      </c>
      <c r="AO246" s="87">
        <v>0.91155934833204033</v>
      </c>
      <c r="AP246" s="87">
        <v>0.91174193548387095</v>
      </c>
      <c r="AQ246" s="87">
        <v>0.91173361522198737</v>
      </c>
      <c r="AR246" s="87">
        <v>0.91179624664879355</v>
      </c>
      <c r="AS246" s="87">
        <v>0.91188468860484095</v>
      </c>
      <c r="AT246" s="87">
        <v>0.91169119688975286</v>
      </c>
      <c r="AU246" s="87">
        <v>0.91159909909909909</v>
      </c>
      <c r="AV246" s="87">
        <v>0.91172375382901694</v>
      </c>
      <c r="AW246" s="87">
        <v>0.91169977924944812</v>
      </c>
      <c r="AX246" s="87">
        <v>0.91157952367916784</v>
      </c>
      <c r="AY246" s="87">
        <v>0.91170877478945933</v>
      </c>
      <c r="AZ246" s="87">
        <v>0.91156645996225394</v>
      </c>
      <c r="BA246" s="87">
        <v>0.91186713099383876</v>
      </c>
      <c r="BB246" s="87">
        <v>0.91182738412360154</v>
      </c>
      <c r="BC246" s="87">
        <v>0.91174131990458518</v>
      </c>
      <c r="BD246" s="87">
        <v>0.91180353842091366</v>
      </c>
      <c r="BE246" s="87">
        <v>0.9115556725454067</v>
      </c>
      <c r="BF246" s="87">
        <v>0.91174152876280534</v>
      </c>
      <c r="BG246" s="87">
        <v>0.91183416426134878</v>
      </c>
    </row>
    <row r="247" spans="3:59" x14ac:dyDescent="0.2">
      <c r="C247" s="29">
        <v>42</v>
      </c>
      <c r="F247" s="87">
        <v>0.91189427312775329</v>
      </c>
      <c r="G247" s="87">
        <v>0.91162143354210157</v>
      </c>
      <c r="H247" s="87">
        <v>0.91179673321234123</v>
      </c>
      <c r="I247" s="87">
        <v>0.91181988742964348</v>
      </c>
      <c r="J247" s="87">
        <v>0.91185296324081022</v>
      </c>
      <c r="K247" s="87">
        <v>0.91164041490587788</v>
      </c>
      <c r="L247" s="87">
        <v>0.9118975903614458</v>
      </c>
      <c r="M247" s="87">
        <v>0.91181919229344199</v>
      </c>
      <c r="N247" s="87">
        <v>0.91175406871609399</v>
      </c>
      <c r="O247" s="87">
        <v>0.91150125403081328</v>
      </c>
      <c r="P247" s="87">
        <v>0.91167301697263592</v>
      </c>
      <c r="Q247" s="87">
        <v>0.9117043121149897</v>
      </c>
      <c r="R247" s="87">
        <v>0.91200269723533378</v>
      </c>
      <c r="S247" s="87">
        <v>0.91199478487614083</v>
      </c>
      <c r="T247" s="87">
        <v>0.91169076052796982</v>
      </c>
      <c r="U247" s="87">
        <v>0.91198558125563234</v>
      </c>
      <c r="V247" s="87">
        <v>0.91175633361799036</v>
      </c>
      <c r="W247" s="87">
        <v>0.91170877478945933</v>
      </c>
      <c r="X247" s="87">
        <v>0.91176470588235292</v>
      </c>
      <c r="Y247" s="87">
        <v>0.91197275347131257</v>
      </c>
      <c r="Z247" s="87">
        <v>0.91176470588235292</v>
      </c>
      <c r="AA247" s="87">
        <v>0.91180319288144462</v>
      </c>
      <c r="AB247" s="87">
        <v>0.91185647425897032</v>
      </c>
      <c r="AC247" s="87">
        <v>0.91159646385855431</v>
      </c>
      <c r="AD247" s="87">
        <v>0.91178038379530912</v>
      </c>
      <c r="AE247" s="87">
        <v>0.91161412018323906</v>
      </c>
      <c r="AF247" s="87">
        <v>0.9118374073056853</v>
      </c>
      <c r="AG247" s="87">
        <v>0.91175679311272528</v>
      </c>
      <c r="AH247" s="87">
        <v>0.91164327002477297</v>
      </c>
      <c r="AI247" s="87">
        <v>0.91199309749784296</v>
      </c>
      <c r="AJ247" s="87">
        <v>0.91166380789022294</v>
      </c>
      <c r="AK247" s="87">
        <v>0.91180614257537329</v>
      </c>
      <c r="AL247" s="87">
        <v>0.91174801362088531</v>
      </c>
      <c r="AM247" s="87">
        <v>0.91176470588235292</v>
      </c>
      <c r="AN247" s="87">
        <v>0.91165413533834583</v>
      </c>
      <c r="AO247" s="87">
        <v>0.91187938653496226</v>
      </c>
      <c r="AP247" s="87">
        <v>0.91186353062806924</v>
      </c>
      <c r="AQ247" s="87">
        <v>0.9118102114492006</v>
      </c>
      <c r="AR247" s="87">
        <v>0.91153947715870087</v>
      </c>
      <c r="AS247" s="87">
        <v>0.91186713099383876</v>
      </c>
      <c r="AT247" s="87">
        <v>0.91168478260869568</v>
      </c>
      <c r="AU247" s="87">
        <v>0.91176470588235292</v>
      </c>
      <c r="AV247" s="87">
        <v>0.91167369901547113</v>
      </c>
      <c r="AW247" s="87">
        <v>0.91179744017807451</v>
      </c>
      <c r="AX247" s="87">
        <v>0.91177281499862139</v>
      </c>
      <c r="AY247" s="87">
        <v>0.91192560175054704</v>
      </c>
      <c r="AZ247" s="87">
        <v>0.91180461329715057</v>
      </c>
      <c r="BA247" s="87">
        <v>0.91190732758620685</v>
      </c>
      <c r="BB247" s="87">
        <v>0.91193790149892928</v>
      </c>
      <c r="BC247" s="87">
        <v>0.91165513571048429</v>
      </c>
      <c r="BD247" s="87">
        <v>0.91181144067796616</v>
      </c>
      <c r="BE247" s="87">
        <v>0.91163281456080192</v>
      </c>
      <c r="BF247" s="87">
        <v>0.91188847974750131</v>
      </c>
      <c r="BG247" s="87">
        <v>0.91181102362204725</v>
      </c>
    </row>
    <row r="248" spans="3:59" x14ac:dyDescent="0.2">
      <c r="C248" s="29">
        <v>43</v>
      </c>
      <c r="F248" s="87">
        <v>0.91179353152564524</v>
      </c>
      <c r="G248" s="87">
        <v>0.91188386225523299</v>
      </c>
      <c r="H248" s="87">
        <v>0.91162143354210157</v>
      </c>
      <c r="I248" s="87">
        <v>0.91179673321234123</v>
      </c>
      <c r="J248" s="87">
        <v>0.91181988742964348</v>
      </c>
      <c r="K248" s="87">
        <v>0.91185296324081022</v>
      </c>
      <c r="L248" s="87">
        <v>0.91202458701498268</v>
      </c>
      <c r="M248" s="87">
        <v>0.91155438464433569</v>
      </c>
      <c r="N248" s="87">
        <v>0.91181919229344199</v>
      </c>
      <c r="O248" s="87">
        <v>0.91175406871609399</v>
      </c>
      <c r="P248" s="87">
        <v>0.91185954854890716</v>
      </c>
      <c r="Q248" s="87">
        <v>0.91167301697263592</v>
      </c>
      <c r="R248" s="87">
        <v>0.91204654346338121</v>
      </c>
      <c r="S248" s="87">
        <v>0.91169531513313107</v>
      </c>
      <c r="T248" s="87">
        <v>0.91169762137504073</v>
      </c>
      <c r="U248" s="87">
        <v>0.91200502828409802</v>
      </c>
      <c r="V248" s="87">
        <v>0.91198558125563234</v>
      </c>
      <c r="W248" s="87">
        <v>0.91175633361799036</v>
      </c>
      <c r="X248" s="87">
        <v>0.91170877478945933</v>
      </c>
      <c r="Y248" s="87">
        <v>0.91176470588235292</v>
      </c>
      <c r="Z248" s="87">
        <v>0.91197275347131257</v>
      </c>
      <c r="AA248" s="87">
        <v>0.91176470588235292</v>
      </c>
      <c r="AB248" s="87">
        <v>0.91180319288144462</v>
      </c>
      <c r="AC248" s="87">
        <v>0.91161944372238113</v>
      </c>
      <c r="AD248" s="87">
        <v>0.91185647425897032</v>
      </c>
      <c r="AE248" s="87">
        <v>0.91180389022115638</v>
      </c>
      <c r="AF248" s="87">
        <v>0.9118835893290218</v>
      </c>
      <c r="AG248" s="87">
        <v>0.9118374073056853</v>
      </c>
      <c r="AH248" s="87">
        <v>0.91178052716514257</v>
      </c>
      <c r="AI248" s="87">
        <v>0.91166758392955416</v>
      </c>
      <c r="AJ248" s="87">
        <v>0.91173087981598622</v>
      </c>
      <c r="AK248" s="87">
        <v>0.91168905401543299</v>
      </c>
      <c r="AL248" s="87">
        <v>0.91183098591549294</v>
      </c>
      <c r="AM248" s="87">
        <v>0.91177304964539008</v>
      </c>
      <c r="AN248" s="87">
        <v>0.9117894147297676</v>
      </c>
      <c r="AO248" s="87">
        <v>0.91167785234899323</v>
      </c>
      <c r="AP248" s="87">
        <v>0.91190228690228692</v>
      </c>
      <c r="AQ248" s="87">
        <v>0.91188630490956069</v>
      </c>
      <c r="AR248" s="87">
        <v>0.91183294663573089</v>
      </c>
      <c r="AS248" s="87">
        <v>0.91182682154171069</v>
      </c>
      <c r="AT248" s="87">
        <v>0.91189073379753616</v>
      </c>
      <c r="AU248" s="87">
        <v>0.91198044009779955</v>
      </c>
      <c r="AV248" s="87">
        <v>0.91206657420249648</v>
      </c>
      <c r="AW248" s="87">
        <v>0.91197975253093366</v>
      </c>
      <c r="AX248" s="87">
        <v>0.91182197496522943</v>
      </c>
      <c r="AY248" s="87">
        <v>0.91182143841278585</v>
      </c>
      <c r="AZ248" s="87">
        <v>0.9117003827227993</v>
      </c>
      <c r="BA248" s="87">
        <v>0.91182854042322303</v>
      </c>
      <c r="BB248" s="87">
        <v>0.91168551427032851</v>
      </c>
      <c r="BC248" s="87">
        <v>0.9117174959871589</v>
      </c>
      <c r="BD248" s="87">
        <v>0.91194466613461023</v>
      </c>
      <c r="BE248" s="87">
        <v>0.91185812599258864</v>
      </c>
      <c r="BF248" s="87">
        <v>0.91191983122362874</v>
      </c>
      <c r="BG248" s="87">
        <v>0.91167192429022081</v>
      </c>
    </row>
    <row r="249" spans="3:59" x14ac:dyDescent="0.2">
      <c r="C249" s="29">
        <v>44</v>
      </c>
      <c r="F249" s="87">
        <v>0.91126169732171669</v>
      </c>
      <c r="G249" s="87">
        <v>0.91137178233952432</v>
      </c>
      <c r="H249" s="87">
        <v>0.91148648648648645</v>
      </c>
      <c r="I249" s="87">
        <v>0.91121169916434541</v>
      </c>
      <c r="J249" s="87">
        <v>0.91136941518343628</v>
      </c>
      <c r="K249" s="87">
        <v>0.91137814494930525</v>
      </c>
      <c r="L249" s="87">
        <v>0.91144465290806753</v>
      </c>
      <c r="M249" s="87">
        <v>0.91122213681783248</v>
      </c>
      <c r="N249" s="87">
        <v>0.91148775894538603</v>
      </c>
      <c r="O249" s="87">
        <v>0.91141586360266869</v>
      </c>
      <c r="P249" s="87">
        <v>0.91136034732272064</v>
      </c>
      <c r="Q249" s="87">
        <v>0.91111111111111109</v>
      </c>
      <c r="R249" s="87">
        <v>0.91129591129591125</v>
      </c>
      <c r="S249" s="87">
        <v>0.9113317357069497</v>
      </c>
      <c r="T249" s="87">
        <v>0.91129848229342325</v>
      </c>
      <c r="U249" s="87">
        <v>0.91131398761004234</v>
      </c>
      <c r="V249" s="87">
        <v>0.91134863250550147</v>
      </c>
      <c r="W249" s="87">
        <v>0.91135817307692313</v>
      </c>
      <c r="X249" s="87">
        <v>0.91142124750783249</v>
      </c>
      <c r="Y249" s="87">
        <v>0.91138896439249795</v>
      </c>
      <c r="Z249" s="87">
        <v>0.91119791666666672</v>
      </c>
      <c r="AA249" s="87">
        <v>0.91142557651991618</v>
      </c>
      <c r="AB249" s="87">
        <v>0.91145833333333337</v>
      </c>
      <c r="AC249" s="87">
        <v>0.91125654450261784</v>
      </c>
      <c r="AD249" s="87">
        <v>0.91131339401820544</v>
      </c>
      <c r="AE249" s="87">
        <v>0.91155046826222685</v>
      </c>
      <c r="AF249" s="87">
        <v>0.91149026926153021</v>
      </c>
      <c r="AG249" s="87">
        <v>0.91132075471698115</v>
      </c>
      <c r="AH249" s="87">
        <v>0.91153846153846152</v>
      </c>
      <c r="AI249" s="87">
        <v>0.91121872477804677</v>
      </c>
      <c r="AJ249" s="87">
        <v>0.91136801541425816</v>
      </c>
      <c r="AK249" s="87">
        <v>0.91115583668775157</v>
      </c>
      <c r="AL249" s="87">
        <v>0.91137793024585478</v>
      </c>
      <c r="AM249" s="87">
        <v>0.91126760563380282</v>
      </c>
      <c r="AN249" s="87">
        <v>0.91146424517593638</v>
      </c>
      <c r="AO249" s="87">
        <v>0.911484593837535</v>
      </c>
      <c r="AP249" s="87">
        <v>0.91138560687432868</v>
      </c>
      <c r="AQ249" s="87">
        <v>0.91138253638253641</v>
      </c>
      <c r="AR249" s="87">
        <v>0.91136950904392766</v>
      </c>
      <c r="AS249" s="87">
        <v>0.91155234657039708</v>
      </c>
      <c r="AT249" s="87">
        <v>0.91153947715870087</v>
      </c>
      <c r="AU249" s="87">
        <v>0.91135511515800749</v>
      </c>
      <c r="AV249" s="87">
        <v>0.91143710948111922</v>
      </c>
      <c r="AW249" s="87">
        <v>0.91151178918169207</v>
      </c>
      <c r="AX249" s="87">
        <v>0.91141732283464572</v>
      </c>
      <c r="AY249" s="87">
        <v>0.91154381084840053</v>
      </c>
      <c r="AZ249" s="87">
        <v>0.91127032240286576</v>
      </c>
      <c r="BA249" s="87">
        <v>0.91115363586659381</v>
      </c>
      <c r="BB249" s="87">
        <v>0.91128594682582742</v>
      </c>
      <c r="BC249" s="87">
        <v>0.91141626278944532</v>
      </c>
      <c r="BD249" s="87">
        <v>0.91144997324772603</v>
      </c>
      <c r="BE249" s="87">
        <v>0.91141260973663207</v>
      </c>
      <c r="BF249" s="87">
        <v>0.91132874536791952</v>
      </c>
      <c r="BG249" s="87">
        <v>0.91141576588452411</v>
      </c>
    </row>
    <row r="250" spans="3:59" x14ac:dyDescent="0.2">
      <c r="C250" s="29">
        <v>45</v>
      </c>
      <c r="F250" s="87">
        <v>0.90987124463519309</v>
      </c>
      <c r="G250" s="87">
        <v>0.90982286634460552</v>
      </c>
      <c r="H250" s="87">
        <v>0.90995106035889073</v>
      </c>
      <c r="I250" s="87">
        <v>0.91001353179972932</v>
      </c>
      <c r="J250" s="87">
        <v>0.91004184100418406</v>
      </c>
      <c r="K250" s="87">
        <v>0.90981818181818186</v>
      </c>
      <c r="L250" s="87">
        <v>0.9101503759398496</v>
      </c>
      <c r="M250" s="87">
        <v>0.90984222389181069</v>
      </c>
      <c r="N250" s="87">
        <v>0.90996537129665256</v>
      </c>
      <c r="O250" s="87">
        <v>0.90991330569166984</v>
      </c>
      <c r="P250" s="87">
        <v>0.90983302411873845</v>
      </c>
      <c r="Q250" s="87">
        <v>0.90981528431727632</v>
      </c>
      <c r="R250" s="87">
        <v>0.90993900251166127</v>
      </c>
      <c r="S250" s="87">
        <v>0.90981616371834895</v>
      </c>
      <c r="T250" s="87">
        <v>0.9095580678314491</v>
      </c>
      <c r="U250" s="87">
        <v>0.90988862639217005</v>
      </c>
      <c r="V250" s="87">
        <v>0.90995106035889073</v>
      </c>
      <c r="W250" s="87">
        <v>0.91000629326620519</v>
      </c>
      <c r="X250" s="87">
        <v>0.91007518796992481</v>
      </c>
      <c r="Y250" s="87">
        <v>0.90992018244013684</v>
      </c>
      <c r="Z250" s="87">
        <v>0.90995647442872685</v>
      </c>
      <c r="AA250" s="87">
        <v>0.90982538441490746</v>
      </c>
      <c r="AB250" s="87">
        <v>0.90978232362968792</v>
      </c>
      <c r="AC250" s="87">
        <v>0.90984887962480454</v>
      </c>
      <c r="AD250" s="87">
        <v>0.90987686664920098</v>
      </c>
      <c r="AE250" s="87">
        <v>0.90994273815720983</v>
      </c>
      <c r="AF250" s="87">
        <v>0.90994273815720983</v>
      </c>
      <c r="AG250" s="87">
        <v>0.90984262469991994</v>
      </c>
      <c r="AH250" s="87">
        <v>0.90992448759439049</v>
      </c>
      <c r="AI250" s="87">
        <v>0.90984057174271582</v>
      </c>
      <c r="AJ250" s="87">
        <v>0.91007000538502958</v>
      </c>
      <c r="AK250" s="87">
        <v>0.90994216469292211</v>
      </c>
      <c r="AL250" s="87">
        <v>0.90966628308400466</v>
      </c>
      <c r="AM250" s="87">
        <v>0.90989702517162474</v>
      </c>
      <c r="AN250" s="87">
        <v>0.90980834272829758</v>
      </c>
      <c r="AO250" s="87">
        <v>0.90973602043712742</v>
      </c>
      <c r="AP250" s="87">
        <v>0.90977864948164755</v>
      </c>
      <c r="AQ250" s="87">
        <v>0.9099946265448684</v>
      </c>
      <c r="AR250" s="87">
        <v>0.90977639105564223</v>
      </c>
      <c r="AS250" s="87">
        <v>0.91003102378490175</v>
      </c>
      <c r="AT250" s="87">
        <v>0.90972401341243225</v>
      </c>
      <c r="AU250" s="87">
        <v>0.90993132593766513</v>
      </c>
      <c r="AV250" s="87">
        <v>0.90972408250736669</v>
      </c>
      <c r="AW250" s="87">
        <v>0.9097826086956522</v>
      </c>
      <c r="AX250" s="87">
        <v>0.90982241953385123</v>
      </c>
      <c r="AY250" s="87">
        <v>0.90998593530239102</v>
      </c>
      <c r="AZ250" s="87">
        <v>0.90984974958263776</v>
      </c>
      <c r="BA250" s="87">
        <v>0.90986769570011028</v>
      </c>
      <c r="BB250" s="87">
        <v>0.90976210008203451</v>
      </c>
      <c r="BC250" s="87">
        <v>0.90990502035278154</v>
      </c>
      <c r="BD250" s="87">
        <v>0.90977646108268251</v>
      </c>
      <c r="BE250" s="87">
        <v>0.90982071180090984</v>
      </c>
      <c r="BF250" s="87">
        <v>0.9098164405426975</v>
      </c>
      <c r="BG250" s="87">
        <v>0.90998146677257086</v>
      </c>
    </row>
    <row r="251" spans="3:59" x14ac:dyDescent="0.2">
      <c r="C251" s="29">
        <v>46</v>
      </c>
      <c r="F251" s="87">
        <v>0.9089121887287025</v>
      </c>
      <c r="G251" s="87">
        <v>0.90900098911968352</v>
      </c>
      <c r="H251" s="87">
        <v>0.90900290416263307</v>
      </c>
      <c r="I251" s="87">
        <v>0.9088235294117647</v>
      </c>
      <c r="J251" s="87">
        <v>0.9088444595052525</v>
      </c>
      <c r="K251" s="87">
        <v>0.9088368843870066</v>
      </c>
      <c r="L251" s="87">
        <v>0.90892531876138438</v>
      </c>
      <c r="M251" s="87">
        <v>0.90888554216867468</v>
      </c>
      <c r="N251" s="87">
        <v>0.9085778781038375</v>
      </c>
      <c r="O251" s="87">
        <v>0.90905587668593446</v>
      </c>
      <c r="P251" s="87">
        <v>0.90864477161192903</v>
      </c>
      <c r="Q251" s="87">
        <v>0.90895577852099596</v>
      </c>
      <c r="R251" s="87">
        <v>0.90859630032644179</v>
      </c>
      <c r="S251" s="87">
        <v>0.90873158462091264</v>
      </c>
      <c r="T251" s="87">
        <v>0.90864883640152827</v>
      </c>
      <c r="U251" s="87">
        <v>0.90905971173644473</v>
      </c>
      <c r="V251" s="87">
        <v>0.90875295708009463</v>
      </c>
      <c r="W251" s="87">
        <v>0.90885331590983343</v>
      </c>
      <c r="X251" s="87">
        <v>0.90894770006301195</v>
      </c>
      <c r="Y251" s="87">
        <v>0.90876242095754289</v>
      </c>
      <c r="Z251" s="87">
        <v>0.90896118721461183</v>
      </c>
      <c r="AA251" s="87">
        <v>0.90876906318082784</v>
      </c>
      <c r="AB251" s="87">
        <v>0.90892484342379953</v>
      </c>
      <c r="AC251" s="87">
        <v>0.90887605042016806</v>
      </c>
      <c r="AD251" s="87">
        <v>0.90894860422645452</v>
      </c>
      <c r="AE251" s="87">
        <v>0.90873328088119587</v>
      </c>
      <c r="AF251" s="87">
        <v>0.90880667014069827</v>
      </c>
      <c r="AG251" s="87">
        <v>0.90880667014069827</v>
      </c>
      <c r="AH251" s="87">
        <v>0.90894526034712952</v>
      </c>
      <c r="AI251" s="87">
        <v>0.90874730021598271</v>
      </c>
      <c r="AJ251" s="87">
        <v>0.90866574965612101</v>
      </c>
      <c r="AK251" s="87">
        <v>0.90864995957962813</v>
      </c>
      <c r="AL251" s="87">
        <v>0.9090157154673284</v>
      </c>
      <c r="AM251" s="87">
        <v>0.90898617511520741</v>
      </c>
      <c r="AN251" s="87">
        <v>0.90867449184082449</v>
      </c>
      <c r="AO251" s="87">
        <v>0.90888575458392107</v>
      </c>
      <c r="AP251" s="87">
        <v>0.90880681818181819</v>
      </c>
      <c r="AQ251" s="87">
        <v>0.90886146943353896</v>
      </c>
      <c r="AR251" s="87">
        <v>0.90884646410325354</v>
      </c>
      <c r="AS251" s="87">
        <v>0.90892531876138438</v>
      </c>
      <c r="AT251" s="87">
        <v>0.90892626131953425</v>
      </c>
      <c r="AU251" s="87">
        <v>0.90862157976251934</v>
      </c>
      <c r="AV251" s="87">
        <v>0.90880253766851704</v>
      </c>
      <c r="AW251" s="87">
        <v>0.90884718498659522</v>
      </c>
      <c r="AX251" s="87">
        <v>0.90889311939080775</v>
      </c>
      <c r="AY251" s="87">
        <v>0.90891419050263811</v>
      </c>
      <c r="AZ251" s="87">
        <v>0.90906531531531531</v>
      </c>
      <c r="BA251" s="87">
        <v>0.90868596881959907</v>
      </c>
      <c r="BB251" s="87">
        <v>0.90896551724137931</v>
      </c>
      <c r="BC251" s="87">
        <v>0.90886699507389157</v>
      </c>
      <c r="BD251" s="87">
        <v>0.9087700244366006</v>
      </c>
      <c r="BE251" s="87">
        <v>0.90889487870619945</v>
      </c>
      <c r="BF251" s="87">
        <v>0.90870147255689426</v>
      </c>
      <c r="BG251" s="87">
        <v>0.90894568690095845</v>
      </c>
    </row>
    <row r="252" spans="3:59" x14ac:dyDescent="0.2">
      <c r="C252" s="29">
        <v>47</v>
      </c>
      <c r="F252" s="87">
        <v>0.9068529607451763</v>
      </c>
      <c r="G252" s="87">
        <v>0.90697674418604646</v>
      </c>
      <c r="H252" s="87">
        <v>0.90680766688697956</v>
      </c>
      <c r="I252" s="87">
        <v>0.90685640362225095</v>
      </c>
      <c r="J252" s="87">
        <v>0.90694626474442985</v>
      </c>
      <c r="K252" s="87">
        <v>0.90692934782608692</v>
      </c>
      <c r="L252" s="87">
        <v>0.90686274509803921</v>
      </c>
      <c r="M252" s="87">
        <v>0.90690032858707559</v>
      </c>
      <c r="N252" s="87">
        <v>0.90679245283018872</v>
      </c>
      <c r="O252" s="87">
        <v>0.90720482836665406</v>
      </c>
      <c r="P252" s="87">
        <v>0.90691386635766702</v>
      </c>
      <c r="Q252" s="87">
        <v>0.90654559213015518</v>
      </c>
      <c r="R252" s="87">
        <v>0.90689013035381749</v>
      </c>
      <c r="S252" s="87">
        <v>0.90694292984369318</v>
      </c>
      <c r="T252" s="87">
        <v>0.90673388548793665</v>
      </c>
      <c r="U252" s="87">
        <v>0.90671771667246781</v>
      </c>
      <c r="V252" s="87">
        <v>0.90715268225584589</v>
      </c>
      <c r="W252" s="87">
        <v>0.90687436505248897</v>
      </c>
      <c r="X252" s="87">
        <v>0.90671031096563015</v>
      </c>
      <c r="Y252" s="87">
        <v>0.90688131313131315</v>
      </c>
      <c r="Z252" s="87">
        <v>0.90678733031674208</v>
      </c>
      <c r="AA252" s="87">
        <v>0.90680388793596345</v>
      </c>
      <c r="AB252" s="87">
        <v>0.90695770804911324</v>
      </c>
      <c r="AC252" s="87">
        <v>0.90695243073706222</v>
      </c>
      <c r="AD252" s="87">
        <v>0.90689110994213573</v>
      </c>
      <c r="AE252" s="87">
        <v>0.90697674418604646</v>
      </c>
      <c r="AF252" s="87">
        <v>0.90675072235355925</v>
      </c>
      <c r="AG252" s="87">
        <v>0.90683716075156573</v>
      </c>
      <c r="AH252" s="87">
        <v>0.90683716075156573</v>
      </c>
      <c r="AI252" s="87">
        <v>0.90692698582508691</v>
      </c>
      <c r="AJ252" s="87">
        <v>0.90697674418604646</v>
      </c>
      <c r="AK252" s="87">
        <v>0.9068613943235051</v>
      </c>
      <c r="AL252" s="87">
        <v>0.90688259109311742</v>
      </c>
      <c r="AM252" s="87">
        <v>0.90695748205411375</v>
      </c>
      <c r="AN252" s="87">
        <v>0.90683588116527258</v>
      </c>
      <c r="AO252" s="87">
        <v>0.90682339449541283</v>
      </c>
      <c r="AP252" s="87">
        <v>0.90677966101694918</v>
      </c>
      <c r="AQ252" s="87">
        <v>0.90668563300142246</v>
      </c>
      <c r="AR252" s="87">
        <v>0.90676776186464481</v>
      </c>
      <c r="AS252" s="87">
        <v>0.90683898761443182</v>
      </c>
      <c r="AT252" s="87">
        <v>0.90672225117248562</v>
      </c>
      <c r="AU252" s="87">
        <v>0.90673575129533679</v>
      </c>
      <c r="AV252" s="87">
        <v>0.90669423623675371</v>
      </c>
      <c r="AW252" s="87">
        <v>0.90682901005823191</v>
      </c>
      <c r="AX252" s="87">
        <v>0.90684563758389258</v>
      </c>
      <c r="AY252" s="87">
        <v>0.90686274509803921</v>
      </c>
      <c r="AZ252" s="87">
        <v>0.9068668334723381</v>
      </c>
      <c r="BA252" s="87">
        <v>0.90698985343855698</v>
      </c>
      <c r="BB252" s="87">
        <v>0.90688597713967101</v>
      </c>
      <c r="BC252" s="87">
        <v>0.9069317867992267</v>
      </c>
      <c r="BD252" s="87">
        <v>0.9068493150684932</v>
      </c>
      <c r="BE252" s="87">
        <v>0.90701468189233281</v>
      </c>
      <c r="BF252" s="87">
        <v>0.90690771721532648</v>
      </c>
      <c r="BG252" s="87">
        <v>0.90697050938337798</v>
      </c>
    </row>
    <row r="253" spans="3:59" x14ac:dyDescent="0.2">
      <c r="C253" s="29">
        <v>48</v>
      </c>
      <c r="F253" s="87">
        <v>0.90509962850388381</v>
      </c>
      <c r="G253" s="87">
        <v>0.90515806988352743</v>
      </c>
      <c r="H253" s="87">
        <v>0.90505913272010508</v>
      </c>
      <c r="I253" s="87">
        <v>0.90487238979118334</v>
      </c>
      <c r="J253" s="87">
        <v>0.90525632706035042</v>
      </c>
      <c r="K253" s="87">
        <v>0.90535655603023335</v>
      </c>
      <c r="L253" s="87">
        <v>0.90528109028960813</v>
      </c>
      <c r="M253" s="87">
        <v>0.90519662921348309</v>
      </c>
      <c r="N253" s="87">
        <v>0.90516294397656538</v>
      </c>
      <c r="O253" s="87">
        <v>0.90499621498864502</v>
      </c>
      <c r="P253" s="87">
        <v>0.90506807866868377</v>
      </c>
      <c r="Q253" s="87">
        <v>0.90511231603408215</v>
      </c>
      <c r="R253" s="87">
        <v>0.90512333965844405</v>
      </c>
      <c r="S253" s="87">
        <v>0.90477968633308437</v>
      </c>
      <c r="T253" s="87">
        <v>0.90521327014218012</v>
      </c>
      <c r="U253" s="87">
        <v>0.90505415162454872</v>
      </c>
      <c r="V253" s="87">
        <v>0.90509420795533846</v>
      </c>
      <c r="W253" s="87">
        <v>0.90520510168907276</v>
      </c>
      <c r="X253" s="87">
        <v>0.9049558723693143</v>
      </c>
      <c r="Y253" s="87">
        <v>0.9051526091237283</v>
      </c>
      <c r="Z253" s="87">
        <v>0.90509332489718441</v>
      </c>
      <c r="AA253" s="87">
        <v>0.90507859733978235</v>
      </c>
      <c r="AB253" s="87">
        <v>0.9051575931232092</v>
      </c>
      <c r="AC253" s="87">
        <v>0.90486604702022966</v>
      </c>
      <c r="AD253" s="87">
        <v>0.90518596123624939</v>
      </c>
      <c r="AE253" s="87">
        <v>0.90487483530961788</v>
      </c>
      <c r="AF253" s="87">
        <v>0.9049738219895288</v>
      </c>
      <c r="AG253" s="87">
        <v>0.90523822058436432</v>
      </c>
      <c r="AH253" s="87">
        <v>0.90509803921568632</v>
      </c>
      <c r="AI253" s="87">
        <v>0.90509803921568632</v>
      </c>
      <c r="AJ253" s="87">
        <v>0.90514469453376201</v>
      </c>
      <c r="AK253" s="87">
        <v>0.90517474939040909</v>
      </c>
      <c r="AL253" s="87">
        <v>0.90530093870789619</v>
      </c>
      <c r="AM253" s="87">
        <v>0.90483914571505808</v>
      </c>
      <c r="AN253" s="87">
        <v>0.90511756569847857</v>
      </c>
      <c r="AO253" s="87">
        <v>0.90494076856399885</v>
      </c>
      <c r="AP253" s="87">
        <v>0.9049396898334291</v>
      </c>
      <c r="AQ253" s="87">
        <v>0.90517973393716389</v>
      </c>
      <c r="AR253" s="87">
        <v>0.90507411630558721</v>
      </c>
      <c r="AS253" s="87">
        <v>0.90492264416315049</v>
      </c>
      <c r="AT253" s="87">
        <v>0.90507011866235165</v>
      </c>
      <c r="AU253" s="87">
        <v>0.90501043841336115</v>
      </c>
      <c r="AV253" s="87">
        <v>0.90503373118837571</v>
      </c>
      <c r="AW253" s="87">
        <v>0.90499611700750715</v>
      </c>
      <c r="AX253" s="87">
        <v>0.90509013785790027</v>
      </c>
      <c r="AY253" s="87">
        <v>0.90508201129335841</v>
      </c>
      <c r="AZ253" s="87">
        <v>0.90509953640578134</v>
      </c>
      <c r="BA253" s="87">
        <v>0.9050403787245892</v>
      </c>
      <c r="BB253" s="87">
        <v>0.90488286762630543</v>
      </c>
      <c r="BC253" s="87">
        <v>0.90508096035734231</v>
      </c>
      <c r="BD253" s="87">
        <v>0.90511756569847857</v>
      </c>
      <c r="BE253" s="87">
        <v>0.90504939626783754</v>
      </c>
      <c r="BF253" s="87">
        <v>0.90498230329430984</v>
      </c>
      <c r="BG253" s="87">
        <v>0.90489057011618479</v>
      </c>
    </row>
    <row r="254" spans="3:59" x14ac:dyDescent="0.2">
      <c r="C254" s="29">
        <v>49</v>
      </c>
      <c r="F254" s="87">
        <v>0.90376850605652759</v>
      </c>
      <c r="G254" s="87">
        <v>0.90365111561866129</v>
      </c>
      <c r="H254" s="87">
        <v>0.9038397328881469</v>
      </c>
      <c r="I254" s="87">
        <v>0.90372568414111443</v>
      </c>
      <c r="J254" s="87">
        <v>0.90385894876912842</v>
      </c>
      <c r="K254" s="87">
        <v>0.90397135416666663</v>
      </c>
      <c r="L254" s="87">
        <v>0.90375741595253789</v>
      </c>
      <c r="M254" s="87">
        <v>0.90362269309637733</v>
      </c>
      <c r="N254" s="87">
        <v>0.90383938006340259</v>
      </c>
      <c r="O254" s="87">
        <v>0.90374724467303458</v>
      </c>
      <c r="P254" s="87">
        <v>0.9039118875807064</v>
      </c>
      <c r="Q254" s="87">
        <v>0.9039848197343453</v>
      </c>
      <c r="R254" s="87">
        <v>0.90400310921103766</v>
      </c>
      <c r="S254" s="87">
        <v>0.90369242481918544</v>
      </c>
      <c r="T254" s="87">
        <v>0.90408392656425629</v>
      </c>
      <c r="U254" s="87">
        <v>0.90383912248628884</v>
      </c>
      <c r="V254" s="87">
        <v>0.90369297610427224</v>
      </c>
      <c r="W254" s="87">
        <v>0.90374518725936293</v>
      </c>
      <c r="X254" s="87">
        <v>0.90390597995160737</v>
      </c>
      <c r="Y254" s="87">
        <v>0.90367597004765143</v>
      </c>
      <c r="Z254" s="87">
        <v>0.90391576176373811</v>
      </c>
      <c r="AA254" s="87">
        <v>0.9035838883602918</v>
      </c>
      <c r="AB254" s="87">
        <v>0.90391027584116401</v>
      </c>
      <c r="AC254" s="87">
        <v>0.9037909247558874</v>
      </c>
      <c r="AD254" s="87">
        <v>0.90380926281172924</v>
      </c>
      <c r="AE254" s="87">
        <v>0.90367454068241471</v>
      </c>
      <c r="AF254" s="87">
        <v>0.90385631273111466</v>
      </c>
      <c r="AG254" s="87">
        <v>0.90369981632117558</v>
      </c>
      <c r="AH254" s="87">
        <v>0.9037193352677394</v>
      </c>
      <c r="AI254" s="87">
        <v>0.90358920618286609</v>
      </c>
      <c r="AJ254" s="87">
        <v>0.90358920618286609</v>
      </c>
      <c r="AK254" s="87">
        <v>0.90386680988184742</v>
      </c>
      <c r="AL254" s="87">
        <v>0.90363735070575457</v>
      </c>
      <c r="AM254" s="87">
        <v>0.90373443983402491</v>
      </c>
      <c r="AN254" s="87">
        <v>0.9038201029531292</v>
      </c>
      <c r="AO254" s="87">
        <v>0.90382483370288247</v>
      </c>
      <c r="AP254" s="87">
        <v>0.90359004053271574</v>
      </c>
      <c r="AQ254" s="87">
        <v>0.9038572251007484</v>
      </c>
      <c r="AR254" s="87">
        <v>0.90385706182643222</v>
      </c>
      <c r="AS254" s="87">
        <v>0.90402742073693232</v>
      </c>
      <c r="AT254" s="87">
        <v>0.90360766629086808</v>
      </c>
      <c r="AU254" s="87">
        <v>0.90380978114023236</v>
      </c>
      <c r="AV254" s="87">
        <v>0.90379084967320267</v>
      </c>
      <c r="AW254" s="87">
        <v>0.90382115934494411</v>
      </c>
      <c r="AX254" s="87">
        <v>0.90378630705394192</v>
      </c>
      <c r="AY254" s="87">
        <v>0.90385126162018592</v>
      </c>
      <c r="AZ254" s="87">
        <v>0.90358200915701592</v>
      </c>
      <c r="BA254" s="87">
        <v>0.90382513661202191</v>
      </c>
      <c r="BB254" s="87">
        <v>0.90376569037656906</v>
      </c>
      <c r="BC254" s="87">
        <v>0.90384615384615385</v>
      </c>
      <c r="BD254" s="87">
        <v>0.9037762237762238</v>
      </c>
      <c r="BE254" s="87">
        <v>0.90385148240509838</v>
      </c>
      <c r="BF254" s="87">
        <v>0.90379329301814182</v>
      </c>
      <c r="BG254" s="87">
        <v>0.90373602399781838</v>
      </c>
    </row>
    <row r="255" spans="3:59" x14ac:dyDescent="0.2">
      <c r="C255" s="29">
        <v>50</v>
      </c>
      <c r="F255" s="87">
        <v>0.90369876707764074</v>
      </c>
      <c r="G255" s="87">
        <v>0.9036063363667004</v>
      </c>
      <c r="H255" s="87">
        <v>0.90359809911744737</v>
      </c>
      <c r="I255" s="87">
        <v>0.90348525469168905</v>
      </c>
      <c r="J255" s="87">
        <v>0.90370615486432826</v>
      </c>
      <c r="K255" s="87">
        <v>0.9038397328881469</v>
      </c>
      <c r="L255" s="87">
        <v>0.9036262659261679</v>
      </c>
      <c r="M255" s="87">
        <v>0.90340721137942437</v>
      </c>
      <c r="N255" s="87">
        <v>0.9036020583190395</v>
      </c>
      <c r="O255" s="87">
        <v>0.90349946977730644</v>
      </c>
      <c r="P255" s="87">
        <v>0.90376106194690264</v>
      </c>
      <c r="Q255" s="87">
        <v>0.90358231707317072</v>
      </c>
      <c r="R255" s="87">
        <v>0.90365575019040367</v>
      </c>
      <c r="S255" s="87">
        <v>0.90366614664586586</v>
      </c>
      <c r="T255" s="87">
        <v>0.90374331550802134</v>
      </c>
      <c r="U255" s="87">
        <v>0.90375939849624065</v>
      </c>
      <c r="V255" s="87">
        <v>0.90352164343360231</v>
      </c>
      <c r="W255" s="87">
        <v>0.90337813294587721</v>
      </c>
      <c r="X255" s="87">
        <v>0.9037921348314607</v>
      </c>
      <c r="Y255" s="87">
        <v>0.90360610263522889</v>
      </c>
      <c r="Z255" s="87">
        <v>0.90337999317173101</v>
      </c>
      <c r="AA255" s="87">
        <v>0.90363036303630362</v>
      </c>
      <c r="AB255" s="87">
        <v>0.90362595419847325</v>
      </c>
      <c r="AC255" s="87">
        <v>0.90364741641337387</v>
      </c>
      <c r="AD255" s="87">
        <v>0.90354160668010364</v>
      </c>
      <c r="AE255" s="87">
        <v>0.90357142857142858</v>
      </c>
      <c r="AF255" s="87">
        <v>0.90368421052631576</v>
      </c>
      <c r="AG255" s="87">
        <v>0.90362721736828167</v>
      </c>
      <c r="AH255" s="87">
        <v>0.90347185691741194</v>
      </c>
      <c r="AI255" s="87">
        <v>0.90349021681649921</v>
      </c>
      <c r="AJ255" s="87">
        <v>0.90362394957983194</v>
      </c>
      <c r="AK255" s="87">
        <v>0.90362394957983194</v>
      </c>
      <c r="AL255" s="87">
        <v>0.90365984930032295</v>
      </c>
      <c r="AM255" s="87">
        <v>0.90367346938775506</v>
      </c>
      <c r="AN255" s="87">
        <v>0.90377149195784801</v>
      </c>
      <c r="AO255" s="87">
        <v>0.90361118653271788</v>
      </c>
      <c r="AP255" s="87">
        <v>0.90361111111111114</v>
      </c>
      <c r="AQ255" s="87">
        <v>0.9036564132327336</v>
      </c>
      <c r="AR255" s="87">
        <v>0.90337467551197004</v>
      </c>
      <c r="AS255" s="87">
        <v>0.90338164251207731</v>
      </c>
      <c r="AT255" s="87">
        <v>0.90354894104178596</v>
      </c>
      <c r="AU255" s="87">
        <v>0.90367231638418077</v>
      </c>
      <c r="AV255" s="87">
        <v>0.90360140806932032</v>
      </c>
      <c r="AW255" s="87">
        <v>0.90358920618286609</v>
      </c>
      <c r="AX255" s="87">
        <v>0.90362073456629333</v>
      </c>
      <c r="AY255" s="87">
        <v>0.9035862785862786</v>
      </c>
      <c r="AZ255" s="87">
        <v>0.90367216604576905</v>
      </c>
      <c r="BA255" s="87">
        <v>0.90364372469635623</v>
      </c>
      <c r="BB255" s="87">
        <v>0.9036408431426225</v>
      </c>
      <c r="BC255" s="87">
        <v>0.90357741755170484</v>
      </c>
      <c r="BD255" s="87">
        <v>0.90365542646642105</v>
      </c>
      <c r="BE255" s="87">
        <v>0.90386771300448432</v>
      </c>
      <c r="BF255" s="87">
        <v>0.90366463076068848</v>
      </c>
      <c r="BG255" s="87">
        <v>0.90360782153676678</v>
      </c>
    </row>
    <row r="256" spans="3:59" x14ac:dyDescent="0.2">
      <c r="C256" s="29">
        <v>51</v>
      </c>
      <c r="F256" s="87">
        <v>0.90151759767516948</v>
      </c>
      <c r="G256" s="87">
        <v>0.90153538050734316</v>
      </c>
      <c r="H256" s="87">
        <v>0.90152284263959392</v>
      </c>
      <c r="I256" s="87">
        <v>0.90119250425894382</v>
      </c>
      <c r="J256" s="87">
        <v>0.90141318977119789</v>
      </c>
      <c r="K256" s="87">
        <v>0.90166112956810629</v>
      </c>
      <c r="L256" s="87">
        <v>0.90147453083109919</v>
      </c>
      <c r="M256" s="87">
        <v>0.90131147540983603</v>
      </c>
      <c r="N256" s="87">
        <v>0.90139442231075695</v>
      </c>
      <c r="O256" s="87">
        <v>0.90151515151515149</v>
      </c>
      <c r="P256" s="87">
        <v>0.90134847409510288</v>
      </c>
      <c r="Q256" s="87">
        <v>0.9015544041450777</v>
      </c>
      <c r="R256" s="87">
        <v>0.90168324407039024</v>
      </c>
      <c r="S256" s="87">
        <v>0.90175840978593269</v>
      </c>
      <c r="T256" s="87">
        <v>0.90136986301369859</v>
      </c>
      <c r="U256" s="87">
        <v>0.90184049079754602</v>
      </c>
      <c r="V256" s="87">
        <v>0.90154658619388905</v>
      </c>
      <c r="W256" s="87">
        <v>0.9013617960986382</v>
      </c>
      <c r="X256" s="87">
        <v>0.90156762668611012</v>
      </c>
      <c r="Y256" s="87">
        <v>0.90137372314195141</v>
      </c>
      <c r="Z256" s="87">
        <v>0.90156521739130435</v>
      </c>
      <c r="AA256" s="87">
        <v>0.90167865707434047</v>
      </c>
      <c r="AB256" s="87">
        <v>0.9013571665011586</v>
      </c>
      <c r="AC256" s="87">
        <v>0.90172303765156347</v>
      </c>
      <c r="AD256" s="87">
        <v>0.9015544041450777</v>
      </c>
      <c r="AE256" s="87">
        <v>0.9015304649148137</v>
      </c>
      <c r="AF256" s="87">
        <v>0.90137741046831954</v>
      </c>
      <c r="AG256" s="87">
        <v>0.90158311345646436</v>
      </c>
      <c r="AH256" s="87">
        <v>0.90151314043005049</v>
      </c>
      <c r="AI256" s="87">
        <v>0.90163502109704641</v>
      </c>
      <c r="AJ256" s="87">
        <v>0.90140471773124831</v>
      </c>
      <c r="AK256" s="87">
        <v>0.90152711953659825</v>
      </c>
      <c r="AL256" s="87">
        <v>0.90152711953659825</v>
      </c>
      <c r="AM256" s="87">
        <v>0.90153763150795796</v>
      </c>
      <c r="AN256" s="87">
        <v>0.90152755046372068</v>
      </c>
      <c r="AO256" s="87">
        <v>0.90133407448582548</v>
      </c>
      <c r="AP256" s="87">
        <v>0.90146978769733266</v>
      </c>
      <c r="AQ256" s="87">
        <v>0.90169869117237533</v>
      </c>
      <c r="AR256" s="87">
        <v>0.90139616055846428</v>
      </c>
      <c r="AS256" s="87">
        <v>0.90167727009832277</v>
      </c>
      <c r="AT256" s="87">
        <v>0.90170940170940173</v>
      </c>
      <c r="AU256" s="87">
        <v>0.90131956397016633</v>
      </c>
      <c r="AV256" s="87">
        <v>0.90147225368063422</v>
      </c>
      <c r="AW256" s="87">
        <v>0.90149253731343282</v>
      </c>
      <c r="AX256" s="87">
        <v>0.90154896298241005</v>
      </c>
      <c r="AY256" s="87">
        <v>0.90159227355781779</v>
      </c>
      <c r="AZ256" s="87">
        <v>0.90156250000000004</v>
      </c>
      <c r="BA256" s="87">
        <v>0.90159999999999996</v>
      </c>
      <c r="BB256" s="87">
        <v>0.90129799891833429</v>
      </c>
      <c r="BC256" s="87">
        <v>0.90150891632373109</v>
      </c>
      <c r="BD256" s="87">
        <v>0.90168067226890758</v>
      </c>
      <c r="BE256" s="87">
        <v>0.90147643384440657</v>
      </c>
      <c r="BF256" s="87">
        <v>0.90143218197135633</v>
      </c>
      <c r="BG256" s="87">
        <v>0.90152990264255906</v>
      </c>
    </row>
    <row r="257" spans="3:59" x14ac:dyDescent="0.2">
      <c r="C257" s="29">
        <v>52</v>
      </c>
      <c r="F257" s="87">
        <v>0.89797882579403276</v>
      </c>
      <c r="G257" s="87">
        <v>0.89805825242718451</v>
      </c>
      <c r="H257" s="87">
        <v>0.89808917197452232</v>
      </c>
      <c r="I257" s="87">
        <v>0.8980632008154944</v>
      </c>
      <c r="J257" s="87">
        <v>0.89801505817932925</v>
      </c>
      <c r="K257" s="87">
        <v>0.89797297297297296</v>
      </c>
      <c r="L257" s="87">
        <v>0.89826551034022684</v>
      </c>
      <c r="M257" s="87">
        <v>0.89804845222072682</v>
      </c>
      <c r="N257" s="87">
        <v>0.89795918367346939</v>
      </c>
      <c r="O257" s="87">
        <v>0.89800000000000002</v>
      </c>
      <c r="P257" s="87">
        <v>0.89802972692706529</v>
      </c>
      <c r="Q257" s="87">
        <v>0.89811186319914504</v>
      </c>
      <c r="R257" s="87">
        <v>0.89784546805349186</v>
      </c>
      <c r="S257" s="87">
        <v>0.89823348694316441</v>
      </c>
      <c r="T257" s="87">
        <v>0.89831158864159633</v>
      </c>
      <c r="U257" s="87">
        <v>0.89823182711198424</v>
      </c>
      <c r="V257" s="87">
        <v>0.8980377068103117</v>
      </c>
      <c r="W257" s="87">
        <v>0.8981446421809921</v>
      </c>
      <c r="X257" s="87">
        <v>0.89804211304026593</v>
      </c>
      <c r="Y257" s="87">
        <v>0.89795171909290417</v>
      </c>
      <c r="Z257" s="87">
        <v>0.89819724284199365</v>
      </c>
      <c r="AA257" s="87">
        <v>0.89808027923211164</v>
      </c>
      <c r="AB257" s="87">
        <v>0.89793814432989694</v>
      </c>
      <c r="AC257" s="87">
        <v>0.89837263367651943</v>
      </c>
      <c r="AD257" s="87">
        <v>0.89792000000000005</v>
      </c>
      <c r="AE257" s="87">
        <v>0.89819627025374504</v>
      </c>
      <c r="AF257" s="87">
        <v>0.89805965826817258</v>
      </c>
      <c r="AG257" s="87">
        <v>0.89806629834254148</v>
      </c>
      <c r="AH257" s="87">
        <v>0.89814814814814814</v>
      </c>
      <c r="AI257" s="87">
        <v>0.89805696034069737</v>
      </c>
      <c r="AJ257" s="87">
        <v>0.89796457837694954</v>
      </c>
      <c r="AK257" s="87">
        <v>0.89795376029763485</v>
      </c>
      <c r="AL257" s="87">
        <v>0.89812615465822121</v>
      </c>
      <c r="AM257" s="87">
        <v>0.89812615465822121</v>
      </c>
      <c r="AN257" s="87">
        <v>0.89805300162249868</v>
      </c>
      <c r="AO257" s="87">
        <v>0.89800382827454195</v>
      </c>
      <c r="AP257" s="87">
        <v>0.89802173307327948</v>
      </c>
      <c r="AQ257" s="87">
        <v>0.89822646657571625</v>
      </c>
      <c r="AR257" s="87">
        <v>0.89813005861010331</v>
      </c>
      <c r="AS257" s="87">
        <v>0.89822105570137067</v>
      </c>
      <c r="AT257" s="87">
        <v>0.89826086956521745</v>
      </c>
      <c r="AU257" s="87">
        <v>0.89805825242718451</v>
      </c>
      <c r="AV257" s="87">
        <v>0.89792984473835535</v>
      </c>
      <c r="AW257" s="87">
        <v>0.89812712826333707</v>
      </c>
      <c r="AX257" s="87">
        <v>0.89801468588523248</v>
      </c>
      <c r="AY257" s="87">
        <v>0.89792159957905815</v>
      </c>
      <c r="AZ257" s="87">
        <v>0.8979858749673032</v>
      </c>
      <c r="BA257" s="87">
        <v>0.89822546972860129</v>
      </c>
      <c r="BB257" s="87">
        <v>0.89818278995189738</v>
      </c>
      <c r="BC257" s="87">
        <v>0.89810298102981034</v>
      </c>
      <c r="BD257" s="87">
        <v>0.89802089059923029</v>
      </c>
      <c r="BE257" s="87">
        <v>0.8981195621667134</v>
      </c>
      <c r="BF257" s="87">
        <v>0.89812179852020491</v>
      </c>
      <c r="BG257" s="87">
        <v>0.8981429375351716</v>
      </c>
    </row>
    <row r="258" spans="3:59" x14ac:dyDescent="0.2">
      <c r="C258" s="29">
        <v>53</v>
      </c>
      <c r="F258" s="87">
        <v>0.89460236346215272</v>
      </c>
      <c r="G258" s="87">
        <v>0.89449983917658415</v>
      </c>
      <c r="H258" s="87">
        <v>0.89470263243418913</v>
      </c>
      <c r="I258" s="87">
        <v>0.89461279461279464</v>
      </c>
      <c r="J258" s="87">
        <v>0.89453924914675764</v>
      </c>
      <c r="K258" s="87">
        <v>0.89450171821305846</v>
      </c>
      <c r="L258" s="87">
        <v>0.89480827960637932</v>
      </c>
      <c r="M258" s="87">
        <v>0.89450770261219026</v>
      </c>
      <c r="N258" s="87">
        <v>0.89459459459459456</v>
      </c>
      <c r="O258" s="87">
        <v>0.89458030403172506</v>
      </c>
      <c r="P258" s="87">
        <v>0.89457831325301207</v>
      </c>
      <c r="Q258" s="87">
        <v>0.89451769604441356</v>
      </c>
      <c r="R258" s="87">
        <v>0.89484978540772531</v>
      </c>
      <c r="S258" s="87">
        <v>0.89481536740022383</v>
      </c>
      <c r="T258" s="87">
        <v>0.89475713184271399</v>
      </c>
      <c r="U258" s="87">
        <v>0.89449364651520991</v>
      </c>
      <c r="V258" s="87">
        <v>0.89432176656151419</v>
      </c>
      <c r="W258" s="87">
        <v>0.89455388180764772</v>
      </c>
      <c r="X258" s="87">
        <v>0.89437689969604861</v>
      </c>
      <c r="Y258" s="87">
        <v>0.89436619718309862</v>
      </c>
      <c r="Z258" s="87">
        <v>0.89464023494860501</v>
      </c>
      <c r="AA258" s="87">
        <v>0.89468085106382977</v>
      </c>
      <c r="AB258" s="87">
        <v>0.89460784313725494</v>
      </c>
      <c r="AC258" s="87">
        <v>0.89482758620689651</v>
      </c>
      <c r="AD258" s="87">
        <v>0.89473684210526316</v>
      </c>
      <c r="AE258" s="87">
        <v>0.89470304975922954</v>
      </c>
      <c r="AF258" s="87">
        <v>0.89481754063170804</v>
      </c>
      <c r="AG258" s="87">
        <v>0.89456869009584661</v>
      </c>
      <c r="AH258" s="87">
        <v>0.89473684210526316</v>
      </c>
      <c r="AI258" s="87">
        <v>0.89469496021220163</v>
      </c>
      <c r="AJ258" s="87">
        <v>0.89458233253269281</v>
      </c>
      <c r="AK258" s="87">
        <v>0.89451364961569046</v>
      </c>
      <c r="AL258" s="87">
        <v>0.89475086597388753</v>
      </c>
      <c r="AM258" s="87">
        <v>0.89468113257475523</v>
      </c>
      <c r="AN258" s="87">
        <v>0.89444444444444449</v>
      </c>
      <c r="AO258" s="87">
        <v>0.89455136893467069</v>
      </c>
      <c r="AP258" s="87">
        <v>0.89473684210526316</v>
      </c>
      <c r="AQ258" s="87">
        <v>0.89469273743016764</v>
      </c>
      <c r="AR258" s="87">
        <v>0.89469365426695846</v>
      </c>
      <c r="AS258" s="87">
        <v>0.89479574706211529</v>
      </c>
      <c r="AT258" s="87">
        <v>0.89447529961999417</v>
      </c>
      <c r="AU258" s="87">
        <v>0.89453805926786756</v>
      </c>
      <c r="AV258" s="87">
        <v>0.89467658843732112</v>
      </c>
      <c r="AW258" s="87">
        <v>0.89452449567723347</v>
      </c>
      <c r="AX258" s="87">
        <v>0.8944823663253697</v>
      </c>
      <c r="AY258" s="87">
        <v>0.89452166802943578</v>
      </c>
      <c r="AZ258" s="87">
        <v>0.89454257843395724</v>
      </c>
      <c r="BA258" s="87">
        <v>0.89462647444298815</v>
      </c>
      <c r="BB258" s="87">
        <v>0.89461297071129708</v>
      </c>
      <c r="BC258" s="87">
        <v>0.89475093733261912</v>
      </c>
      <c r="BD258" s="87">
        <v>0.89462248777838127</v>
      </c>
      <c r="BE258" s="87">
        <v>0.89476584022038563</v>
      </c>
      <c r="BF258" s="87">
        <v>0.89454443194600675</v>
      </c>
      <c r="BG258" s="87">
        <v>0.89478186484174504</v>
      </c>
    </row>
    <row r="259" spans="3:59" x14ac:dyDescent="0.2">
      <c r="C259" s="29">
        <v>54</v>
      </c>
      <c r="F259" s="87">
        <v>0.89016393442622954</v>
      </c>
      <c r="G259" s="87">
        <v>0.89013452914798208</v>
      </c>
      <c r="H259" s="87">
        <v>0.89046849757673663</v>
      </c>
      <c r="I259" s="87">
        <v>0.89001305483028725</v>
      </c>
      <c r="J259" s="87">
        <v>0.89009130875887721</v>
      </c>
      <c r="K259" s="87">
        <v>0.89029825162838527</v>
      </c>
      <c r="L259" s="87">
        <v>0.88992408557625946</v>
      </c>
      <c r="M259" s="87">
        <v>0.89028960817717206</v>
      </c>
      <c r="N259" s="87">
        <v>0.89004707464694011</v>
      </c>
      <c r="O259" s="87">
        <v>0.89043419267299861</v>
      </c>
      <c r="P259" s="87">
        <v>0.89017916390179164</v>
      </c>
      <c r="Q259" s="87">
        <v>0.89015787705744043</v>
      </c>
      <c r="R259" s="87">
        <v>0.89028213166144199</v>
      </c>
      <c r="S259" s="87">
        <v>0.89016511127063891</v>
      </c>
      <c r="T259" s="87">
        <v>0.89030325720703851</v>
      </c>
      <c r="U259" s="87">
        <v>0.89047987616099067</v>
      </c>
      <c r="V259" s="87">
        <v>0.89022033243138776</v>
      </c>
      <c r="W259" s="87">
        <v>0.89034045922406968</v>
      </c>
      <c r="X259" s="87">
        <v>0.89031007751937985</v>
      </c>
      <c r="Y259" s="87">
        <v>0.89020205871139912</v>
      </c>
      <c r="Z259" s="87">
        <v>0.89025297619047616</v>
      </c>
      <c r="AA259" s="87">
        <v>0.89023941068139967</v>
      </c>
      <c r="AB259" s="87">
        <v>0.89007470651013876</v>
      </c>
      <c r="AC259" s="87">
        <v>0.89005971197752021</v>
      </c>
      <c r="AD259" s="87">
        <v>0.89034936008301624</v>
      </c>
      <c r="AE259" s="87">
        <v>0.89007684597393921</v>
      </c>
      <c r="AF259" s="87">
        <v>0.89021249195106245</v>
      </c>
      <c r="AG259" s="87">
        <v>0.89022140221402213</v>
      </c>
      <c r="AH259" s="87">
        <v>0.89021549213744899</v>
      </c>
      <c r="AI259" s="87">
        <v>0.8900305470702583</v>
      </c>
      <c r="AJ259" s="87">
        <v>0.89018877957989895</v>
      </c>
      <c r="AK259" s="87">
        <v>0.89031567683253077</v>
      </c>
      <c r="AL259" s="87">
        <v>0.89001062699256106</v>
      </c>
      <c r="AM259" s="87">
        <v>0.89022435897435892</v>
      </c>
      <c r="AN259" s="87">
        <v>0.89045092838196283</v>
      </c>
      <c r="AO259" s="87">
        <v>0.89021479713603824</v>
      </c>
      <c r="AP259" s="87">
        <v>0.89021739130434785</v>
      </c>
      <c r="AQ259" s="87">
        <v>0.89010989010989006</v>
      </c>
      <c r="AR259" s="87">
        <v>0.89025755879059354</v>
      </c>
      <c r="AS259" s="87">
        <v>0.89035087719298245</v>
      </c>
      <c r="AT259" s="87">
        <v>0.89035333707234998</v>
      </c>
      <c r="AU259" s="87">
        <v>0.89041898622912397</v>
      </c>
      <c r="AV259" s="87">
        <v>0.89021549213744899</v>
      </c>
      <c r="AW259" s="87">
        <v>0.8904188181296615</v>
      </c>
      <c r="AX259" s="87">
        <v>0.89023685730791446</v>
      </c>
      <c r="AY259" s="87">
        <v>0.88999715018523795</v>
      </c>
      <c r="AZ259" s="87">
        <v>0.89022392135445116</v>
      </c>
      <c r="BA259" s="87">
        <v>0.89035667107001326</v>
      </c>
      <c r="BB259" s="87">
        <v>0.89023109243697474</v>
      </c>
      <c r="BC259" s="87">
        <v>0.89022792769190462</v>
      </c>
      <c r="BD259" s="87">
        <v>0.89026026294606919</v>
      </c>
      <c r="BE259" s="87">
        <v>0.89034013605442175</v>
      </c>
      <c r="BF259" s="87">
        <v>0.89042230195970196</v>
      </c>
      <c r="BG259" s="87">
        <v>0.89010989010989006</v>
      </c>
    </row>
    <row r="260" spans="3:59" x14ac:dyDescent="0.2">
      <c r="C260" s="29">
        <v>55</v>
      </c>
      <c r="F260" s="87">
        <v>0.88419618528610355</v>
      </c>
      <c r="G260" s="87">
        <v>0.88424860243341008</v>
      </c>
      <c r="H260" s="87">
        <v>0.88416988416988418</v>
      </c>
      <c r="I260" s="87">
        <v>0.88416612589227772</v>
      </c>
      <c r="J260" s="87">
        <v>0.88426229508196719</v>
      </c>
      <c r="K260" s="87">
        <v>0.88387096774193552</v>
      </c>
      <c r="L260" s="87">
        <v>0.88433734939759034</v>
      </c>
      <c r="M260" s="87">
        <v>0.88392238392238387</v>
      </c>
      <c r="N260" s="87">
        <v>0.88436537803626414</v>
      </c>
      <c r="O260" s="87">
        <v>0.88419986495611069</v>
      </c>
      <c r="P260" s="87">
        <v>0.88423561457269317</v>
      </c>
      <c r="Q260" s="87">
        <v>0.88411588411588415</v>
      </c>
      <c r="R260" s="87">
        <v>0.88401888064733647</v>
      </c>
      <c r="S260" s="87">
        <v>0.88395665851101013</v>
      </c>
      <c r="T260" s="87">
        <v>0.88400576368876083</v>
      </c>
      <c r="U260" s="87">
        <v>0.88392186326070621</v>
      </c>
      <c r="V260" s="87">
        <v>0.88427184466019415</v>
      </c>
      <c r="W260" s="87">
        <v>0.8840186190845617</v>
      </c>
      <c r="X260" s="87">
        <v>0.88403494837172358</v>
      </c>
      <c r="Y260" s="87">
        <v>0.88409179307662389</v>
      </c>
      <c r="Z260" s="87">
        <v>0.88408569242540169</v>
      </c>
      <c r="AA260" s="87">
        <v>0.883955223880597</v>
      </c>
      <c r="AB260" s="87">
        <v>0.88400443295160691</v>
      </c>
      <c r="AC260" s="87">
        <v>0.88401142041399006</v>
      </c>
      <c r="AD260" s="87">
        <v>0.88407329105003518</v>
      </c>
      <c r="AE260" s="87">
        <v>0.8841484564689559</v>
      </c>
      <c r="AF260" s="87">
        <v>0.88408710217755448</v>
      </c>
      <c r="AG260" s="87">
        <v>0.88411878631375085</v>
      </c>
      <c r="AH260" s="87">
        <v>0.88409371146732429</v>
      </c>
      <c r="AI260" s="87">
        <v>0.88408759124087588</v>
      </c>
      <c r="AJ260" s="87">
        <v>0.88418708240534516</v>
      </c>
      <c r="AK260" s="87">
        <v>0.88406183368869939</v>
      </c>
      <c r="AL260" s="87">
        <v>0.88415124698310543</v>
      </c>
      <c r="AM260" s="87">
        <v>0.88415446071904125</v>
      </c>
      <c r="AN260" s="87">
        <v>0.8841006423982869</v>
      </c>
      <c r="AO260" s="87">
        <v>0.88410419989367361</v>
      </c>
      <c r="AP260" s="87">
        <v>0.88413499867127288</v>
      </c>
      <c r="AQ260" s="87">
        <v>0.88398692810457513</v>
      </c>
      <c r="AR260" s="87">
        <v>0.88408590308370039</v>
      </c>
      <c r="AS260" s="87">
        <v>0.88411896745230079</v>
      </c>
      <c r="AT260" s="87">
        <v>0.88409777533644607</v>
      </c>
      <c r="AU260" s="87">
        <v>0.88423714526552399</v>
      </c>
      <c r="AV260" s="87">
        <v>0.88432178508514392</v>
      </c>
      <c r="AW260" s="87">
        <v>0.88415523781733296</v>
      </c>
      <c r="AX260" s="87">
        <v>0.88390804597701145</v>
      </c>
      <c r="AY260" s="87">
        <v>0.88422575976845152</v>
      </c>
      <c r="AZ260" s="87">
        <v>0.88406624785836663</v>
      </c>
      <c r="BA260" s="87">
        <v>0.88399452804377565</v>
      </c>
      <c r="BB260" s="87">
        <v>0.88433033350979351</v>
      </c>
      <c r="BC260" s="87">
        <v>0.88424098921336491</v>
      </c>
      <c r="BD260" s="87">
        <v>0.88425196850393706</v>
      </c>
      <c r="BE260" s="87">
        <v>0.88417092179521639</v>
      </c>
      <c r="BF260" s="87">
        <v>0.88416462251294625</v>
      </c>
      <c r="BG260" s="87">
        <v>0.88415814210671828</v>
      </c>
    </row>
    <row r="261" spans="3:59" x14ac:dyDescent="0.2">
      <c r="C261" s="29">
        <v>56</v>
      </c>
      <c r="F261" s="87">
        <v>0.87647058823529411</v>
      </c>
      <c r="G261" s="87">
        <v>0.87666552784420904</v>
      </c>
      <c r="H261" s="87">
        <v>0.87681638044914134</v>
      </c>
      <c r="I261" s="87">
        <v>0.87722132471728598</v>
      </c>
      <c r="J261" s="87">
        <v>0.87715868361029647</v>
      </c>
      <c r="K261" s="87">
        <v>0.87755102040816324</v>
      </c>
      <c r="L261" s="87">
        <v>0.8778990450204639</v>
      </c>
      <c r="M261" s="87">
        <v>0.87802349689011749</v>
      </c>
      <c r="N261" s="87">
        <v>0.87821851078636048</v>
      </c>
      <c r="O261" s="87">
        <v>0.87843406593406592</v>
      </c>
      <c r="P261" s="87">
        <v>0.87868519146052182</v>
      </c>
      <c r="Q261" s="87">
        <v>0.87867395762132605</v>
      </c>
      <c r="R261" s="87">
        <v>0.87867647058823528</v>
      </c>
      <c r="S261" s="87">
        <v>0.87889039242219213</v>
      </c>
      <c r="T261" s="87">
        <v>0.87898982813048054</v>
      </c>
      <c r="U261" s="87">
        <v>0.87924801156905275</v>
      </c>
      <c r="V261" s="87">
        <v>0.87900490011307952</v>
      </c>
      <c r="W261" s="87">
        <v>0.87923646279703938</v>
      </c>
      <c r="X261" s="87">
        <v>0.87937743190661477</v>
      </c>
      <c r="Y261" s="87">
        <v>0.87928286852589643</v>
      </c>
      <c r="Z261" s="87">
        <v>0.87943815840811546</v>
      </c>
      <c r="AA261" s="87">
        <v>0.87950882578664624</v>
      </c>
      <c r="AB261" s="87">
        <v>0.87949101796407181</v>
      </c>
      <c r="AC261" s="87">
        <v>0.8795850314931456</v>
      </c>
      <c r="AD261" s="87">
        <v>0.87974230493915528</v>
      </c>
      <c r="AE261" s="87">
        <v>0.87985865724381629</v>
      </c>
      <c r="AF261" s="87">
        <v>0.88</v>
      </c>
      <c r="AG261" s="87">
        <v>0.8797447094390326</v>
      </c>
      <c r="AH261" s="87">
        <v>0.87961165048543688</v>
      </c>
      <c r="AI261" s="87">
        <v>0.8797898640296663</v>
      </c>
      <c r="AJ261" s="87">
        <v>0.88001170617500735</v>
      </c>
      <c r="AK261" s="87">
        <v>0.8797433035714286</v>
      </c>
      <c r="AL261" s="87">
        <v>0.88004274646005876</v>
      </c>
      <c r="AM261" s="87">
        <v>0.87987100241870464</v>
      </c>
      <c r="AN261" s="87">
        <v>0.87990392313851085</v>
      </c>
      <c r="AO261" s="87">
        <v>0.87982832618025753</v>
      </c>
      <c r="AP261" s="87">
        <v>0.88012786361214701</v>
      </c>
      <c r="AQ261" s="87">
        <v>0.87989347536617846</v>
      </c>
      <c r="AR261" s="87">
        <v>0.87994542974079126</v>
      </c>
      <c r="AS261" s="87">
        <v>0.88</v>
      </c>
      <c r="AT261" s="87">
        <v>0.87998875772906127</v>
      </c>
      <c r="AU261" s="87">
        <v>0.88002201430930105</v>
      </c>
      <c r="AV261" s="87">
        <v>0.88006756756756754</v>
      </c>
      <c r="AW261" s="87">
        <v>0.88</v>
      </c>
      <c r="AX261" s="87">
        <v>0.88015200233849755</v>
      </c>
      <c r="AY261" s="87">
        <v>0.88021883098186005</v>
      </c>
      <c r="AZ261" s="87">
        <v>0.88025514641925195</v>
      </c>
      <c r="BA261" s="87">
        <v>0.87986270022883295</v>
      </c>
      <c r="BB261" s="87">
        <v>0.87996711427788432</v>
      </c>
      <c r="BC261" s="87">
        <v>0.88016967126193002</v>
      </c>
      <c r="BD261" s="87">
        <v>0.88010540184453223</v>
      </c>
      <c r="BE261" s="87">
        <v>0.88012618296529965</v>
      </c>
      <c r="BF261" s="87">
        <v>0.87994616419919247</v>
      </c>
      <c r="BG261" s="87">
        <v>0.87991266375545851</v>
      </c>
    </row>
    <row r="262" spans="3:59" x14ac:dyDescent="0.2">
      <c r="C262" s="29">
        <v>57</v>
      </c>
      <c r="F262" s="87">
        <v>0.86793141189346956</v>
      </c>
      <c r="G262" s="87">
        <v>0.86879555709822975</v>
      </c>
      <c r="H262" s="87">
        <v>0.86925188743994508</v>
      </c>
      <c r="I262" s="87">
        <v>0.86998341625207298</v>
      </c>
      <c r="J262" s="87">
        <v>0.87053861129136922</v>
      </c>
      <c r="K262" s="87">
        <v>0.87140052356020947</v>
      </c>
      <c r="L262" s="87">
        <v>0.8717779246530073</v>
      </c>
      <c r="M262" s="87">
        <v>0.87230400547757614</v>
      </c>
      <c r="N262" s="87">
        <v>0.87270204647936178</v>
      </c>
      <c r="O262" s="87">
        <v>0.87325418994413406</v>
      </c>
      <c r="P262" s="87">
        <v>0.87353549276361131</v>
      </c>
      <c r="Q262" s="87">
        <v>0.87385243114586875</v>
      </c>
      <c r="R262" s="87">
        <v>0.87448559670781889</v>
      </c>
      <c r="S262" s="87">
        <v>0.87491616364855807</v>
      </c>
      <c r="T262" s="87">
        <v>0.87508486082824166</v>
      </c>
      <c r="U262" s="87">
        <v>0.87508796622097118</v>
      </c>
      <c r="V262" s="87">
        <v>0.87563451776649748</v>
      </c>
      <c r="W262" s="87">
        <v>0.87561436672967863</v>
      </c>
      <c r="X262" s="87">
        <v>0.87612348573661591</v>
      </c>
      <c r="Y262" s="87">
        <v>0.87626854020296641</v>
      </c>
      <c r="Z262" s="87">
        <v>0.8764988009592326</v>
      </c>
      <c r="AA262" s="87">
        <v>0.87676056338028174</v>
      </c>
      <c r="AB262" s="87">
        <v>0.87687572143131975</v>
      </c>
      <c r="AC262" s="87">
        <v>0.87692307692307692</v>
      </c>
      <c r="AD262" s="87">
        <v>0.87704309063893016</v>
      </c>
      <c r="AE262" s="87">
        <v>0.87728740581270181</v>
      </c>
      <c r="AF262" s="87">
        <v>0.87712464589235128</v>
      </c>
      <c r="AG262" s="87">
        <v>0.87761506276150625</v>
      </c>
      <c r="AH262" s="87">
        <v>0.87744107744107747</v>
      </c>
      <c r="AI262" s="87">
        <v>0.8773921505027571</v>
      </c>
      <c r="AJ262" s="87">
        <v>0.87767110560545059</v>
      </c>
      <c r="AK262" s="87">
        <v>0.87771260997067446</v>
      </c>
      <c r="AL262" s="87">
        <v>0.87779642058165552</v>
      </c>
      <c r="AM262" s="87">
        <v>0.87767665952890794</v>
      </c>
      <c r="AN262" s="87">
        <v>0.87775982767905225</v>
      </c>
      <c r="AO262" s="87">
        <v>0.87780748663101604</v>
      </c>
      <c r="AP262" s="87">
        <v>0.87798978769148084</v>
      </c>
      <c r="AQ262" s="87">
        <v>0.87780149413020281</v>
      </c>
      <c r="AR262" s="87">
        <v>0.87806830309498396</v>
      </c>
      <c r="AS262" s="87">
        <v>0.87807545106615636</v>
      </c>
      <c r="AT262" s="87">
        <v>0.87786681403702682</v>
      </c>
      <c r="AU262" s="87">
        <v>0.87781531531531531</v>
      </c>
      <c r="AV262" s="87">
        <v>0.87789415656008818</v>
      </c>
      <c r="AW262" s="87">
        <v>0.87792500704820975</v>
      </c>
      <c r="AX262" s="87">
        <v>0.87805596465390279</v>
      </c>
      <c r="AY262" s="87">
        <v>0.87792740046838402</v>
      </c>
      <c r="AZ262" s="87">
        <v>0.87802768166089962</v>
      </c>
      <c r="BA262" s="87">
        <v>0.8777939042089985</v>
      </c>
      <c r="BB262" s="87">
        <v>0.87797192781437983</v>
      </c>
      <c r="BC262" s="87">
        <v>0.87788144895718989</v>
      </c>
      <c r="BD262" s="87">
        <v>0.87815237589593842</v>
      </c>
      <c r="BE262" s="87">
        <v>0.87810026385224271</v>
      </c>
      <c r="BF262" s="87">
        <v>0.87789473684210528</v>
      </c>
      <c r="BG262" s="87">
        <v>0.87793047696038806</v>
      </c>
    </row>
    <row r="263" spans="3:59" x14ac:dyDescent="0.2">
      <c r="C263" s="29">
        <v>58</v>
      </c>
      <c r="F263" s="87">
        <v>0.85625457205559619</v>
      </c>
      <c r="G263" s="87">
        <v>0.85771762984637889</v>
      </c>
      <c r="H263" s="87">
        <v>0.85883583130010455</v>
      </c>
      <c r="I263" s="87">
        <v>0.85975189524465889</v>
      </c>
      <c r="J263" s="87">
        <v>0.86109260493004669</v>
      </c>
      <c r="K263" s="87">
        <v>0.86188925081433221</v>
      </c>
      <c r="L263" s="87">
        <v>0.86272577996715927</v>
      </c>
      <c r="M263" s="87">
        <v>0.86396814863968152</v>
      </c>
      <c r="N263" s="87">
        <v>0.86465132256956367</v>
      </c>
      <c r="O263" s="87">
        <v>0.86529759832927255</v>
      </c>
      <c r="P263" s="87">
        <v>0.86615276804484931</v>
      </c>
      <c r="Q263" s="87">
        <v>0.86687413554633475</v>
      </c>
      <c r="R263" s="87">
        <v>0.86762197202320024</v>
      </c>
      <c r="S263" s="87">
        <v>0.86824905400756791</v>
      </c>
      <c r="T263" s="87">
        <v>0.86881937436932388</v>
      </c>
      <c r="U263" s="87">
        <v>0.86925434116445355</v>
      </c>
      <c r="V263" s="87">
        <v>0.86979534227240651</v>
      </c>
      <c r="W263" s="87">
        <v>0.87018181818181817</v>
      </c>
      <c r="X263" s="87">
        <v>0.87035633055344963</v>
      </c>
      <c r="Y263" s="87">
        <v>0.87108150470219436</v>
      </c>
      <c r="Z263" s="87">
        <v>0.87128325508607196</v>
      </c>
      <c r="AA263" s="87">
        <v>0.87179487179487181</v>
      </c>
      <c r="AB263" s="87">
        <v>0.87215686274509807</v>
      </c>
      <c r="AC263" s="87">
        <v>0.87234863092942538</v>
      </c>
      <c r="AD263" s="87">
        <v>0.87250846182775477</v>
      </c>
      <c r="AE263" s="87">
        <v>0.87267311988086371</v>
      </c>
      <c r="AF263" s="87">
        <v>0.87275341480948954</v>
      </c>
      <c r="AG263" s="87">
        <v>0.87295954577714696</v>
      </c>
      <c r="AH263" s="87">
        <v>0.87320991966468742</v>
      </c>
      <c r="AI263" s="87">
        <v>0.87348178137651822</v>
      </c>
      <c r="AJ263" s="87">
        <v>0.87325316867078318</v>
      </c>
      <c r="AK263" s="87">
        <v>0.87340986658392805</v>
      </c>
      <c r="AL263" s="87">
        <v>0.87367802585193888</v>
      </c>
      <c r="AM263" s="87">
        <v>0.87366946778711485</v>
      </c>
      <c r="AN263" s="87">
        <v>0.87372654155495977</v>
      </c>
      <c r="AO263" s="87">
        <v>0.87378640776699024</v>
      </c>
      <c r="AP263" s="87">
        <v>0.87386181039100164</v>
      </c>
      <c r="AQ263" s="87">
        <v>0.87402422611036334</v>
      </c>
      <c r="AR263" s="87">
        <v>0.87386424371993587</v>
      </c>
      <c r="AS263" s="87">
        <v>0.87389794282660971</v>
      </c>
      <c r="AT263" s="87">
        <v>0.874076101834109</v>
      </c>
      <c r="AU263" s="87">
        <v>0.87410071942446044</v>
      </c>
      <c r="AV263" s="87">
        <v>0.87397800958556526</v>
      </c>
      <c r="AW263" s="87">
        <v>0.8738962472406181</v>
      </c>
      <c r="AX263" s="87">
        <v>0.8738357324301439</v>
      </c>
      <c r="AY263" s="87">
        <v>0.87407844293718662</v>
      </c>
      <c r="AZ263" s="87">
        <v>0.87397420867526376</v>
      </c>
      <c r="BA263" s="87">
        <v>0.87388167388167393</v>
      </c>
      <c r="BB263" s="87">
        <v>0.87387387387387383</v>
      </c>
      <c r="BC263" s="87">
        <v>0.87385321100917435</v>
      </c>
      <c r="BD263" s="87">
        <v>0.87417582417582418</v>
      </c>
      <c r="BE263" s="87">
        <v>0.87407013815090329</v>
      </c>
      <c r="BF263" s="87">
        <v>0.87404277792447849</v>
      </c>
      <c r="BG263" s="87">
        <v>0.87407797681770283</v>
      </c>
    </row>
    <row r="264" spans="3:59" x14ac:dyDescent="0.2">
      <c r="C264" s="29">
        <v>59</v>
      </c>
      <c r="F264" s="87">
        <v>0.84117425668046664</v>
      </c>
      <c r="G264" s="87">
        <v>0.84310850439882701</v>
      </c>
      <c r="H264" s="87">
        <v>0.84465662871832536</v>
      </c>
      <c r="I264" s="87">
        <v>0.84669233461673088</v>
      </c>
      <c r="J264" s="87">
        <v>0.84780352819093741</v>
      </c>
      <c r="K264" s="87">
        <v>0.84954864593781343</v>
      </c>
      <c r="L264" s="87">
        <v>0.85088293001962068</v>
      </c>
      <c r="M264" s="87">
        <v>0.85229146060006589</v>
      </c>
      <c r="N264" s="87">
        <v>0.8535286284953395</v>
      </c>
      <c r="O264" s="87">
        <v>0.85453291968286793</v>
      </c>
      <c r="P264" s="87">
        <v>0.85574572127139359</v>
      </c>
      <c r="Q264" s="87">
        <v>0.85694200351493854</v>
      </c>
      <c r="R264" s="87">
        <v>0.85778702740201185</v>
      </c>
      <c r="S264" s="87">
        <v>0.85870680807389665</v>
      </c>
      <c r="T264" s="87">
        <v>0.85926181441876515</v>
      </c>
      <c r="U264" s="87">
        <v>0.8600337268128162</v>
      </c>
      <c r="V264" s="87">
        <v>0.86075085324232081</v>
      </c>
      <c r="W264" s="87">
        <v>0.8616418966737438</v>
      </c>
      <c r="X264" s="87">
        <v>0.86188046647230321</v>
      </c>
      <c r="Y264" s="87">
        <v>0.86278981375902697</v>
      </c>
      <c r="Z264" s="87">
        <v>0.86297605025520219</v>
      </c>
      <c r="AA264" s="87">
        <v>0.86352941176470588</v>
      </c>
      <c r="AB264" s="87">
        <v>0.86391007627458849</v>
      </c>
      <c r="AC264" s="87">
        <v>0.86444007858546168</v>
      </c>
      <c r="AD264" s="87">
        <v>0.86476043276661518</v>
      </c>
      <c r="AE264" s="87">
        <v>0.86510926902788243</v>
      </c>
      <c r="AF264" s="87">
        <v>0.86534875046624393</v>
      </c>
      <c r="AG264" s="87">
        <v>0.8653222902412675</v>
      </c>
      <c r="AH264" s="87">
        <v>0.86562388908638466</v>
      </c>
      <c r="AI264" s="87">
        <v>0.86599020293911821</v>
      </c>
      <c r="AJ264" s="87">
        <v>0.86587837837837833</v>
      </c>
      <c r="AK264" s="87">
        <v>0.8662109375</v>
      </c>
      <c r="AL264" s="87">
        <v>0.8663766314481044</v>
      </c>
      <c r="AM264" s="87">
        <v>0.86643130332450724</v>
      </c>
      <c r="AN264" s="87">
        <v>0.86647966339410942</v>
      </c>
      <c r="AO264" s="87">
        <v>0.86680988184747587</v>
      </c>
      <c r="AP264" s="87">
        <v>0.86659465298406702</v>
      </c>
      <c r="AQ264" s="87">
        <v>0.86672030034861891</v>
      </c>
      <c r="AR264" s="87">
        <v>0.86688224198329289</v>
      </c>
      <c r="AS264" s="87">
        <v>0.8667736757624398</v>
      </c>
      <c r="AT264" s="87">
        <v>0.86680930730141748</v>
      </c>
      <c r="AU264" s="87">
        <v>0.86708687311592214</v>
      </c>
      <c r="AV264" s="87">
        <v>0.86703601108033246</v>
      </c>
      <c r="AW264" s="87">
        <v>0.86681715575620766</v>
      </c>
      <c r="AX264" s="87">
        <v>0.86712707182320437</v>
      </c>
      <c r="AY264" s="87">
        <v>0.86719412263351225</v>
      </c>
      <c r="AZ264" s="87">
        <v>0.86688311688311692</v>
      </c>
      <c r="BA264" s="87">
        <v>0.8668621700879765</v>
      </c>
      <c r="BB264" s="87">
        <v>0.86712882726747542</v>
      </c>
      <c r="BC264" s="87">
        <v>0.86707388016288545</v>
      </c>
      <c r="BD264" s="87">
        <v>0.86714490674318512</v>
      </c>
      <c r="BE264" s="87">
        <v>0.86695986805937331</v>
      </c>
      <c r="BF264" s="87">
        <v>0.8670566338739697</v>
      </c>
      <c r="BG264" s="87">
        <v>0.86707188160676529</v>
      </c>
    </row>
    <row r="265" spans="3:59" x14ac:dyDescent="0.2">
      <c r="C265" s="29">
        <v>60</v>
      </c>
      <c r="F265" s="87">
        <v>0.82348336594911942</v>
      </c>
      <c r="G265" s="87">
        <v>0.82572614107883813</v>
      </c>
      <c r="H265" s="87">
        <v>0.82842415316642126</v>
      </c>
      <c r="I265" s="87">
        <v>0.83075221238938057</v>
      </c>
      <c r="J265" s="87">
        <v>0.83274771609276177</v>
      </c>
      <c r="K265" s="87">
        <v>0.83501215699895792</v>
      </c>
      <c r="L265" s="87">
        <v>0.8368580060422961</v>
      </c>
      <c r="M265" s="87">
        <v>0.8385297013455858</v>
      </c>
      <c r="N265" s="87">
        <v>0.84050297816015884</v>
      </c>
      <c r="O265" s="87">
        <v>0.84196458402940189</v>
      </c>
      <c r="P265" s="87">
        <v>0.84365271532341746</v>
      </c>
      <c r="Q265" s="87">
        <v>0.84477925718290114</v>
      </c>
      <c r="R265" s="87">
        <v>0.84626234132581102</v>
      </c>
      <c r="S265" s="87">
        <v>0.84730434782608699</v>
      </c>
      <c r="T265" s="87">
        <v>0.84866163349347978</v>
      </c>
      <c r="U265" s="87">
        <v>0.84953303355240406</v>
      </c>
      <c r="V265" s="87">
        <v>0.85052417991207308</v>
      </c>
      <c r="W265" s="87">
        <v>0.85147159479808354</v>
      </c>
      <c r="X265" s="87">
        <v>0.85212765957446812</v>
      </c>
      <c r="Y265" s="87">
        <v>0.85312385823894776</v>
      </c>
      <c r="Z265" s="87">
        <v>0.8533891850723534</v>
      </c>
      <c r="AA265" s="87">
        <v>0.85405192761605031</v>
      </c>
      <c r="AB265" s="87">
        <v>0.85500982318271124</v>
      </c>
      <c r="AC265" s="87">
        <v>0.85524728588661036</v>
      </c>
      <c r="AD265" s="87">
        <v>0.85556867375049195</v>
      </c>
      <c r="AE265" s="87">
        <v>0.85603715170278638</v>
      </c>
      <c r="AF265" s="87">
        <v>0.85660377358490569</v>
      </c>
      <c r="AG265" s="87">
        <v>0.85692939858050055</v>
      </c>
      <c r="AH265" s="87">
        <v>0.85750360750360755</v>
      </c>
      <c r="AI265" s="87">
        <v>0.85760056959772157</v>
      </c>
      <c r="AJ265" s="87">
        <v>0.85774351786965664</v>
      </c>
      <c r="AK265" s="87">
        <v>0.85820642978003381</v>
      </c>
      <c r="AL265" s="87">
        <v>0.85821382007822689</v>
      </c>
      <c r="AM265" s="87">
        <v>0.85812072184194155</v>
      </c>
      <c r="AN265" s="87">
        <v>0.85857395403653503</v>
      </c>
      <c r="AO265" s="87">
        <v>0.85870786516853936</v>
      </c>
      <c r="AP265" s="87">
        <v>0.85860215053763445</v>
      </c>
      <c r="AQ265" s="87">
        <v>0.85884261763115199</v>
      </c>
      <c r="AR265" s="87">
        <v>0.8587919463087248</v>
      </c>
      <c r="AS265" s="87">
        <v>0.85864580523334233</v>
      </c>
      <c r="AT265" s="87">
        <v>0.85886448848419927</v>
      </c>
      <c r="AU265" s="87">
        <v>0.85890227576974565</v>
      </c>
      <c r="AV265" s="87">
        <v>0.85902358749314323</v>
      </c>
      <c r="AW265" s="87">
        <v>0.85888550041585809</v>
      </c>
      <c r="AX265" s="87">
        <v>0.85879695001412026</v>
      </c>
      <c r="AY265" s="87">
        <v>0.8589991705833564</v>
      </c>
      <c r="AZ265" s="87">
        <v>0.85891998869098107</v>
      </c>
      <c r="BA265" s="87">
        <v>0.85883047844063787</v>
      </c>
      <c r="BB265" s="87">
        <v>0.85886150234741787</v>
      </c>
      <c r="BC265" s="87">
        <v>0.85895953757225429</v>
      </c>
      <c r="BD265" s="87">
        <v>0.85888856560954319</v>
      </c>
      <c r="BE265" s="87">
        <v>0.8590295722078668</v>
      </c>
      <c r="BF265" s="87">
        <v>0.8589108910891089</v>
      </c>
      <c r="BG265" s="87">
        <v>0.8590050545357808</v>
      </c>
    </row>
    <row r="266" spans="3:59" x14ac:dyDescent="0.2">
      <c r="C266" s="29">
        <v>61</v>
      </c>
      <c r="F266" s="87">
        <v>0.80776932318782535</v>
      </c>
      <c r="G266" s="87">
        <v>0.81129854845037275</v>
      </c>
      <c r="H266" s="87">
        <v>0.81394467601364151</v>
      </c>
      <c r="I266" s="87">
        <v>0.81730769230769229</v>
      </c>
      <c r="J266" s="87">
        <v>0.82</v>
      </c>
      <c r="K266" s="87">
        <v>0.82215949188426252</v>
      </c>
      <c r="L266" s="87">
        <v>0.82461645746164569</v>
      </c>
      <c r="M266" s="87">
        <v>0.8268194070080862</v>
      </c>
      <c r="N266" s="87">
        <v>0.82899505766062598</v>
      </c>
      <c r="O266" s="87">
        <v>0.83128528727997342</v>
      </c>
      <c r="P266" s="87">
        <v>0.83271873952396913</v>
      </c>
      <c r="Q266" s="87">
        <v>0.83448993754337264</v>
      </c>
      <c r="R266" s="87">
        <v>0.83620386643233746</v>
      </c>
      <c r="S266" s="87">
        <v>0.83769448373408772</v>
      </c>
      <c r="T266" s="87">
        <v>0.83914863921842286</v>
      </c>
      <c r="U266" s="87">
        <v>0.84033035099793529</v>
      </c>
      <c r="V266" s="87">
        <v>0.84148456468955946</v>
      </c>
      <c r="W266" s="87">
        <v>0.84265852831468291</v>
      </c>
      <c r="X266" s="87">
        <v>0.84356775300171527</v>
      </c>
      <c r="Y266" s="87">
        <v>0.84464984002843935</v>
      </c>
      <c r="Z266" s="87">
        <v>0.84547784694251193</v>
      </c>
      <c r="AA266" s="87">
        <v>0.84618320610687026</v>
      </c>
      <c r="AB266" s="87">
        <v>0.84666929444225458</v>
      </c>
      <c r="AC266" s="87">
        <v>0.84730421094057462</v>
      </c>
      <c r="AD266" s="87">
        <v>0.84776480064438176</v>
      </c>
      <c r="AE266" s="87">
        <v>0.84824595979503348</v>
      </c>
      <c r="AF266" s="87">
        <v>0.84883720930232553</v>
      </c>
      <c r="AG266" s="87">
        <v>0.84920634920634919</v>
      </c>
      <c r="AH266" s="87">
        <v>0.84998129442573889</v>
      </c>
      <c r="AI266" s="87">
        <v>0.85043352601156075</v>
      </c>
      <c r="AJ266" s="87">
        <v>0.85062388591800353</v>
      </c>
      <c r="AK266" s="87">
        <v>0.85087719298245612</v>
      </c>
      <c r="AL266" s="87">
        <v>0.85094850948509482</v>
      </c>
      <c r="AM266" s="87">
        <v>0.8511749347258486</v>
      </c>
      <c r="AN266" s="87">
        <v>0.85109034267912775</v>
      </c>
      <c r="AO266" s="87">
        <v>0.85132743362831853</v>
      </c>
      <c r="AP266" s="87">
        <v>0.85151856017997751</v>
      </c>
      <c r="AQ266" s="87">
        <v>0.85168236877523551</v>
      </c>
      <c r="AR266" s="87">
        <v>0.85165132647536546</v>
      </c>
      <c r="AS266" s="87">
        <v>0.85165278151034673</v>
      </c>
      <c r="AT266" s="87">
        <v>0.85174183094788014</v>
      </c>
      <c r="AU266" s="87">
        <v>0.85174262734584449</v>
      </c>
      <c r="AV266" s="87">
        <v>0.85182207931404075</v>
      </c>
      <c r="AW266" s="87">
        <v>0.85204501784243758</v>
      </c>
      <c r="AX266" s="87">
        <v>0.85210876803551605</v>
      </c>
      <c r="AY266" s="87">
        <v>0.85217637083097797</v>
      </c>
      <c r="AZ266" s="87">
        <v>0.85200553250345779</v>
      </c>
      <c r="BA266" s="87">
        <v>0.85205091937765209</v>
      </c>
      <c r="BB266" s="87">
        <v>0.85195035460992907</v>
      </c>
      <c r="BC266" s="87">
        <v>0.85202583675866117</v>
      </c>
      <c r="BD266" s="87">
        <v>0.85198034113905752</v>
      </c>
      <c r="BE266" s="87">
        <v>0.85211062590975251</v>
      </c>
      <c r="BF266" s="87">
        <v>0.85209649626651351</v>
      </c>
      <c r="BG266" s="87">
        <v>0.85199449793672632</v>
      </c>
    </row>
    <row r="267" spans="3:59" x14ac:dyDescent="0.2">
      <c r="C267" s="29">
        <v>62</v>
      </c>
      <c r="F267" s="87">
        <v>0.78414279784142793</v>
      </c>
      <c r="G267" s="87">
        <v>0.78803693295865118</v>
      </c>
      <c r="H267" s="87">
        <v>0.79188017343318884</v>
      </c>
      <c r="I267" s="87">
        <v>0.79558431671107732</v>
      </c>
      <c r="J267" s="87">
        <v>0.79873746750835495</v>
      </c>
      <c r="K267" s="87">
        <v>0.80178505020453705</v>
      </c>
      <c r="L267" s="87">
        <v>0.80510276399716518</v>
      </c>
      <c r="M267" s="87">
        <v>0.8077731092436975</v>
      </c>
      <c r="N267" s="87">
        <v>0.81055480378890388</v>
      </c>
      <c r="O267" s="87">
        <v>0.81283068783068779</v>
      </c>
      <c r="P267" s="87">
        <v>0.81506164611796073</v>
      </c>
      <c r="Q267" s="87">
        <v>0.81701984527413385</v>
      </c>
      <c r="R267" s="87">
        <v>0.81928969359331472</v>
      </c>
      <c r="S267" s="87">
        <v>0.82122708039492243</v>
      </c>
      <c r="T267" s="87">
        <v>0.82269503546099287</v>
      </c>
      <c r="U267" s="87">
        <v>0.82470258922323303</v>
      </c>
      <c r="V267" s="87">
        <v>0.82608695652173914</v>
      </c>
      <c r="W267" s="87">
        <v>0.82719054242002776</v>
      </c>
      <c r="X267" s="87">
        <v>0.82868796736913664</v>
      </c>
      <c r="Y267" s="87">
        <v>0.82977991746905089</v>
      </c>
      <c r="Z267" s="87">
        <v>0.83078019237620238</v>
      </c>
      <c r="AA267" s="87">
        <v>0.83162142333088773</v>
      </c>
      <c r="AB267" s="87">
        <v>0.83256880733944949</v>
      </c>
      <c r="AC267" s="87">
        <v>0.83300434267666801</v>
      </c>
      <c r="AD267" s="87">
        <v>0.83405597162002365</v>
      </c>
      <c r="AE267" s="87">
        <v>0.83461073013311815</v>
      </c>
      <c r="AF267" s="87">
        <v>0.83537307540465855</v>
      </c>
      <c r="AG267" s="87">
        <v>0.83579192546583847</v>
      </c>
      <c r="AH267" s="87">
        <v>0.83648750946252837</v>
      </c>
      <c r="AI267" s="87">
        <v>0.83670411985018722</v>
      </c>
      <c r="AJ267" s="87">
        <v>0.83725135623869806</v>
      </c>
      <c r="AK267" s="87">
        <v>0.83725910064239828</v>
      </c>
      <c r="AL267" s="87">
        <v>0.8374297752808989</v>
      </c>
      <c r="AM267" s="87">
        <v>0.83791115632417768</v>
      </c>
      <c r="AN267" s="87">
        <v>0.83828814113034955</v>
      </c>
      <c r="AO267" s="87">
        <v>0.83842794759825323</v>
      </c>
      <c r="AP267" s="87">
        <v>0.83850014762326541</v>
      </c>
      <c r="AQ267" s="87">
        <v>0.83868243243243246</v>
      </c>
      <c r="AR267" s="87">
        <v>0.8388574508218809</v>
      </c>
      <c r="AS267" s="87">
        <v>0.83879707396369552</v>
      </c>
      <c r="AT267" s="87">
        <v>0.83884853376378798</v>
      </c>
      <c r="AU267" s="87">
        <v>0.8389189189189189</v>
      </c>
      <c r="AV267" s="87">
        <v>0.83901261067883015</v>
      </c>
      <c r="AW267" s="87">
        <v>0.83883078573344061</v>
      </c>
      <c r="AX267" s="87">
        <v>0.83878055479263935</v>
      </c>
      <c r="AY267" s="87">
        <v>0.83874548986955311</v>
      </c>
      <c r="AZ267" s="87">
        <v>0.83884648006785412</v>
      </c>
      <c r="BA267" s="87">
        <v>0.83919180736230281</v>
      </c>
      <c r="BB267" s="87">
        <v>0.83899264289756648</v>
      </c>
      <c r="BC267" s="87">
        <v>0.83894799054373526</v>
      </c>
      <c r="BD267" s="87">
        <v>0.83906020558002936</v>
      </c>
      <c r="BE267" s="87">
        <v>0.83892423366107571</v>
      </c>
      <c r="BF267" s="87">
        <v>0.83901018922852988</v>
      </c>
      <c r="BG267" s="87">
        <v>0.83888569787478462</v>
      </c>
    </row>
    <row r="268" spans="3:59" x14ac:dyDescent="0.2">
      <c r="C268" s="29">
        <v>63</v>
      </c>
      <c r="F268" s="87">
        <v>0.75094657130837195</v>
      </c>
      <c r="G268" s="87">
        <v>0.75603663613655292</v>
      </c>
      <c r="H268" s="87">
        <v>0.76079064138765629</v>
      </c>
      <c r="I268" s="87">
        <v>0.76524148851939822</v>
      </c>
      <c r="J268" s="87">
        <v>0.76940726577437857</v>
      </c>
      <c r="K268" s="87">
        <v>0.77359194330473702</v>
      </c>
      <c r="L268" s="87">
        <v>0.77707244212098581</v>
      </c>
      <c r="M268" s="87">
        <v>0.7808609035930274</v>
      </c>
      <c r="N268" s="87">
        <v>0.78418277680140602</v>
      </c>
      <c r="O268" s="87">
        <v>0.7870967741935484</v>
      </c>
      <c r="P268" s="87">
        <v>0.79017264276228416</v>
      </c>
      <c r="Q268" s="87">
        <v>0.79264214046822745</v>
      </c>
      <c r="R268" s="87">
        <v>0.7951400607492406</v>
      </c>
      <c r="S268" s="87">
        <v>0.79741529863779248</v>
      </c>
      <c r="T268" s="87">
        <v>0.79950495049504955</v>
      </c>
      <c r="U268" s="87">
        <v>0.80184987548914977</v>
      </c>
      <c r="V268" s="87">
        <v>0.80322693791652056</v>
      </c>
      <c r="W268" s="87">
        <v>0.80525769629885857</v>
      </c>
      <c r="X268" s="87">
        <v>0.80683403068340309</v>
      </c>
      <c r="Y268" s="87">
        <v>0.80817717206132877</v>
      </c>
      <c r="Z268" s="87">
        <v>0.80972078593588415</v>
      </c>
      <c r="AA268" s="87">
        <v>0.81078186362013571</v>
      </c>
      <c r="AB268" s="87">
        <v>0.8118338846012495</v>
      </c>
      <c r="AC268" s="87">
        <v>0.81309842972041368</v>
      </c>
      <c r="AD268" s="87">
        <v>0.81376037959667857</v>
      </c>
      <c r="AE268" s="87">
        <v>0.81484405842874064</v>
      </c>
      <c r="AF268" s="87">
        <v>0.81542810985460423</v>
      </c>
      <c r="AG268" s="87">
        <v>0.8162055335968379</v>
      </c>
      <c r="AH268" s="87">
        <v>0.81623931623931623</v>
      </c>
      <c r="AI268" s="87">
        <v>0.81704545454545452</v>
      </c>
      <c r="AJ268" s="87">
        <v>0.81777277840269968</v>
      </c>
      <c r="AK268" s="87">
        <v>0.81795150199058997</v>
      </c>
      <c r="AL268" s="87">
        <v>0.81821428571428567</v>
      </c>
      <c r="AM268" s="87">
        <v>0.81862917398945523</v>
      </c>
      <c r="AN268" s="87">
        <v>0.81873727087576376</v>
      </c>
      <c r="AO268" s="87">
        <v>0.81889506374632237</v>
      </c>
      <c r="AP268" s="87">
        <v>0.81928838951310856</v>
      </c>
      <c r="AQ268" s="87">
        <v>0.81944444444444442</v>
      </c>
      <c r="AR268" s="87">
        <v>0.81966751197520427</v>
      </c>
      <c r="AS268" s="87">
        <v>0.81957928802588997</v>
      </c>
      <c r="AT268" s="87">
        <v>0.81968546637744033</v>
      </c>
      <c r="AU268" s="87">
        <v>0.81965006729475098</v>
      </c>
      <c r="AV268" s="87">
        <v>0.81985393562347852</v>
      </c>
      <c r="AW268" s="87">
        <v>0.81986577181208053</v>
      </c>
      <c r="AX268" s="87">
        <v>0.8199624362758251</v>
      </c>
      <c r="AY268" s="87">
        <v>0.82000549601538886</v>
      </c>
      <c r="AZ268" s="87">
        <v>0.82004998611496804</v>
      </c>
      <c r="BA268" s="87">
        <v>0.81985294117647056</v>
      </c>
      <c r="BB268" s="87">
        <v>0.82004429678848278</v>
      </c>
      <c r="BC268" s="87">
        <v>0.81998301726577982</v>
      </c>
      <c r="BD268" s="87">
        <v>0.81998226426248888</v>
      </c>
      <c r="BE268" s="87">
        <v>0.81997063142437587</v>
      </c>
      <c r="BF268" s="87">
        <v>0.82012724117987279</v>
      </c>
      <c r="BG268" s="87">
        <v>0.82008733624454144</v>
      </c>
    </row>
    <row r="269" spans="3:59" x14ac:dyDescent="0.2">
      <c r="C269" s="29">
        <v>64</v>
      </c>
      <c r="F269" s="87">
        <v>0.69500213583938486</v>
      </c>
      <c r="G269" s="87">
        <v>0.7007176023638666</v>
      </c>
      <c r="H269" s="87">
        <v>0.70669456066945602</v>
      </c>
      <c r="I269" s="87">
        <v>0.71208434712084345</v>
      </c>
      <c r="J269" s="87">
        <v>0.71707122960604852</v>
      </c>
      <c r="K269" s="87">
        <v>0.72213681783243655</v>
      </c>
      <c r="L269" s="87">
        <v>0.72638680659670163</v>
      </c>
      <c r="M269" s="87">
        <v>0.73095684803001881</v>
      </c>
      <c r="N269" s="87">
        <v>0.73481057898498925</v>
      </c>
      <c r="O269" s="87">
        <v>0.73843981644899404</v>
      </c>
      <c r="P269" s="87">
        <v>0.74181446111869032</v>
      </c>
      <c r="Q269" s="87">
        <v>0.745</v>
      </c>
      <c r="R269" s="87">
        <v>0.748153122901276</v>
      </c>
      <c r="S269" s="87">
        <v>0.75093188749576412</v>
      </c>
      <c r="T269" s="87">
        <v>0.75359270942867163</v>
      </c>
      <c r="U269" s="87">
        <v>0.75621007806955287</v>
      </c>
      <c r="V269" s="87">
        <v>0.75811630396004281</v>
      </c>
      <c r="W269" s="87">
        <v>0.76002814919071082</v>
      </c>
      <c r="X269" s="87">
        <v>0.76231783483691884</v>
      </c>
      <c r="Y269" s="87">
        <v>0.76371897937783995</v>
      </c>
      <c r="Z269" s="87">
        <v>0.76528869149299628</v>
      </c>
      <c r="AA269" s="87">
        <v>0.76675881133379409</v>
      </c>
      <c r="AB269" s="87">
        <v>0.76815742397137743</v>
      </c>
      <c r="AC269" s="87">
        <v>0.76942909760589318</v>
      </c>
      <c r="AD269" s="87">
        <v>0.77052954719877209</v>
      </c>
      <c r="AE269" s="87">
        <v>0.7714851485148515</v>
      </c>
      <c r="AF269" s="87">
        <v>0.77263740608936338</v>
      </c>
      <c r="AG269" s="87">
        <v>0.77315002021835832</v>
      </c>
      <c r="AH269" s="87">
        <v>0.77364463791056592</v>
      </c>
      <c r="AI269" s="87">
        <v>0.7747081712062257</v>
      </c>
      <c r="AJ269" s="87">
        <v>0.77503793626707129</v>
      </c>
      <c r="AK269" s="87">
        <v>0.77552552552552556</v>
      </c>
      <c r="AL269" s="87">
        <v>0.77600579920260959</v>
      </c>
      <c r="AM269" s="87">
        <v>0.77618877368609229</v>
      </c>
      <c r="AN269" s="87">
        <v>0.77656579873328646</v>
      </c>
      <c r="AO269" s="87">
        <v>0.77709819911654776</v>
      </c>
      <c r="AP269" s="87">
        <v>0.77715968586387429</v>
      </c>
      <c r="AQ269" s="87">
        <v>0.77725710715401441</v>
      </c>
      <c r="AR269" s="87">
        <v>0.77751479289940828</v>
      </c>
      <c r="AS269" s="87">
        <v>0.77749576988155666</v>
      </c>
      <c r="AT269" s="87">
        <v>0.77780777537796975</v>
      </c>
      <c r="AU269" s="87">
        <v>0.77795874049945712</v>
      </c>
      <c r="AV269" s="87">
        <v>0.77795742387496636</v>
      </c>
      <c r="AW269" s="87">
        <v>0.77780784844384299</v>
      </c>
      <c r="AX269" s="87">
        <v>0.77807630306286946</v>
      </c>
      <c r="AY269" s="87">
        <v>0.77792696025778729</v>
      </c>
      <c r="AZ269" s="87">
        <v>0.778113830079736</v>
      </c>
      <c r="BA269" s="87">
        <v>0.77799388719088636</v>
      </c>
      <c r="BB269" s="87">
        <v>0.77815506508206</v>
      </c>
      <c r="BC269" s="87">
        <v>0.77790085848795343</v>
      </c>
      <c r="BD269" s="87">
        <v>0.77802944507361271</v>
      </c>
      <c r="BE269" s="87">
        <v>0.77800768548625476</v>
      </c>
      <c r="BF269" s="87">
        <v>0.77797356828193831</v>
      </c>
      <c r="BG269" s="87">
        <v>0.77790630422209373</v>
      </c>
    </row>
    <row r="270" spans="3:59" x14ac:dyDescent="0.2">
      <c r="C270" s="29">
        <v>65</v>
      </c>
      <c r="F270" s="87">
        <v>0.61824470384781671</v>
      </c>
      <c r="G270" s="87">
        <v>0.62505362505362505</v>
      </c>
      <c r="H270" s="87">
        <v>0.6314225053078556</v>
      </c>
      <c r="I270" s="87">
        <v>0.63789473684210529</v>
      </c>
      <c r="J270" s="87">
        <v>0.64355628058727565</v>
      </c>
      <c r="K270" s="87">
        <v>0.64905962384953986</v>
      </c>
      <c r="L270" s="87">
        <v>0.65417310664605877</v>
      </c>
      <c r="M270" s="87">
        <v>0.65862848530519968</v>
      </c>
      <c r="N270" s="87">
        <v>0.6632730015082956</v>
      </c>
      <c r="O270" s="87">
        <v>0.66738505747126442</v>
      </c>
      <c r="P270" s="87">
        <v>0.67115998581057112</v>
      </c>
      <c r="Q270" s="87">
        <v>0.67511994516792329</v>
      </c>
      <c r="R270" s="87">
        <v>0.67849966510381776</v>
      </c>
      <c r="S270" s="87">
        <v>0.68161888701517703</v>
      </c>
      <c r="T270" s="87">
        <v>0.68458659407961897</v>
      </c>
      <c r="U270" s="87">
        <v>0.68719211822660098</v>
      </c>
      <c r="V270" s="87">
        <v>0.68981481481481477</v>
      </c>
      <c r="W270" s="87">
        <v>0.69172932330827064</v>
      </c>
      <c r="X270" s="87">
        <v>0.6942090395480226</v>
      </c>
      <c r="Y270" s="87">
        <v>0.69613644274277764</v>
      </c>
      <c r="Z270" s="87">
        <v>0.69775596072931279</v>
      </c>
      <c r="AA270" s="87">
        <v>0.69945167923235096</v>
      </c>
      <c r="AB270" s="87">
        <v>0.70097020097020102</v>
      </c>
      <c r="AC270" s="87">
        <v>0.70254754216002868</v>
      </c>
      <c r="AD270" s="87">
        <v>0.70347119645494827</v>
      </c>
      <c r="AE270" s="87">
        <v>0.70472895040369088</v>
      </c>
      <c r="AF270" s="87">
        <v>0.7055555555555556</v>
      </c>
      <c r="AG270" s="87">
        <v>0.7065346534653465</v>
      </c>
      <c r="AH270" s="87">
        <v>0.70716889428918595</v>
      </c>
      <c r="AI270" s="87">
        <v>0.70788743559254852</v>
      </c>
      <c r="AJ270" s="87">
        <v>0.70888542478565864</v>
      </c>
      <c r="AK270" s="87">
        <v>0.70907709836688193</v>
      </c>
      <c r="AL270" s="87">
        <v>0.70950770387072526</v>
      </c>
      <c r="AM270" s="87">
        <v>0.71008708272859211</v>
      </c>
      <c r="AN270" s="87">
        <v>0.7103472968134622</v>
      </c>
      <c r="AO270" s="87">
        <v>0.71081366678407887</v>
      </c>
      <c r="AP270" s="87">
        <v>0.71088435374149661</v>
      </c>
      <c r="AQ270" s="87">
        <v>0.71133682830930534</v>
      </c>
      <c r="AR270" s="87">
        <v>0.71129183609634028</v>
      </c>
      <c r="AS270" s="87">
        <v>0.7114928909952607</v>
      </c>
      <c r="AT270" s="87">
        <v>0.71166337192883367</v>
      </c>
      <c r="AU270" s="87">
        <v>0.71162162162162157</v>
      </c>
      <c r="AV270" s="87">
        <v>0.71195652173913049</v>
      </c>
      <c r="AW270" s="87">
        <v>0.71170442286947144</v>
      </c>
      <c r="AX270" s="87">
        <v>0.71200216743429967</v>
      </c>
      <c r="AY270" s="87">
        <v>0.71201936004302235</v>
      </c>
      <c r="AZ270" s="87">
        <v>0.71198280494357868</v>
      </c>
      <c r="BA270" s="87">
        <v>0.71196698762035759</v>
      </c>
      <c r="BB270" s="87">
        <v>0.71198220739505147</v>
      </c>
      <c r="BC270" s="87">
        <v>0.7118596093971129</v>
      </c>
      <c r="BD270" s="87">
        <v>0.7119113573407202</v>
      </c>
      <c r="BE270" s="87">
        <v>0.71197960917587089</v>
      </c>
      <c r="BF270" s="87">
        <v>0.71200473092844474</v>
      </c>
      <c r="BG270" s="87">
        <v>0.71189427312775333</v>
      </c>
    </row>
    <row r="271" spans="3:59" x14ac:dyDescent="0.2">
      <c r="C271" s="29">
        <v>66</v>
      </c>
      <c r="F271" s="87">
        <v>0.54830287206266315</v>
      </c>
      <c r="G271" s="87">
        <v>0.55632883862548932</v>
      </c>
      <c r="H271" s="87">
        <v>0.56352636127917022</v>
      </c>
      <c r="I271" s="87">
        <v>0.57057313943541488</v>
      </c>
      <c r="J271" s="87">
        <v>0.57711864406779656</v>
      </c>
      <c r="K271" s="87">
        <v>0.58333333333333337</v>
      </c>
      <c r="L271" s="87">
        <v>0.58920660491341115</v>
      </c>
      <c r="M271" s="87">
        <v>0.59447900466562986</v>
      </c>
      <c r="N271" s="87">
        <v>0.599696739954511</v>
      </c>
      <c r="O271" s="87">
        <v>0.60409556313993173</v>
      </c>
      <c r="P271" s="87">
        <v>0.60874277456647397</v>
      </c>
      <c r="Q271" s="87">
        <v>0.61269614835948649</v>
      </c>
      <c r="R271" s="87">
        <v>0.61660351360661381</v>
      </c>
      <c r="S271" s="87">
        <v>0.62032985526758666</v>
      </c>
      <c r="T271" s="87">
        <v>0.62351745171128437</v>
      </c>
      <c r="U271" s="87">
        <v>0.62666666666666671</v>
      </c>
      <c r="V271" s="87">
        <v>0.62955107811947686</v>
      </c>
      <c r="W271" s="87">
        <v>0.63233190271816886</v>
      </c>
      <c r="X271" s="87">
        <v>0.63466379000359585</v>
      </c>
      <c r="Y271" s="87">
        <v>0.6370081531371854</v>
      </c>
      <c r="Z271" s="87">
        <v>0.6387141858839972</v>
      </c>
      <c r="AA271" s="87">
        <v>0.64097148891235478</v>
      </c>
      <c r="AB271" s="87">
        <v>0.64236588720770293</v>
      </c>
      <c r="AC271" s="87">
        <v>0.64394993045897075</v>
      </c>
      <c r="AD271" s="87">
        <v>0.64519611370996766</v>
      </c>
      <c r="AE271" s="87">
        <v>0.64642724916697525</v>
      </c>
      <c r="AF271" s="87">
        <v>0.64764841942945262</v>
      </c>
      <c r="AG271" s="87">
        <v>0.64876690533015113</v>
      </c>
      <c r="AH271" s="87">
        <v>0.64986105597459309</v>
      </c>
      <c r="AI271" s="87">
        <v>0.65016233766233766</v>
      </c>
      <c r="AJ271" s="87">
        <v>0.6513105639396346</v>
      </c>
      <c r="AK271" s="87">
        <v>0.65183450429352063</v>
      </c>
      <c r="AL271" s="87">
        <v>0.65220700152207001</v>
      </c>
      <c r="AM271" s="87">
        <v>0.65286144578313254</v>
      </c>
      <c r="AN271" s="87">
        <v>0.65321701199563798</v>
      </c>
      <c r="AO271" s="87">
        <v>0.65351506456241037</v>
      </c>
      <c r="AP271" s="87">
        <v>0.65384615384615385</v>
      </c>
      <c r="AQ271" s="87">
        <v>0.65417376490630319</v>
      </c>
      <c r="AR271" s="87">
        <v>0.65419947506561682</v>
      </c>
      <c r="AS271" s="87">
        <v>0.65444862155388472</v>
      </c>
      <c r="AT271" s="87">
        <v>0.65470186888163751</v>
      </c>
      <c r="AU271" s="87">
        <v>0.65469457013574661</v>
      </c>
      <c r="AV271" s="87">
        <v>0.65484569572279372</v>
      </c>
      <c r="AW271" s="87">
        <v>0.65496598639455783</v>
      </c>
      <c r="AX271" s="87">
        <v>0.6548744261409668</v>
      </c>
      <c r="AY271" s="87">
        <v>0.65473284513154328</v>
      </c>
      <c r="AZ271" s="87">
        <v>0.65491251682368778</v>
      </c>
      <c r="BA271" s="87">
        <v>0.65492200107584719</v>
      </c>
      <c r="BB271" s="87">
        <v>0.65491600110162485</v>
      </c>
      <c r="BC271" s="87">
        <v>0.65498052309404564</v>
      </c>
      <c r="BD271" s="87">
        <v>0.65495750708215295</v>
      </c>
      <c r="BE271" s="87">
        <v>0.65511505406154702</v>
      </c>
      <c r="BF271" s="87">
        <v>0.6548597336355908</v>
      </c>
      <c r="BG271" s="87">
        <v>0.65483584738243128</v>
      </c>
    </row>
    <row r="272" spans="3:59" x14ac:dyDescent="0.2">
      <c r="C272" s="29">
        <v>67</v>
      </c>
      <c r="F272" s="87">
        <v>0.49758454106280192</v>
      </c>
      <c r="G272" s="87">
        <v>0.50591845681718539</v>
      </c>
      <c r="H272" s="87">
        <v>0.51403508771929829</v>
      </c>
      <c r="I272" s="87">
        <v>0.52156862745098043</v>
      </c>
      <c r="J272" s="87">
        <v>0.52844827586206899</v>
      </c>
      <c r="K272" s="87">
        <v>0.53524134985049121</v>
      </c>
      <c r="L272" s="87">
        <v>0.54094292803970223</v>
      </c>
      <c r="M272" s="87">
        <v>0.54685598377281952</v>
      </c>
      <c r="N272" s="87">
        <v>0.5524667188723571</v>
      </c>
      <c r="O272" s="87">
        <v>0.55763358778625949</v>
      </c>
      <c r="P272" s="87">
        <v>0.56242840778923253</v>
      </c>
      <c r="Q272" s="87">
        <v>0.56690909090909092</v>
      </c>
      <c r="R272" s="87">
        <v>0.57071069633883709</v>
      </c>
      <c r="S272" s="87">
        <v>0.57469670710571918</v>
      </c>
      <c r="T272" s="87">
        <v>0.5783948526921775</v>
      </c>
      <c r="U272" s="87">
        <v>0.58165700647800889</v>
      </c>
      <c r="V272" s="87">
        <v>0.58473702303196973</v>
      </c>
      <c r="W272" s="87">
        <v>0.58742004264392322</v>
      </c>
      <c r="X272" s="87">
        <v>0.59022286125089862</v>
      </c>
      <c r="Y272" s="87">
        <v>0.59248554913294793</v>
      </c>
      <c r="Z272" s="87">
        <v>0.59472934472934469</v>
      </c>
      <c r="AA272" s="87">
        <v>0.59670059670059672</v>
      </c>
      <c r="AB272" s="87">
        <v>0.59844468009897489</v>
      </c>
      <c r="AC272" s="87">
        <v>0.60013812154696133</v>
      </c>
      <c r="AD272" s="87">
        <v>0.60139616055846423</v>
      </c>
      <c r="AE272" s="87">
        <v>0.60296242774566478</v>
      </c>
      <c r="AF272" s="87">
        <v>0.60423634336677812</v>
      </c>
      <c r="AG272" s="87">
        <v>0.60541586073500964</v>
      </c>
      <c r="AH272" s="87">
        <v>0.6061452513966481</v>
      </c>
      <c r="AI272" s="87">
        <v>0.60708598726114649</v>
      </c>
      <c r="AJ272" s="87">
        <v>0.60765160765160764</v>
      </c>
      <c r="AK272" s="87">
        <v>0.60852250099561922</v>
      </c>
      <c r="AL272" s="87">
        <v>0.60900195694716242</v>
      </c>
      <c r="AM272" s="87">
        <v>0.60969095764975201</v>
      </c>
      <c r="AN272" s="87">
        <v>0.609811320754717</v>
      </c>
      <c r="AO272" s="87">
        <v>0.61042274052478129</v>
      </c>
      <c r="AP272" s="87">
        <v>0.61071171818835368</v>
      </c>
      <c r="AQ272" s="87">
        <v>0.61103253182461104</v>
      </c>
      <c r="AR272" s="87">
        <v>0.61113007852509393</v>
      </c>
      <c r="AS272" s="87">
        <v>0.61131206839855312</v>
      </c>
      <c r="AT272" s="87">
        <v>0.61161695447409736</v>
      </c>
      <c r="AU272" s="87">
        <v>0.61177170035671824</v>
      </c>
      <c r="AV272" s="87">
        <v>0.61178804193822611</v>
      </c>
      <c r="AW272" s="87">
        <v>0.61187957689178196</v>
      </c>
      <c r="AX272" s="87">
        <v>0.61205016357688113</v>
      </c>
      <c r="AY272" s="87">
        <v>0.61201298701298701</v>
      </c>
      <c r="AZ272" s="87">
        <v>0.6119565217391304</v>
      </c>
      <c r="BA272" s="87">
        <v>0.61202480452952279</v>
      </c>
      <c r="BB272" s="87">
        <v>0.61206896551724133</v>
      </c>
      <c r="BC272" s="87">
        <v>0.61196911196911197</v>
      </c>
      <c r="BD272" s="87">
        <v>0.61214823070493174</v>
      </c>
      <c r="BE272" s="87">
        <v>0.61202495745887686</v>
      </c>
      <c r="BF272" s="87">
        <v>0.61199000832639472</v>
      </c>
      <c r="BG272" s="87">
        <v>0.61191489361702123</v>
      </c>
    </row>
    <row r="273" spans="3:59" x14ac:dyDescent="0.2">
      <c r="C273" s="29">
        <v>68</v>
      </c>
      <c r="F273" s="87">
        <v>0.46116504854368934</v>
      </c>
      <c r="G273" s="87">
        <v>0.47030141843971629</v>
      </c>
      <c r="H273" s="87">
        <v>0.47895436420026583</v>
      </c>
      <c r="I273" s="87">
        <v>0.48692955250332298</v>
      </c>
      <c r="J273" s="87">
        <v>0.49450065992080949</v>
      </c>
      <c r="K273" s="87">
        <v>0.50174064403829421</v>
      </c>
      <c r="L273" s="87">
        <v>0.50818965517241377</v>
      </c>
      <c r="M273" s="87">
        <v>0.51460767946577635</v>
      </c>
      <c r="N273" s="87">
        <v>0.52045826513911619</v>
      </c>
      <c r="O273" s="87">
        <v>0.52606635071090047</v>
      </c>
      <c r="P273" s="87">
        <v>0.53117782909930711</v>
      </c>
      <c r="Q273" s="87">
        <v>0.53618167821401075</v>
      </c>
      <c r="R273" s="87">
        <v>0.54049102235251012</v>
      </c>
      <c r="S273" s="87">
        <v>0.54466546112115732</v>
      </c>
      <c r="T273" s="87">
        <v>0.54853351955307261</v>
      </c>
      <c r="U273" s="87">
        <v>0.55218281036834926</v>
      </c>
      <c r="V273" s="87">
        <v>0.55544112598695505</v>
      </c>
      <c r="W273" s="87">
        <v>0.55867082035306337</v>
      </c>
      <c r="X273" s="87">
        <v>0.56151645207439194</v>
      </c>
      <c r="Y273" s="87">
        <v>0.56383363471971071</v>
      </c>
      <c r="Z273" s="87">
        <v>0.56633951290439843</v>
      </c>
      <c r="AA273" s="87">
        <v>0.56840974212034379</v>
      </c>
      <c r="AB273" s="87">
        <v>0.57042004941757851</v>
      </c>
      <c r="AC273" s="87">
        <v>0.57213930348258701</v>
      </c>
      <c r="AD273" s="87">
        <v>0.57375911141964597</v>
      </c>
      <c r="AE273" s="87">
        <v>0.57543859649122808</v>
      </c>
      <c r="AF273" s="87">
        <v>0.57640653357531757</v>
      </c>
      <c r="AG273" s="87">
        <v>0.57782754759238519</v>
      </c>
      <c r="AH273" s="87">
        <v>0.57886557886557888</v>
      </c>
      <c r="AI273" s="87">
        <v>0.57995991983967932</v>
      </c>
      <c r="AJ273" s="87">
        <v>0.58033573141486805</v>
      </c>
      <c r="AK273" s="87">
        <v>0.58129084967320266</v>
      </c>
      <c r="AL273" s="87">
        <v>0.58193445243804953</v>
      </c>
      <c r="AM273" s="87">
        <v>0.58248232521602517</v>
      </c>
      <c r="AN273" s="87">
        <v>0.58307810107197555</v>
      </c>
      <c r="AO273" s="87">
        <v>0.5834911018553578</v>
      </c>
      <c r="AP273" s="87">
        <v>0.58369883040935677</v>
      </c>
      <c r="AQ273" s="87">
        <v>0.58399423215573176</v>
      </c>
      <c r="AR273" s="87">
        <v>0.58404255319148934</v>
      </c>
      <c r="AS273" s="87">
        <v>0.58458904109589038</v>
      </c>
      <c r="AT273" s="87">
        <v>0.58476253298153036</v>
      </c>
      <c r="AU273" s="87">
        <v>0.58469773299748107</v>
      </c>
      <c r="AV273" s="87">
        <v>0.58479880774962745</v>
      </c>
      <c r="AW273" s="87">
        <v>0.58482523444160273</v>
      </c>
      <c r="AX273" s="87">
        <v>0.58498776176230627</v>
      </c>
      <c r="AY273" s="87">
        <v>0.58485925116151949</v>
      </c>
      <c r="AZ273" s="87">
        <v>0.5850284784377543</v>
      </c>
      <c r="BA273" s="87">
        <v>0.58496732026143794</v>
      </c>
      <c r="BB273" s="87">
        <v>0.58513513513513515</v>
      </c>
      <c r="BC273" s="87">
        <v>0.5850431965442765</v>
      </c>
      <c r="BD273" s="87">
        <v>0.58496822326609565</v>
      </c>
      <c r="BE273" s="87">
        <v>0.58498464973485909</v>
      </c>
      <c r="BF273" s="87">
        <v>0.58510940608127304</v>
      </c>
      <c r="BG273" s="87">
        <v>0.58509454949944384</v>
      </c>
    </row>
    <row r="274" spans="3:59" x14ac:dyDescent="0.2">
      <c r="C274" s="29">
        <v>69</v>
      </c>
      <c r="F274" s="87">
        <v>0.42161016949152541</v>
      </c>
      <c r="G274" s="87">
        <v>0.43080357142857145</v>
      </c>
      <c r="H274" s="87">
        <v>0.43965903992821892</v>
      </c>
      <c r="I274" s="87">
        <v>0.44822949350067237</v>
      </c>
      <c r="J274" s="87">
        <v>0.45609318996415771</v>
      </c>
      <c r="K274" s="87">
        <v>0.46352313167259784</v>
      </c>
      <c r="L274" s="87">
        <v>0.4703035635723713</v>
      </c>
      <c r="M274" s="87">
        <v>0.4769163763066202</v>
      </c>
      <c r="N274" s="87">
        <v>0.48313659359190558</v>
      </c>
      <c r="O274" s="87">
        <v>0.48884297520661157</v>
      </c>
      <c r="P274" s="87">
        <v>0.49441786283891548</v>
      </c>
      <c r="Q274" s="87">
        <v>0.49922299922299923</v>
      </c>
      <c r="R274" s="87">
        <v>0.50368932038834946</v>
      </c>
      <c r="S274" s="87">
        <v>0.50831792975970425</v>
      </c>
      <c r="T274" s="87">
        <v>0.51222181685516233</v>
      </c>
      <c r="U274" s="87">
        <v>0.51584507042253525</v>
      </c>
      <c r="V274" s="87">
        <v>0.51925722145804676</v>
      </c>
      <c r="W274" s="87">
        <v>0.52249134948096887</v>
      </c>
      <c r="X274" s="87">
        <v>0.52545327754532778</v>
      </c>
      <c r="Y274" s="87">
        <v>0.52809798270893371</v>
      </c>
      <c r="Z274" s="87">
        <v>0.53078324225865214</v>
      </c>
      <c r="AA274" s="87">
        <v>0.53274789608488837</v>
      </c>
      <c r="AB274" s="87">
        <v>0.53479985575189326</v>
      </c>
      <c r="AC274" s="87">
        <v>0.53676731793960919</v>
      </c>
      <c r="AD274" s="87">
        <v>0.53826895565092991</v>
      </c>
      <c r="AE274" s="87">
        <v>0.53999301432064273</v>
      </c>
      <c r="AF274" s="87">
        <v>0.54128440366972475</v>
      </c>
      <c r="AG274" s="87">
        <v>0.54233576642335768</v>
      </c>
      <c r="AH274" s="87">
        <v>0.54354354354354351</v>
      </c>
      <c r="AI274" s="87">
        <v>0.54470909800859035</v>
      </c>
      <c r="AJ274" s="87">
        <v>0.54530809504631494</v>
      </c>
      <c r="AK274" s="87">
        <v>0.54618473895582331</v>
      </c>
      <c r="AL274" s="87">
        <v>0.54657365613459175</v>
      </c>
      <c r="AM274" s="87">
        <v>0.54716981132075471</v>
      </c>
      <c r="AN274" s="87">
        <v>0.54792899408284024</v>
      </c>
      <c r="AO274" s="87">
        <v>0.54825067281814688</v>
      </c>
      <c r="AP274" s="87">
        <v>0.54846066134549598</v>
      </c>
      <c r="AQ274" s="87">
        <v>0.54899082568807345</v>
      </c>
      <c r="AR274" s="87">
        <v>0.54904089757509955</v>
      </c>
      <c r="AS274" s="87">
        <v>0.54930580277678887</v>
      </c>
      <c r="AT274" s="87">
        <v>0.54948453608247427</v>
      </c>
      <c r="AU274" s="87">
        <v>0.54963600264725343</v>
      </c>
      <c r="AV274" s="87">
        <v>0.54958938723941886</v>
      </c>
      <c r="AW274" s="87">
        <v>0.54994019138755978</v>
      </c>
      <c r="AX274" s="87">
        <v>0.54988597491448121</v>
      </c>
      <c r="AY274" s="87">
        <v>0.55006821282401086</v>
      </c>
      <c r="AZ274" s="87">
        <v>0.54989035087719296</v>
      </c>
      <c r="BA274" s="87">
        <v>0.55005440696409136</v>
      </c>
      <c r="BB274" s="87">
        <v>0.55012291723572793</v>
      </c>
      <c r="BC274" s="87">
        <v>0.55013550135501355</v>
      </c>
      <c r="BD274" s="87">
        <v>0.55008121277747701</v>
      </c>
      <c r="BE274" s="87">
        <v>0.54986149584487531</v>
      </c>
      <c r="BF274" s="87">
        <v>0.55008393956351431</v>
      </c>
      <c r="BG274" s="87">
        <v>0.54998575904300773</v>
      </c>
    </row>
    <row r="275" spans="3:59" x14ac:dyDescent="0.2">
      <c r="C275" s="29">
        <v>70</v>
      </c>
      <c r="F275" s="87">
        <v>0.36994877632327833</v>
      </c>
      <c r="G275" s="87">
        <v>0.37929184549356221</v>
      </c>
      <c r="H275" s="87">
        <v>0.38841104572204616</v>
      </c>
      <c r="I275" s="87">
        <v>0.39699863574351979</v>
      </c>
      <c r="J275" s="87">
        <v>0.40508628519527701</v>
      </c>
      <c r="K275" s="87">
        <v>0.4126191556967771</v>
      </c>
      <c r="L275" s="87">
        <v>0.41963079693831606</v>
      </c>
      <c r="M275" s="87">
        <v>0.42609082813891364</v>
      </c>
      <c r="N275" s="87">
        <v>0.43215859030837006</v>
      </c>
      <c r="O275" s="87">
        <v>0.43837953091684434</v>
      </c>
      <c r="P275" s="87">
        <v>0.44379440033430839</v>
      </c>
      <c r="Q275" s="87">
        <v>0.44860943168077388</v>
      </c>
      <c r="R275" s="87">
        <v>0.45347467608951708</v>
      </c>
      <c r="S275" s="87">
        <v>0.45782659866614356</v>
      </c>
      <c r="T275" s="87">
        <v>0.46191187453323374</v>
      </c>
      <c r="U275" s="87">
        <v>0.46556169429097605</v>
      </c>
      <c r="V275" s="87">
        <v>0.46889441876999643</v>
      </c>
      <c r="W275" s="87">
        <v>0.47224149895905621</v>
      </c>
      <c r="X275" s="87">
        <v>0.47504363001745203</v>
      </c>
      <c r="Y275" s="87">
        <v>0.47801618009145269</v>
      </c>
      <c r="Z275" s="87">
        <v>0.48020341445695602</v>
      </c>
      <c r="AA275" s="87">
        <v>0.48255600440690416</v>
      </c>
      <c r="AB275" s="87">
        <v>0.48469199557358911</v>
      </c>
      <c r="AC275" s="87">
        <v>0.48655523255813954</v>
      </c>
      <c r="AD275" s="87">
        <v>0.48818897637795278</v>
      </c>
      <c r="AE275" s="87">
        <v>0.48973712639539069</v>
      </c>
      <c r="AF275" s="87">
        <v>0.4912095639943741</v>
      </c>
      <c r="AG275" s="87">
        <v>0.49236234458259326</v>
      </c>
      <c r="AH275" s="87">
        <v>0.49338721528288021</v>
      </c>
      <c r="AI275" s="87">
        <v>0.49433534743202417</v>
      </c>
      <c r="AJ275" s="87">
        <v>0.49528672427337</v>
      </c>
      <c r="AK275" s="87">
        <v>0.49615228837586067</v>
      </c>
      <c r="AL275" s="87">
        <v>0.49676898222940225</v>
      </c>
      <c r="AM275" s="87">
        <v>0.49711221122112209</v>
      </c>
      <c r="AN275" s="87">
        <v>0.49798224374495559</v>
      </c>
      <c r="AO275" s="87">
        <v>0.49821640903686087</v>
      </c>
      <c r="AP275" s="87">
        <v>0.49864812668984165</v>
      </c>
      <c r="AQ275" s="87">
        <v>0.49885408708938123</v>
      </c>
      <c r="AR275" s="87">
        <v>0.49907851087357169</v>
      </c>
      <c r="AS275" s="87">
        <v>0.4994547437295529</v>
      </c>
      <c r="AT275" s="87">
        <v>0.49946371111905613</v>
      </c>
      <c r="AU275" s="87">
        <v>0.49965493443754311</v>
      </c>
      <c r="AV275" s="87">
        <v>0.49966777408637875</v>
      </c>
      <c r="AW275" s="87">
        <v>0.49984142086901362</v>
      </c>
      <c r="AX275" s="87">
        <v>0.49984989492644849</v>
      </c>
      <c r="AY275" s="87">
        <v>0.5</v>
      </c>
      <c r="AZ275" s="87">
        <v>0.5</v>
      </c>
      <c r="BA275" s="87">
        <v>0.4998624484181568</v>
      </c>
      <c r="BB275" s="87">
        <v>0.50013650013650013</v>
      </c>
      <c r="BC275" s="87">
        <v>0.49986297615785147</v>
      </c>
      <c r="BD275" s="87">
        <v>0.5</v>
      </c>
      <c r="BE275" s="87">
        <v>0.49986424110779254</v>
      </c>
      <c r="BF275" s="87">
        <v>0.4998610725201445</v>
      </c>
      <c r="BG275" s="87">
        <v>0.5</v>
      </c>
    </row>
    <row r="276" spans="3:59" x14ac:dyDescent="0.2">
      <c r="C276" s="29">
        <v>71</v>
      </c>
      <c r="F276" s="87">
        <v>0.32556750298685783</v>
      </c>
      <c r="G276" s="87">
        <v>0.33506643558636628</v>
      </c>
      <c r="H276" s="87">
        <v>0.34386920980926433</v>
      </c>
      <c r="I276" s="87">
        <v>0.35248161764705882</v>
      </c>
      <c r="J276" s="87">
        <v>0.36011080332409973</v>
      </c>
      <c r="K276" s="87">
        <v>0.36774193548387096</v>
      </c>
      <c r="L276" s="87">
        <v>0.37459733087896918</v>
      </c>
      <c r="M276" s="87">
        <v>0.38127853881278539</v>
      </c>
      <c r="N276" s="87">
        <v>0.38746053225078936</v>
      </c>
      <c r="O276" s="87">
        <v>0.39330357142857142</v>
      </c>
      <c r="P276" s="87">
        <v>0.39853195164075994</v>
      </c>
      <c r="Q276" s="87">
        <v>0.40397631133671741</v>
      </c>
      <c r="R276" s="87">
        <v>0.40864600326264272</v>
      </c>
      <c r="S276" s="87">
        <v>0.41302621127879269</v>
      </c>
      <c r="T276" s="87">
        <v>0.41706349206349208</v>
      </c>
      <c r="U276" s="87">
        <v>0.42053605134012834</v>
      </c>
      <c r="V276" s="87">
        <v>0.42405063291139239</v>
      </c>
      <c r="W276" s="87">
        <v>0.42744252873563221</v>
      </c>
      <c r="X276" s="87">
        <v>0.43007360672975814</v>
      </c>
      <c r="Y276" s="87">
        <v>0.43285160380683824</v>
      </c>
      <c r="Z276" s="87">
        <v>0.43536931818181818</v>
      </c>
      <c r="AA276" s="87">
        <v>0.43768328445747801</v>
      </c>
      <c r="AB276" s="87">
        <v>0.4397925157465728</v>
      </c>
      <c r="AC276" s="87">
        <v>0.44159226190476192</v>
      </c>
      <c r="AD276" s="87">
        <v>0.44338585562477095</v>
      </c>
      <c r="AE276" s="87">
        <v>0.44480519480519481</v>
      </c>
      <c r="AF276" s="87">
        <v>0.44609800362976404</v>
      </c>
      <c r="AG276" s="87">
        <v>0.44755492558469173</v>
      </c>
      <c r="AH276" s="87">
        <v>0.44846098783106658</v>
      </c>
      <c r="AI276" s="87">
        <v>0.44950055493895674</v>
      </c>
      <c r="AJ276" s="87">
        <v>0.45019011406844106</v>
      </c>
      <c r="AK276" s="87">
        <v>0.45116646896006329</v>
      </c>
      <c r="AL276" s="87">
        <v>0.45150774246128772</v>
      </c>
      <c r="AM276" s="87">
        <v>0.45225518082080457</v>
      </c>
      <c r="AN276" s="87">
        <v>0.45288501452885016</v>
      </c>
      <c r="AO276" s="87">
        <v>0.45332792207792205</v>
      </c>
      <c r="AP276" s="87">
        <v>0.45374800637958534</v>
      </c>
      <c r="AQ276" s="87">
        <v>0.45398058252427187</v>
      </c>
      <c r="AR276" s="87">
        <v>0.45430107526881719</v>
      </c>
      <c r="AS276" s="87">
        <v>0.45424231196739534</v>
      </c>
      <c r="AT276" s="87">
        <v>0.45451223967848009</v>
      </c>
      <c r="AU276" s="87">
        <v>0.45474137931034481</v>
      </c>
      <c r="AV276" s="87">
        <v>0.45492371705963941</v>
      </c>
      <c r="AW276" s="87">
        <v>0.45493991989319094</v>
      </c>
      <c r="AX276" s="87">
        <v>0.45492194966549859</v>
      </c>
      <c r="AY276" s="87">
        <v>0.45506634499396864</v>
      </c>
      <c r="AZ276" s="87">
        <v>0.45501580914055761</v>
      </c>
      <c r="BA276" s="87">
        <v>0.45517051705170519</v>
      </c>
      <c r="BB276" s="87">
        <v>0.45497237569060772</v>
      </c>
      <c r="BC276" s="87">
        <v>0.45491915593313237</v>
      </c>
      <c r="BD276" s="87">
        <v>0.4550206327372765</v>
      </c>
      <c r="BE276" s="87">
        <v>0.45484311050477488</v>
      </c>
      <c r="BF276" s="87">
        <v>0.45516489506677571</v>
      </c>
      <c r="BG276" s="87">
        <v>0.45510317902955938</v>
      </c>
    </row>
    <row r="277" spans="3:59" x14ac:dyDescent="0.2">
      <c r="C277" s="29">
        <v>72</v>
      </c>
      <c r="F277" s="87">
        <v>0.28030303030303028</v>
      </c>
      <c r="G277" s="87">
        <v>0.28979343863912516</v>
      </c>
      <c r="H277" s="87">
        <v>0.29864785420340978</v>
      </c>
      <c r="I277" s="87">
        <v>0.30709534368070951</v>
      </c>
      <c r="J277" s="87">
        <v>0.31510051425899954</v>
      </c>
      <c r="K277" s="87">
        <v>0.32238385734396996</v>
      </c>
      <c r="L277" s="87">
        <v>0.32958801498127338</v>
      </c>
      <c r="M277" s="87">
        <v>0.33613838242169236</v>
      </c>
      <c r="N277" s="87">
        <v>0.34198331788693237</v>
      </c>
      <c r="O277" s="87">
        <v>0.34782608695652173</v>
      </c>
      <c r="P277" s="87">
        <v>0.35310095065640562</v>
      </c>
      <c r="Q277" s="87">
        <v>0.35814360770577935</v>
      </c>
      <c r="R277" s="87">
        <v>0.36262323189027001</v>
      </c>
      <c r="S277" s="87">
        <v>0.36735537190082646</v>
      </c>
      <c r="T277" s="87">
        <v>0.37127916331456157</v>
      </c>
      <c r="U277" s="87">
        <v>0.37484933708316592</v>
      </c>
      <c r="V277" s="87">
        <v>0.37829575850210162</v>
      </c>
      <c r="W277" s="87">
        <v>0.38154425612052728</v>
      </c>
      <c r="X277" s="87">
        <v>0.38430802760624772</v>
      </c>
      <c r="Y277" s="87">
        <v>0.38709677419354838</v>
      </c>
      <c r="Z277" s="87">
        <v>0.38952245188880968</v>
      </c>
      <c r="AA277" s="87">
        <v>0.39181916038751347</v>
      </c>
      <c r="AB277" s="87">
        <v>0.39370370370370372</v>
      </c>
      <c r="AC277" s="87">
        <v>0.3958099513655069</v>
      </c>
      <c r="AD277" s="87">
        <v>0.39729628238828391</v>
      </c>
      <c r="AE277" s="87">
        <v>0.39903846153846156</v>
      </c>
      <c r="AF277" s="87">
        <v>0.40007280669821621</v>
      </c>
      <c r="AG277" s="87">
        <v>0.40131819846210182</v>
      </c>
      <c r="AH277" s="87">
        <v>0.40243030736240171</v>
      </c>
      <c r="AI277" s="87">
        <v>0.40346445326596897</v>
      </c>
      <c r="AJ277" s="87">
        <v>0.40432674375233124</v>
      </c>
      <c r="AK277" s="87">
        <v>0.40498084291187741</v>
      </c>
      <c r="AL277" s="87">
        <v>0.4059760956175299</v>
      </c>
      <c r="AM277" s="87">
        <v>0.40640394088669951</v>
      </c>
      <c r="AN277" s="87">
        <v>0.4067103109656301</v>
      </c>
      <c r="AO277" s="87">
        <v>0.40743836188884247</v>
      </c>
      <c r="AP277" s="87">
        <v>0.4076797385620915</v>
      </c>
      <c r="AQ277" s="87">
        <v>0.40794223826714804</v>
      </c>
      <c r="AR277" s="87">
        <v>0.40797186400937868</v>
      </c>
      <c r="AS277" s="87">
        <v>0.40826573966782542</v>
      </c>
      <c r="AT277" s="87">
        <v>0.40849795005590755</v>
      </c>
      <c r="AU277" s="87">
        <v>0.40852314474650991</v>
      </c>
      <c r="AV277" s="87">
        <v>0.40881184543156374</v>
      </c>
      <c r="AW277" s="87">
        <v>0.40885325897525271</v>
      </c>
      <c r="AX277" s="87">
        <v>0.40906040268456378</v>
      </c>
      <c r="AY277" s="87">
        <v>0.40890169708613511</v>
      </c>
      <c r="AZ277" s="87">
        <v>0.40878787878787881</v>
      </c>
      <c r="BA277" s="87">
        <v>0.40901213171577122</v>
      </c>
      <c r="BB277" s="87">
        <v>0.4089527493782813</v>
      </c>
      <c r="BC277" s="87">
        <v>0.40910352484041079</v>
      </c>
      <c r="BD277" s="87">
        <v>0.40902835122488301</v>
      </c>
      <c r="BE277" s="87">
        <v>0.4089527493782813</v>
      </c>
      <c r="BF277" s="87">
        <v>0.40915319265552208</v>
      </c>
      <c r="BG277" s="87">
        <v>0.40914066776135743</v>
      </c>
    </row>
    <row r="278" spans="3:59" x14ac:dyDescent="0.2">
      <c r="C278" s="29">
        <v>73</v>
      </c>
      <c r="F278" s="87">
        <v>0.24794433902593296</v>
      </c>
      <c r="G278" s="87">
        <v>0.25684210526315787</v>
      </c>
      <c r="H278" s="87">
        <v>0.26517967781908303</v>
      </c>
      <c r="I278" s="87">
        <v>0.27381665668064709</v>
      </c>
      <c r="J278" s="87">
        <v>0.28119706380575948</v>
      </c>
      <c r="K278" s="87">
        <v>0.28857142857142859</v>
      </c>
      <c r="L278" s="87">
        <v>0.29526994744386048</v>
      </c>
      <c r="M278" s="87">
        <v>0.30204859456884231</v>
      </c>
      <c r="N278" s="87">
        <v>0.30750950570342206</v>
      </c>
      <c r="O278" s="87">
        <v>0.31323598681111636</v>
      </c>
      <c r="P278" s="87">
        <v>0.31860465116279069</v>
      </c>
      <c r="Q278" s="87">
        <v>0.32321839080459769</v>
      </c>
      <c r="R278" s="87">
        <v>0.32800000000000001</v>
      </c>
      <c r="S278" s="87">
        <v>0.33246301131418626</v>
      </c>
      <c r="T278" s="87">
        <v>0.33626834381551363</v>
      </c>
      <c r="U278" s="87">
        <v>0.33972267536704731</v>
      </c>
      <c r="V278" s="87">
        <v>0.34324104234527686</v>
      </c>
      <c r="W278" s="87">
        <v>0.34610917537746805</v>
      </c>
      <c r="X278" s="87">
        <v>0.34910339565051507</v>
      </c>
      <c r="Y278" s="87">
        <v>0.35172921265636498</v>
      </c>
      <c r="Z278" s="87">
        <v>0.35414424111948334</v>
      </c>
      <c r="AA278" s="87">
        <v>0.35629282365668952</v>
      </c>
      <c r="AB278" s="87">
        <v>0.35825771324863886</v>
      </c>
      <c r="AC278" s="87">
        <v>0.35992509363295883</v>
      </c>
      <c r="AD278" s="87">
        <v>0.36157337367624809</v>
      </c>
      <c r="AE278" s="87">
        <v>0.36318785578747625</v>
      </c>
      <c r="AF278" s="87">
        <v>0.36458722450504294</v>
      </c>
      <c r="AG278" s="87">
        <v>0.36557557925707979</v>
      </c>
      <c r="AH278" s="87">
        <v>0.36686390532544377</v>
      </c>
      <c r="AI278" s="87">
        <v>0.3676046176046176</v>
      </c>
      <c r="AJ278" s="87">
        <v>0.36853605243991261</v>
      </c>
      <c r="AK278" s="87">
        <v>0.3690744920993228</v>
      </c>
      <c r="AL278" s="87">
        <v>0.3699265558562041</v>
      </c>
      <c r="AM278" s="87">
        <v>0.37028112449799194</v>
      </c>
      <c r="AN278" s="87">
        <v>0.370707488622259</v>
      </c>
      <c r="AO278" s="87">
        <v>0.37113402061855671</v>
      </c>
      <c r="AP278" s="87">
        <v>0.3717894736842105</v>
      </c>
      <c r="AQ278" s="87">
        <v>0.37201646090534979</v>
      </c>
      <c r="AR278" s="87">
        <v>0.37212121212121213</v>
      </c>
      <c r="AS278" s="87">
        <v>0.37229437229437229</v>
      </c>
      <c r="AT278" s="87">
        <v>0.3724727838258165</v>
      </c>
      <c r="AU278" s="87">
        <v>0.37246811702925731</v>
      </c>
      <c r="AV278" s="87">
        <v>0.37264325323475045</v>
      </c>
      <c r="AW278" s="87">
        <v>0.37281976744186046</v>
      </c>
      <c r="AX278" s="87">
        <v>0.37272089761570826</v>
      </c>
      <c r="AY278" s="87">
        <v>0.37293283833952073</v>
      </c>
      <c r="AZ278" s="87">
        <v>0.37294685990338167</v>
      </c>
      <c r="BA278" s="87">
        <v>0.37305699481865284</v>
      </c>
      <c r="BB278" s="87">
        <v>0.37282229965156793</v>
      </c>
      <c r="BC278" s="87">
        <v>0.37305555555555553</v>
      </c>
      <c r="BD278" s="87">
        <v>0.37294281729428175</v>
      </c>
      <c r="BE278" s="87">
        <v>0.37289073305670817</v>
      </c>
      <c r="BF278" s="87">
        <v>0.37312604108828429</v>
      </c>
      <c r="BG278" s="87">
        <v>0.37307268722466963</v>
      </c>
    </row>
    <row r="279" spans="3:59" x14ac:dyDescent="0.2">
      <c r="C279" s="29">
        <v>74</v>
      </c>
      <c r="F279" s="87">
        <v>0.21831453218314531</v>
      </c>
      <c r="G279" s="87">
        <v>0.22689075630252101</v>
      </c>
      <c r="H279" s="87">
        <v>0.23529411764705882</v>
      </c>
      <c r="I279" s="87">
        <v>0.24319189360354654</v>
      </c>
      <c r="J279" s="87">
        <v>0.2503059975520196</v>
      </c>
      <c r="K279" s="87">
        <v>0.25706051873198849</v>
      </c>
      <c r="L279" s="87">
        <v>0.26384839650145775</v>
      </c>
      <c r="M279" s="87">
        <v>0.26984900146127616</v>
      </c>
      <c r="N279" s="87">
        <v>0.27572815533980582</v>
      </c>
      <c r="O279" s="87">
        <v>0.28087167070217917</v>
      </c>
      <c r="P279" s="87">
        <v>0.28585131894484411</v>
      </c>
      <c r="Q279" s="87">
        <v>0.29071969696969696</v>
      </c>
      <c r="R279" s="87">
        <v>0.29513564078578108</v>
      </c>
      <c r="S279" s="87">
        <v>0.29914143696339812</v>
      </c>
      <c r="T279" s="87">
        <v>0.30296329057938964</v>
      </c>
      <c r="U279" s="87">
        <v>0.30621805792163542</v>
      </c>
      <c r="V279" s="87">
        <v>0.30944490472245234</v>
      </c>
      <c r="W279" s="87">
        <v>0.31252583712277798</v>
      </c>
      <c r="X279" s="87">
        <v>0.31512770137524559</v>
      </c>
      <c r="Y279" s="87">
        <v>0.31772445820433437</v>
      </c>
      <c r="Z279" s="87">
        <v>0.32002983961208503</v>
      </c>
      <c r="AA279" s="87">
        <v>0.32193524918152056</v>
      </c>
      <c r="AB279" s="87">
        <v>0.3237120935330654</v>
      </c>
      <c r="AC279" s="87">
        <v>0.32573529411764707</v>
      </c>
      <c r="AD279" s="87">
        <v>0.32726583238528634</v>
      </c>
      <c r="AE279" s="87">
        <v>0.32848392036753443</v>
      </c>
      <c r="AF279" s="87">
        <v>0.32987711213517668</v>
      </c>
      <c r="AG279" s="87">
        <v>0.33106575963718821</v>
      </c>
      <c r="AH279" s="87">
        <v>0.33197026022304832</v>
      </c>
      <c r="AI279" s="87">
        <v>0.3329596412556054</v>
      </c>
      <c r="AJ279" s="87">
        <v>0.33357637623040465</v>
      </c>
      <c r="AK279" s="87">
        <v>0.33443708609271522</v>
      </c>
      <c r="AL279" s="87">
        <v>0.33510638297872342</v>
      </c>
      <c r="AM279" s="87">
        <v>0.3355442840421381</v>
      </c>
      <c r="AN279" s="87">
        <v>0.33603567085528985</v>
      </c>
      <c r="AO279" s="87">
        <v>0.33653444676409183</v>
      </c>
      <c r="AP279" s="87">
        <v>0.33693843594009981</v>
      </c>
      <c r="AQ279" s="87">
        <v>0.33701188455008491</v>
      </c>
      <c r="AR279" s="87">
        <v>0.33734439834024899</v>
      </c>
      <c r="AS279" s="87">
        <v>0.33754071661237783</v>
      </c>
      <c r="AT279" s="87">
        <v>0.33743061062648694</v>
      </c>
      <c r="AU279" s="87">
        <v>0.33777429467084641</v>
      </c>
      <c r="AV279" s="87">
        <v>0.33786848072562359</v>
      </c>
      <c r="AW279" s="87">
        <v>0.33780260707635007</v>
      </c>
      <c r="AX279" s="87">
        <v>0.33772411269667035</v>
      </c>
      <c r="AY279" s="87">
        <v>0.33780444758206846</v>
      </c>
      <c r="AZ279" s="87">
        <v>0.33797554347826086</v>
      </c>
      <c r="BA279" s="87">
        <v>0.33808752025931926</v>
      </c>
      <c r="BB279" s="87">
        <v>0.33793314934069302</v>
      </c>
      <c r="BC279" s="87">
        <v>0.33800759567630734</v>
      </c>
      <c r="BD279" s="87">
        <v>0.33808326348141937</v>
      </c>
      <c r="BE279" s="87">
        <v>0.33810325476992142</v>
      </c>
      <c r="BF279" s="87">
        <v>0.3380634390651085</v>
      </c>
      <c r="BG279" s="87">
        <v>0.33798492883058889</v>
      </c>
    </row>
    <row r="280" spans="3:59" x14ac:dyDescent="0.2">
      <c r="C280" s="29">
        <v>75</v>
      </c>
      <c r="F280" s="87">
        <v>0.19503287070854639</v>
      </c>
      <c r="G280" s="87">
        <v>0.20272108843537415</v>
      </c>
      <c r="H280" s="87">
        <v>0.21021220159151194</v>
      </c>
      <c r="I280" s="87">
        <v>0.21675238795003673</v>
      </c>
      <c r="J280" s="87">
        <v>0.2230869001297017</v>
      </c>
      <c r="K280" s="87">
        <v>0.22917971195992487</v>
      </c>
      <c r="L280" s="87">
        <v>0.23525943396226415</v>
      </c>
      <c r="M280" s="87">
        <v>0.24043715846994534</v>
      </c>
      <c r="N280" s="87">
        <v>0.24539571926331508</v>
      </c>
      <c r="O280" s="87">
        <v>0.24987605354486861</v>
      </c>
      <c r="P280" s="87">
        <v>0.25457241720217499</v>
      </c>
      <c r="Q280" s="87">
        <v>0.2583170254403131</v>
      </c>
      <c r="R280" s="87">
        <v>0.26254826254826252</v>
      </c>
      <c r="S280" s="87">
        <v>0.26596758817921828</v>
      </c>
      <c r="T280" s="87">
        <v>0.26933701657458564</v>
      </c>
      <c r="U280" s="87">
        <v>0.27239981990094553</v>
      </c>
      <c r="V280" s="87">
        <v>0.27512998266897748</v>
      </c>
      <c r="W280" s="87">
        <v>0.27759056444818869</v>
      </c>
      <c r="X280" s="87">
        <v>0.27983193277310925</v>
      </c>
      <c r="Y280" s="87">
        <v>0.28223552894211579</v>
      </c>
      <c r="Z280" s="87">
        <v>0.28419811320754718</v>
      </c>
      <c r="AA280" s="87">
        <v>0.28598484848484851</v>
      </c>
      <c r="AB280" s="87">
        <v>0.28755998523440385</v>
      </c>
      <c r="AC280" s="87">
        <v>0.28910303928836173</v>
      </c>
      <c r="AD280" s="87">
        <v>0.29045488441461598</v>
      </c>
      <c r="AE280" s="87">
        <v>0.29169869331283627</v>
      </c>
      <c r="AF280" s="87">
        <v>0.29286268425135764</v>
      </c>
      <c r="AG280" s="87">
        <v>0.29404900816802798</v>
      </c>
      <c r="AH280" s="87">
        <v>0.29456771231828616</v>
      </c>
      <c r="AI280" s="87">
        <v>0.29544599171998492</v>
      </c>
      <c r="AJ280" s="87">
        <v>0.29614220877458397</v>
      </c>
      <c r="AK280" s="87">
        <v>0.29682890855457228</v>
      </c>
      <c r="AL280" s="87">
        <v>0.29724702380952384</v>
      </c>
      <c r="AM280" s="87">
        <v>0.29773338455628123</v>
      </c>
      <c r="AN280" s="87">
        <v>0.29810725552050471</v>
      </c>
      <c r="AO280" s="87">
        <v>0.29852579852579852</v>
      </c>
      <c r="AP280" s="87">
        <v>0.29890387858347384</v>
      </c>
      <c r="AQ280" s="87">
        <v>0.2990340193196136</v>
      </c>
      <c r="AR280" s="87">
        <v>0.29905741216795201</v>
      </c>
      <c r="AS280" s="87">
        <v>0.29928840519045624</v>
      </c>
      <c r="AT280" s="87">
        <v>0.29950698438783896</v>
      </c>
      <c r="AU280" s="87">
        <v>0.29959999999999998</v>
      </c>
      <c r="AV280" s="87">
        <v>0.29988146977479258</v>
      </c>
      <c r="AW280" s="87">
        <v>0.2998095238095238</v>
      </c>
      <c r="AX280" s="87">
        <v>0.29992492492492495</v>
      </c>
      <c r="AY280" s="87">
        <v>0.2997787610619469</v>
      </c>
      <c r="AZ280" s="87">
        <v>0.29989327641408753</v>
      </c>
      <c r="BA280" s="87">
        <v>0.3001368925393566</v>
      </c>
      <c r="BB280" s="87">
        <v>0.3000326477309827</v>
      </c>
      <c r="BC280" s="87">
        <v>0.29987646695491044</v>
      </c>
      <c r="BD280" s="87">
        <v>0.3</v>
      </c>
      <c r="BE280" s="87">
        <v>0.30014064697609</v>
      </c>
      <c r="BF280" s="87">
        <v>0.29991527817000846</v>
      </c>
      <c r="BG280" s="87">
        <v>0.30011198208286677</v>
      </c>
    </row>
    <row r="281" spans="3:59" x14ac:dyDescent="0.2">
      <c r="C281" s="29">
        <v>76</v>
      </c>
      <c r="F281" s="87">
        <v>0.17325483599663583</v>
      </c>
      <c r="G281" s="87">
        <v>0.18031555221637866</v>
      </c>
      <c r="H281" s="87">
        <v>0.1861441567529741</v>
      </c>
      <c r="I281" s="87">
        <v>0.19222903885480572</v>
      </c>
      <c r="J281" s="87">
        <v>0.19773584905660377</v>
      </c>
      <c r="K281" s="87">
        <v>0.20306258322237017</v>
      </c>
      <c r="L281" s="87">
        <v>0.20745022479126526</v>
      </c>
      <c r="M281" s="87">
        <v>0.21221281741233375</v>
      </c>
      <c r="N281" s="87">
        <v>0.21628498727735368</v>
      </c>
      <c r="O281" s="87">
        <v>0.22018348623853212</v>
      </c>
      <c r="P281" s="87">
        <v>0.22425164890918314</v>
      </c>
      <c r="Q281" s="87">
        <v>0.2275025278058645</v>
      </c>
      <c r="R281" s="87">
        <v>0.23111555777888945</v>
      </c>
      <c r="S281" s="87">
        <v>0.23372781065088757</v>
      </c>
      <c r="T281" s="87">
        <v>0.2364963503649635</v>
      </c>
      <c r="U281" s="87">
        <v>0.23907937999060591</v>
      </c>
      <c r="V281" s="87">
        <v>0.24150596877869604</v>
      </c>
      <c r="W281" s="87">
        <v>0.24381625441696114</v>
      </c>
      <c r="X281" s="87">
        <v>0.24602833834263632</v>
      </c>
      <c r="Y281" s="87">
        <v>0.24775353016688062</v>
      </c>
      <c r="Z281" s="87">
        <v>0.24959349593495936</v>
      </c>
      <c r="AA281" s="87">
        <v>0.25119999999999998</v>
      </c>
      <c r="AB281" s="87">
        <v>0.25231124807395994</v>
      </c>
      <c r="AC281" s="87">
        <v>0.25365853658536586</v>
      </c>
      <c r="AD281" s="87">
        <v>0.25499058380414313</v>
      </c>
      <c r="AE281" s="87">
        <v>0.25596365013252553</v>
      </c>
      <c r="AF281" s="87">
        <v>0.25673039406944986</v>
      </c>
      <c r="AG281" s="87">
        <v>0.25787401574803148</v>
      </c>
      <c r="AH281" s="87">
        <v>0.25848460931333861</v>
      </c>
      <c r="AI281" s="87">
        <v>0.25921614280170741</v>
      </c>
      <c r="AJ281" s="87">
        <v>0.2598244944677604</v>
      </c>
      <c r="AK281" s="87">
        <v>0.26015325670498085</v>
      </c>
      <c r="AL281" s="87">
        <v>0.26073963391856558</v>
      </c>
      <c r="AM281" s="87">
        <v>0.26101694915254237</v>
      </c>
      <c r="AN281" s="87">
        <v>0.26166407465007774</v>
      </c>
      <c r="AO281" s="87">
        <v>0.26177174780526735</v>
      </c>
      <c r="AP281" s="87">
        <v>0.26222038111019058</v>
      </c>
      <c r="AQ281" s="87">
        <v>0.26226012793176973</v>
      </c>
      <c r="AR281" s="87">
        <v>0.26230899830220711</v>
      </c>
      <c r="AS281" s="87">
        <v>0.26245127760935472</v>
      </c>
      <c r="AT281" s="87">
        <v>0.26269035532994922</v>
      </c>
      <c r="AU281" s="87">
        <v>0.26265560165975105</v>
      </c>
      <c r="AV281" s="87">
        <v>0.26292407108239096</v>
      </c>
      <c r="AW281" s="87">
        <v>0.2628639808536099</v>
      </c>
      <c r="AX281" s="87">
        <v>0.26297577854671278</v>
      </c>
      <c r="AY281" s="87">
        <v>0.26277925028398336</v>
      </c>
      <c r="AZ281" s="87">
        <v>0.26302083333333331</v>
      </c>
      <c r="BA281" s="87">
        <v>0.26291248206599716</v>
      </c>
      <c r="BB281" s="87">
        <v>0.26293995859213248</v>
      </c>
      <c r="BC281" s="87">
        <v>0.26291543270812767</v>
      </c>
      <c r="BD281" s="87">
        <v>0.26299408652349826</v>
      </c>
      <c r="BE281" s="87">
        <v>0.26289270895080025</v>
      </c>
      <c r="BF281" s="87">
        <v>0.26296401246812129</v>
      </c>
      <c r="BG281" s="87">
        <v>0.2630830489192264</v>
      </c>
    </row>
    <row r="282" spans="3:59" x14ac:dyDescent="0.2">
      <c r="C282" s="29">
        <v>77</v>
      </c>
      <c r="F282" s="87">
        <v>0.15363881401617252</v>
      </c>
      <c r="G282" s="87">
        <v>0.15972222222222221</v>
      </c>
      <c r="H282" s="87">
        <v>0.16446858029480219</v>
      </c>
      <c r="I282" s="87">
        <v>0.16967509025270758</v>
      </c>
      <c r="J282" s="87">
        <v>0.17415730337078653</v>
      </c>
      <c r="K282" s="87">
        <v>0.17884914463452567</v>
      </c>
      <c r="L282" s="87">
        <v>0.18287671232876712</v>
      </c>
      <c r="M282" s="87">
        <v>0.18704560475875742</v>
      </c>
      <c r="N282" s="87">
        <v>0.19080174021131138</v>
      </c>
      <c r="O282" s="87">
        <v>0.19393622582331416</v>
      </c>
      <c r="P282" s="87">
        <v>0.19727891156462585</v>
      </c>
      <c r="Q282" s="87">
        <v>0.19989588755856325</v>
      </c>
      <c r="R282" s="87">
        <v>0.20269569725246242</v>
      </c>
      <c r="S282" s="87">
        <v>0.20553562275756024</v>
      </c>
      <c r="T282" s="87">
        <v>0.20797576981322563</v>
      </c>
      <c r="U282" s="87">
        <v>0.2101593625498008</v>
      </c>
      <c r="V282" s="87">
        <v>0.21181556195965417</v>
      </c>
      <c r="W282" s="87">
        <v>0.21398404504927265</v>
      </c>
      <c r="X282" s="87">
        <v>0.21570397111913359</v>
      </c>
      <c r="Y282" s="87">
        <v>0.21744848750548004</v>
      </c>
      <c r="Z282" s="87">
        <v>0.2187772925764192</v>
      </c>
      <c r="AA282" s="87">
        <v>0.22014925373134328</v>
      </c>
      <c r="AB282" s="87">
        <v>0.22145187601957586</v>
      </c>
      <c r="AC282" s="87">
        <v>0.22252747252747251</v>
      </c>
      <c r="AD282" s="87">
        <v>0.22324159021406728</v>
      </c>
      <c r="AE282" s="87">
        <v>0.22430981595092025</v>
      </c>
      <c r="AF282" s="87">
        <v>0.22504816955684007</v>
      </c>
      <c r="AG282" s="87">
        <v>0.2257936507936508</v>
      </c>
      <c r="AH282" s="87">
        <v>0.22649059623849541</v>
      </c>
      <c r="AI282" s="87">
        <v>0.22694466720128309</v>
      </c>
      <c r="AJ282" s="87">
        <v>0.22743397713835239</v>
      </c>
      <c r="AK282" s="87">
        <v>0.2281177381874516</v>
      </c>
      <c r="AL282" s="87">
        <v>0.22831583041618048</v>
      </c>
      <c r="AM282" s="87">
        <v>0.22887457370215991</v>
      </c>
      <c r="AN282" s="87">
        <v>0.22880061115355232</v>
      </c>
      <c r="AO282" s="87">
        <v>0.22940480882932598</v>
      </c>
      <c r="AP282" s="87">
        <v>0.22968054993934492</v>
      </c>
      <c r="AQ282" s="87">
        <v>0.22954259336970206</v>
      </c>
      <c r="AR282" s="87">
        <v>0.22970639032815199</v>
      </c>
      <c r="AS282" s="87">
        <v>0.22990975504941985</v>
      </c>
      <c r="AT282" s="87">
        <v>0.23006134969325154</v>
      </c>
      <c r="AU282" s="87">
        <v>0.23020967051775781</v>
      </c>
      <c r="AV282" s="87">
        <v>0.22996223248006714</v>
      </c>
      <c r="AW282" s="87">
        <v>0.23029808084932626</v>
      </c>
      <c r="AX282" s="87">
        <v>0.23014913341394599</v>
      </c>
      <c r="AY282" s="87">
        <v>0.23038073038073037</v>
      </c>
      <c r="AZ282" s="87">
        <v>0.23029839326702373</v>
      </c>
      <c r="BA282" s="87">
        <v>0.23027798647633357</v>
      </c>
      <c r="BB282" s="87">
        <v>0.23035132198478811</v>
      </c>
      <c r="BC282" s="87">
        <v>0.23023336816440265</v>
      </c>
      <c r="BD282" s="87">
        <v>0.23015609432082365</v>
      </c>
      <c r="BE282" s="87">
        <v>0.23021356783919597</v>
      </c>
      <c r="BF282" s="87">
        <v>0.23026315789473684</v>
      </c>
      <c r="BG282" s="87">
        <v>0.23035152900828809</v>
      </c>
    </row>
    <row r="283" spans="3:59" x14ac:dyDescent="0.2">
      <c r="C283" s="29">
        <v>78</v>
      </c>
      <c r="F283" s="87">
        <v>0.13614103819784526</v>
      </c>
      <c r="G283" s="87">
        <v>0.14059590316573556</v>
      </c>
      <c r="H283" s="87">
        <v>0.14491449144914492</v>
      </c>
      <c r="I283" s="87">
        <v>0.14951768488745981</v>
      </c>
      <c r="J283" s="87">
        <v>0.15396113602391628</v>
      </c>
      <c r="K283" s="87">
        <v>0.15770348837209303</v>
      </c>
      <c r="L283" s="87">
        <v>0.1606425702811245</v>
      </c>
      <c r="M283" s="87">
        <v>0.16407355021216408</v>
      </c>
      <c r="N283" s="87">
        <v>0.16768916155419222</v>
      </c>
      <c r="O283" s="87">
        <v>0.17040358744394618</v>
      </c>
      <c r="P283" s="87">
        <v>0.17295258620689655</v>
      </c>
      <c r="Q283" s="87">
        <v>0.17564655172413793</v>
      </c>
      <c r="R283" s="87">
        <v>0.17782538832351366</v>
      </c>
      <c r="S283" s="87">
        <v>0.18007458710708577</v>
      </c>
      <c r="T283" s="87">
        <v>0.18220115850447605</v>
      </c>
      <c r="U283" s="87">
        <v>0.18403317781233799</v>
      </c>
      <c r="V283" s="87">
        <v>0.18599897802759324</v>
      </c>
      <c r="W283" s="87">
        <v>0.18768472906403941</v>
      </c>
      <c r="X283" s="87">
        <v>0.18903318903318903</v>
      </c>
      <c r="Y283" s="87">
        <v>0.19047619047619047</v>
      </c>
      <c r="Z283" s="87">
        <v>0.19156572454015253</v>
      </c>
      <c r="AA283" s="87">
        <v>0.19258266309204647</v>
      </c>
      <c r="AB283" s="87">
        <v>0.19372615515048749</v>
      </c>
      <c r="AC283" s="87">
        <v>0.19458333333333333</v>
      </c>
      <c r="AD283" s="87">
        <v>0.19559118236472947</v>
      </c>
      <c r="AE283" s="87">
        <v>0.19625438938743658</v>
      </c>
      <c r="AF283" s="87">
        <v>0.19718309859154928</v>
      </c>
      <c r="AG283" s="87">
        <v>0.19764243614931237</v>
      </c>
      <c r="AH283" s="87">
        <v>0.1982200647249191</v>
      </c>
      <c r="AI283" s="87">
        <v>0.19853240929474114</v>
      </c>
      <c r="AJ283" s="87">
        <v>0.19926500612494896</v>
      </c>
      <c r="AK283" s="87">
        <v>0.19935820296831128</v>
      </c>
      <c r="AL283" s="87">
        <v>0.19976359338061467</v>
      </c>
      <c r="AM283" s="87">
        <v>0.20015822784810128</v>
      </c>
      <c r="AN283" s="87">
        <v>0.20030816640986132</v>
      </c>
      <c r="AO283" s="87">
        <v>0.20069875776397517</v>
      </c>
      <c r="AP283" s="87">
        <v>0.20096076861489193</v>
      </c>
      <c r="AQ283" s="87">
        <v>0.20114942528735633</v>
      </c>
      <c r="AR283" s="87">
        <v>0.20102214650766609</v>
      </c>
      <c r="AS283" s="87">
        <v>0.20105124835742444</v>
      </c>
      <c r="AT283" s="87">
        <v>0.20130718954248367</v>
      </c>
      <c r="AU283" s="87">
        <v>0.20124389160373168</v>
      </c>
      <c r="AV283" s="87">
        <v>0.20121422376409367</v>
      </c>
      <c r="AW283" s="87">
        <v>0.20153061224489796</v>
      </c>
      <c r="AX283" s="87">
        <v>0.20140612076095948</v>
      </c>
      <c r="AY283" s="87">
        <v>0.20163265306122449</v>
      </c>
      <c r="AZ283" s="87">
        <v>0.20133700353912701</v>
      </c>
      <c r="BA283" s="87">
        <v>0.20131629887727448</v>
      </c>
      <c r="BB283" s="87">
        <v>0.20144431774990498</v>
      </c>
      <c r="BC283" s="87">
        <v>0.20146520146520147</v>
      </c>
      <c r="BD283" s="87">
        <v>0.20140845070422536</v>
      </c>
      <c r="BE283" s="87">
        <v>0.2014098690835851</v>
      </c>
      <c r="BF283" s="87">
        <v>0.20152332592827674</v>
      </c>
      <c r="BG283" s="87">
        <v>0.20144971307762005</v>
      </c>
    </row>
    <row r="284" spans="3:59" x14ac:dyDescent="0.2">
      <c r="C284" s="29">
        <v>79</v>
      </c>
      <c r="F284" s="87">
        <v>0.11987041036717062</v>
      </c>
      <c r="G284" s="87">
        <v>0.12448979591836734</v>
      </c>
      <c r="H284" s="87">
        <v>0.12803103782735209</v>
      </c>
      <c r="I284" s="87">
        <v>0.13120899718837864</v>
      </c>
      <c r="J284" s="87">
        <v>0.13533834586466165</v>
      </c>
      <c r="K284" s="87">
        <v>0.13819875776397517</v>
      </c>
      <c r="L284" s="87">
        <v>0.14102564102564102</v>
      </c>
      <c r="M284" s="87">
        <v>0.14416666666666667</v>
      </c>
      <c r="N284" s="87">
        <v>0.1466275659824047</v>
      </c>
      <c r="O284" s="87">
        <v>0.14961185603387439</v>
      </c>
      <c r="P284" s="87">
        <v>0.15175612988734261</v>
      </c>
      <c r="Q284" s="87">
        <v>0.15423162583518932</v>
      </c>
      <c r="R284" s="87">
        <v>0.15581524763494714</v>
      </c>
      <c r="S284" s="87">
        <v>0.15809839690436706</v>
      </c>
      <c r="T284" s="87">
        <v>0.15989010989010988</v>
      </c>
      <c r="U284" s="87">
        <v>0.16115029842647857</v>
      </c>
      <c r="V284" s="87">
        <v>0.16284036305392419</v>
      </c>
      <c r="W284" s="87">
        <v>0.16403785488958991</v>
      </c>
      <c r="X284" s="87">
        <v>0.16565349544072949</v>
      </c>
      <c r="Y284" s="87">
        <v>0.16658428077113199</v>
      </c>
      <c r="Z284" s="87">
        <v>0.16761633428300096</v>
      </c>
      <c r="AA284" s="87">
        <v>0.16858590511285121</v>
      </c>
      <c r="AB284" s="87">
        <v>0.1695692025664528</v>
      </c>
      <c r="AC284" s="87">
        <v>0.1703607127335941</v>
      </c>
      <c r="AD284" s="87">
        <v>0.17122117847993168</v>
      </c>
      <c r="AE284" s="87">
        <v>0.1720032840722496</v>
      </c>
      <c r="AF284" s="87">
        <v>0.17252396166134185</v>
      </c>
      <c r="AG284" s="87">
        <v>0.17286914765906364</v>
      </c>
      <c r="AH284" s="87">
        <v>0.17356368019284854</v>
      </c>
      <c r="AI284" s="87">
        <v>0.17403885903265812</v>
      </c>
      <c r="AJ284" s="87">
        <v>0.17443796835970024</v>
      </c>
      <c r="AK284" s="87">
        <v>0.17458333333333334</v>
      </c>
      <c r="AL284" s="87">
        <v>0.17471358428805236</v>
      </c>
      <c r="AM284" s="87">
        <v>0.17517075130574528</v>
      </c>
      <c r="AN284" s="87">
        <v>0.17533252720677148</v>
      </c>
      <c r="AO284" s="87">
        <v>0.17543171114599687</v>
      </c>
      <c r="AP284" s="87">
        <v>0.17549407114624507</v>
      </c>
      <c r="AQ284" s="87">
        <v>0.17563162184189079</v>
      </c>
      <c r="AR284" s="87">
        <v>0.17585630743525479</v>
      </c>
      <c r="AS284" s="87">
        <v>0.1758336942399307</v>
      </c>
      <c r="AT284" s="87">
        <v>0.17586821015138024</v>
      </c>
      <c r="AU284" s="87">
        <v>0.17626217891939769</v>
      </c>
      <c r="AV284" s="87">
        <v>0.1759927797833935</v>
      </c>
      <c r="AW284" s="87">
        <v>0.17613386173491855</v>
      </c>
      <c r="AX284" s="87">
        <v>0.17608977125593439</v>
      </c>
      <c r="AY284" s="87">
        <v>0.17624842635333612</v>
      </c>
      <c r="AZ284" s="87">
        <v>0.17632450331125829</v>
      </c>
      <c r="BA284" s="87">
        <v>0.1762360446570973</v>
      </c>
      <c r="BB284" s="87">
        <v>0.17614750882699098</v>
      </c>
      <c r="BC284" s="87">
        <v>0.17635733538698498</v>
      </c>
      <c r="BD284" s="87">
        <v>0.17625231910946196</v>
      </c>
      <c r="BE284" s="87">
        <v>0.17617689015691868</v>
      </c>
      <c r="BF284" s="87">
        <v>0.17635066258919471</v>
      </c>
      <c r="BG284" s="87">
        <v>0.17630057803468208</v>
      </c>
    </row>
    <row r="285" spans="3:59" x14ac:dyDescent="0.2">
      <c r="C285" s="29" t="s">
        <v>1267</v>
      </c>
      <c r="F285" s="87">
        <v>6.2714648350007465E-2</v>
      </c>
      <c r="G285" s="87">
        <v>6.5283621064848391E-2</v>
      </c>
      <c r="H285" s="87">
        <v>6.7377877596855693E-2</v>
      </c>
      <c r="I285" s="87">
        <v>6.9143167028199573E-2</v>
      </c>
      <c r="J285" s="87">
        <v>7.1886027970199967E-2</v>
      </c>
      <c r="K285" s="87">
        <v>7.4775672981056834E-2</v>
      </c>
      <c r="L285" s="87">
        <v>7.7912879235037188E-2</v>
      </c>
      <c r="M285" s="87">
        <v>7.9623191656386677E-2</v>
      </c>
      <c r="N285" s="87">
        <v>8.0225498699045966E-2</v>
      </c>
      <c r="O285" s="87">
        <v>8.1805943874909387E-2</v>
      </c>
      <c r="P285" s="87">
        <v>8.3983796067582259E-2</v>
      </c>
      <c r="Q285" s="87">
        <v>8.4650112866817159E-2</v>
      </c>
      <c r="R285" s="87">
        <v>8.6849723659970179E-2</v>
      </c>
      <c r="S285" s="87">
        <v>8.837862393656562E-2</v>
      </c>
      <c r="T285" s="87">
        <v>8.9146074444791987E-2</v>
      </c>
      <c r="U285" s="87">
        <v>9.0029761904761904E-2</v>
      </c>
      <c r="V285" s="87">
        <v>9.03593027392387E-2</v>
      </c>
      <c r="W285" s="87">
        <v>9.072924483252609E-2</v>
      </c>
      <c r="X285" s="87">
        <v>9.0497737556561084E-2</v>
      </c>
      <c r="Y285" s="87">
        <v>9.0851735015772872E-2</v>
      </c>
      <c r="Z285" s="87">
        <v>9.1157702825888781E-2</v>
      </c>
      <c r="AA285" s="87">
        <v>9.130282102305981E-2</v>
      </c>
      <c r="AB285" s="87">
        <v>9.1924204827430633E-2</v>
      </c>
      <c r="AC285" s="87">
        <v>9.2123194330880342E-2</v>
      </c>
      <c r="AD285" s="87">
        <v>9.1984231274638631E-2</v>
      </c>
      <c r="AE285" s="87">
        <v>9.2423319114361163E-2</v>
      </c>
      <c r="AF285" s="87">
        <v>9.2687950566426369E-2</v>
      </c>
      <c r="AG285" s="87">
        <v>9.2767890950397572E-2</v>
      </c>
      <c r="AH285" s="87">
        <v>9.3144902266678903E-2</v>
      </c>
      <c r="AI285" s="87">
        <v>9.2799143392522529E-2</v>
      </c>
      <c r="AJ285" s="87">
        <v>9.2059336823734725E-2</v>
      </c>
      <c r="AK285" s="87">
        <v>9.1601746425819711E-2</v>
      </c>
      <c r="AL285" s="87">
        <v>9.1314593502777305E-2</v>
      </c>
      <c r="AM285" s="87">
        <v>9.1006866881773812E-2</v>
      </c>
      <c r="AN285" s="87">
        <v>9.0683583424830225E-2</v>
      </c>
      <c r="AO285" s="87">
        <v>9.0530363723762219E-2</v>
      </c>
      <c r="AP285" s="87">
        <v>9.0651111461453576E-2</v>
      </c>
      <c r="AQ285" s="87">
        <v>9.0167120093276334E-2</v>
      </c>
      <c r="AR285" s="87">
        <v>9.0027700831024932E-2</v>
      </c>
      <c r="AS285" s="87">
        <v>8.942903003898188E-2</v>
      </c>
      <c r="AT285" s="87">
        <v>8.8826198009988186E-2</v>
      </c>
      <c r="AU285" s="87">
        <v>8.8438226661075744E-2</v>
      </c>
      <c r="AV285" s="87">
        <v>8.8057027408226282E-2</v>
      </c>
      <c r="AW285" s="87">
        <v>8.7468011153126315E-2</v>
      </c>
      <c r="AX285" s="87">
        <v>8.743127672571778E-2</v>
      </c>
      <c r="AY285" s="87">
        <v>8.7271341463414628E-2</v>
      </c>
      <c r="AZ285" s="87">
        <v>8.7636101521302023E-2</v>
      </c>
      <c r="BA285" s="87">
        <v>8.7917892989208365E-2</v>
      </c>
      <c r="BB285" s="87">
        <v>8.8240792671527388E-2</v>
      </c>
      <c r="BC285" s="87">
        <v>8.8403920843351205E-2</v>
      </c>
      <c r="BD285" s="87">
        <v>8.8773609030796771E-2</v>
      </c>
      <c r="BE285" s="87">
        <v>8.9163730495433954E-2</v>
      </c>
      <c r="BF285" s="87">
        <v>8.9559606501886393E-2</v>
      </c>
      <c r="BG285" s="87">
        <v>9.0235922162906837E-2</v>
      </c>
    </row>
    <row r="286" spans="3:59" x14ac:dyDescent="0.2">
      <c r="C286" s="76" t="s">
        <v>1270</v>
      </c>
      <c r="F286" s="88">
        <v>0.73360554734059236</v>
      </c>
      <c r="G286" s="88">
        <v>0.73363012530197391</v>
      </c>
      <c r="H286" s="88">
        <v>0.73356625470060355</v>
      </c>
      <c r="I286" s="88">
        <v>0.73321203834787618</v>
      </c>
      <c r="J286" s="88">
        <v>0.73234374916809974</v>
      </c>
      <c r="K286" s="88">
        <v>0.7313819699077001</v>
      </c>
      <c r="L286" s="88">
        <v>0.73015575154813284</v>
      </c>
      <c r="M286" s="88">
        <v>0.72839041590201459</v>
      </c>
      <c r="N286" s="88">
        <v>0.7261827113185626</v>
      </c>
      <c r="O286" s="88">
        <v>0.72412837565497779</v>
      </c>
      <c r="P286" s="88">
        <v>0.72222360626005855</v>
      </c>
      <c r="Q286" s="88">
        <v>0.72052645074756405</v>
      </c>
      <c r="R286" s="88">
        <v>0.71895782267751296</v>
      </c>
      <c r="S286" s="88">
        <v>0.7175026727361562</v>
      </c>
      <c r="T286" s="88">
        <v>0.7161663149817763</v>
      </c>
      <c r="U286" s="88">
        <v>0.71492375453049339</v>
      </c>
      <c r="V286" s="88">
        <v>0.71348569056133759</v>
      </c>
      <c r="W286" s="88">
        <v>0.71194095512664513</v>
      </c>
      <c r="X286" s="88">
        <v>0.71029660308675224</v>
      </c>
      <c r="Y286" s="88">
        <v>0.70871956950408199</v>
      </c>
      <c r="Z286" s="88">
        <v>0.70712861871582455</v>
      </c>
      <c r="AA286" s="88">
        <v>0.70557726078492766</v>
      </c>
      <c r="AB286" s="88">
        <v>0.70413945317778481</v>
      </c>
      <c r="AC286" s="88">
        <v>0.7028166683807846</v>
      </c>
      <c r="AD286" s="88">
        <v>0.7015970412335889</v>
      </c>
      <c r="AE286" s="88">
        <v>0.70066095514411819</v>
      </c>
      <c r="AF286" s="88">
        <v>0.69987999404349999</v>
      </c>
      <c r="AG286" s="88">
        <v>0.69919116591323416</v>
      </c>
      <c r="AH286" s="88">
        <v>0.6987177270133329</v>
      </c>
      <c r="AI286" s="88">
        <v>0.69831538154180617</v>
      </c>
      <c r="AJ286" s="88">
        <v>0.6979809022736202</v>
      </c>
      <c r="AK286" s="88">
        <v>0.69776594660688807</v>
      </c>
      <c r="AL286" s="88">
        <v>0.69765694262675726</v>
      </c>
      <c r="AM286" s="88">
        <v>0.69755050971566768</v>
      </c>
      <c r="AN286" s="88">
        <v>0.69746997210203643</v>
      </c>
      <c r="AO286" s="88">
        <v>0.69740657952685237</v>
      </c>
      <c r="AP286" s="88">
        <v>0.69733409946797731</v>
      </c>
      <c r="AQ286" s="88">
        <v>0.69711030213282321</v>
      </c>
      <c r="AR286" s="88">
        <v>0.69678425529476296</v>
      </c>
      <c r="AS286" s="88">
        <v>0.69633000240348386</v>
      </c>
      <c r="AT286" s="88">
        <v>0.69568566713833357</v>
      </c>
      <c r="AU286" s="88">
        <v>0.6948986344707363</v>
      </c>
      <c r="AV286" s="88">
        <v>0.6939386150225314</v>
      </c>
      <c r="AW286" s="88">
        <v>0.69281014398899898</v>
      </c>
      <c r="AX286" s="88">
        <v>0.69156030174746153</v>
      </c>
      <c r="AY286" s="88">
        <v>0.69012561779242176</v>
      </c>
      <c r="AZ286" s="88">
        <v>0.68855683350019314</v>
      </c>
      <c r="BA286" s="88">
        <v>0.68688037725633888</v>
      </c>
      <c r="BB286" s="88">
        <v>0.68509652931804688</v>
      </c>
      <c r="BC286" s="88">
        <v>0.68320371860194873</v>
      </c>
      <c r="BD286" s="88">
        <v>0.68125904206348598</v>
      </c>
      <c r="BE286" s="88">
        <v>0.67921615430518389</v>
      </c>
      <c r="BF286" s="88">
        <v>0.67715397996796711</v>
      </c>
      <c r="BG286" s="88">
        <v>0.67510106017847604</v>
      </c>
    </row>
  </sheetData>
  <hyperlinks>
    <hyperlink ref="H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4"/>
  <sheetViews>
    <sheetView zoomScaleNormal="100" workbookViewId="0">
      <pane xSplit="1" ySplit="5" topLeftCell="B6" activePane="bottomRight" state="frozen"/>
      <selection pane="topRight" activeCell="B1" sqref="B1"/>
      <selection pane="bottomLeft" activeCell="A6" sqref="A6"/>
      <selection pane="bottomRight" activeCell="H53" sqref="H53"/>
    </sheetView>
  </sheetViews>
  <sheetFormatPr defaultRowHeight="12.75" x14ac:dyDescent="0.2"/>
  <cols>
    <col min="1" max="1" width="60.7109375" style="29" customWidth="1"/>
    <col min="2" max="27" width="10.7109375" style="29" customWidth="1"/>
    <col min="28" max="16384" width="9.140625" style="29"/>
  </cols>
  <sheetData>
    <row r="1" spans="1:28" x14ac:dyDescent="0.2">
      <c r="A1" s="76" t="s">
        <v>81</v>
      </c>
    </row>
    <row r="2" spans="1:28" x14ac:dyDescent="0.2">
      <c r="A2" s="72" t="s">
        <v>905</v>
      </c>
    </row>
    <row r="4" spans="1:28" x14ac:dyDescent="0.2">
      <c r="A4" s="76" t="s">
        <v>11</v>
      </c>
      <c r="B4" s="79" t="s">
        <v>12</v>
      </c>
      <c r="C4" s="79" t="s">
        <v>13</v>
      </c>
      <c r="D4" s="79" t="s">
        <v>14</v>
      </c>
      <c r="E4" s="79" t="s">
        <v>15</v>
      </c>
      <c r="F4" s="79" t="s">
        <v>17</v>
      </c>
      <c r="G4" s="79" t="s">
        <v>16</v>
      </c>
      <c r="H4" s="79" t="s">
        <v>18</v>
      </c>
      <c r="I4" s="79" t="s">
        <v>19</v>
      </c>
      <c r="J4" s="79" t="s">
        <v>20</v>
      </c>
      <c r="K4" s="79" t="s">
        <v>21</v>
      </c>
      <c r="L4" s="79" t="s">
        <v>23</v>
      </c>
      <c r="M4" s="79" t="s">
        <v>24</v>
      </c>
      <c r="N4" s="79" t="s">
        <v>25</v>
      </c>
      <c r="O4" s="79" t="s">
        <v>26</v>
      </c>
      <c r="P4" s="79" t="s">
        <v>27</v>
      </c>
      <c r="Q4" s="79" t="s">
        <v>28</v>
      </c>
      <c r="R4" s="79" t="s">
        <v>29</v>
      </c>
      <c r="S4" s="79" t="s">
        <v>30</v>
      </c>
      <c r="T4" s="79" t="s">
        <v>31</v>
      </c>
      <c r="U4" s="79" t="s">
        <v>32</v>
      </c>
      <c r="V4" s="79" t="s">
        <v>33</v>
      </c>
      <c r="W4" s="79" t="s">
        <v>34</v>
      </c>
      <c r="X4" s="79" t="s">
        <v>35</v>
      </c>
      <c r="Y4" s="79" t="s">
        <v>36</v>
      </c>
      <c r="Z4" s="79" t="s">
        <v>37</v>
      </c>
      <c r="AA4" s="79" t="s">
        <v>38</v>
      </c>
    </row>
    <row r="5" spans="1:28" x14ac:dyDescent="0.2">
      <c r="B5" s="76">
        <v>2006</v>
      </c>
      <c r="C5" s="76">
        <v>2007</v>
      </c>
      <c r="D5" s="76">
        <v>2008</v>
      </c>
      <c r="E5" s="76">
        <v>2009</v>
      </c>
      <c r="F5" s="76">
        <v>2010</v>
      </c>
      <c r="G5" s="76">
        <v>2011</v>
      </c>
      <c r="H5" s="76">
        <v>2012</v>
      </c>
      <c r="I5" s="76">
        <v>2013</v>
      </c>
      <c r="J5" s="76">
        <v>2014</v>
      </c>
      <c r="K5" s="76">
        <v>2015</v>
      </c>
      <c r="L5" s="76">
        <v>2016</v>
      </c>
      <c r="M5" s="76">
        <v>2017</v>
      </c>
      <c r="N5" s="76">
        <v>2018</v>
      </c>
      <c r="O5" s="76">
        <v>2019</v>
      </c>
      <c r="P5" s="76">
        <v>2020</v>
      </c>
      <c r="Q5" s="76">
        <v>2021</v>
      </c>
      <c r="R5" s="76">
        <v>2022</v>
      </c>
      <c r="S5" s="76">
        <v>2023</v>
      </c>
      <c r="T5" s="76">
        <v>2024</v>
      </c>
      <c r="U5" s="76">
        <v>2025</v>
      </c>
      <c r="V5" s="76">
        <v>2026</v>
      </c>
      <c r="W5" s="76">
        <v>2027</v>
      </c>
      <c r="X5" s="76">
        <v>2028</v>
      </c>
      <c r="Y5" s="76">
        <v>2029</v>
      </c>
      <c r="Z5" s="76">
        <v>2030</v>
      </c>
      <c r="AA5" s="76">
        <v>2031</v>
      </c>
    </row>
    <row r="6" spans="1:28" x14ac:dyDescent="0.2">
      <c r="A6" s="76" t="s">
        <v>82</v>
      </c>
      <c r="B6" s="76" t="s">
        <v>83</v>
      </c>
      <c r="C6" s="76"/>
      <c r="D6" s="76"/>
      <c r="F6" s="76"/>
      <c r="G6" s="76"/>
      <c r="H6" s="76"/>
      <c r="I6" s="76"/>
      <c r="J6" s="76"/>
      <c r="K6" s="76"/>
      <c r="L6" s="76"/>
      <c r="M6" s="76"/>
      <c r="N6" s="76"/>
      <c r="O6" s="76"/>
      <c r="P6" s="76"/>
      <c r="Q6" s="76"/>
      <c r="R6" s="76"/>
      <c r="S6" s="76"/>
      <c r="T6" s="76"/>
      <c r="U6" s="76"/>
      <c r="V6" s="76"/>
      <c r="W6" s="76"/>
      <c r="X6" s="76"/>
      <c r="Y6" s="76"/>
      <c r="Z6" s="76"/>
      <c r="AA6" s="76"/>
    </row>
    <row r="7" spans="1:28" x14ac:dyDescent="0.2">
      <c r="A7" s="29" t="s">
        <v>84</v>
      </c>
      <c r="B7" s="88"/>
      <c r="C7" s="87">
        <f>0.436+1.313--0.052</f>
        <v>1.8009999999999999</v>
      </c>
      <c r="D7" s="87">
        <f>0.385+-0.995-0.034</f>
        <v>-0.64400000000000002</v>
      </c>
      <c r="E7" s="87">
        <f>0.383+-3.495--0.323</f>
        <v>-2.7890000000000001</v>
      </c>
      <c r="F7" s="87">
        <f>0.433+1.75-0.502</f>
        <v>1.6809999999999998</v>
      </c>
      <c r="G7" s="87">
        <f>0.518+3.518-0.169</f>
        <v>3.8669999999999995</v>
      </c>
      <c r="H7" s="87">
        <f>0.539+-0.204-0.132</f>
        <v>0.20300000000000007</v>
      </c>
      <c r="I7" s="87">
        <f>0.595+4.374-0.165</f>
        <v>4.8039999999999994</v>
      </c>
      <c r="J7" s="87">
        <f>0.767+3.735-0.164</f>
        <v>4.3380000000000001</v>
      </c>
      <c r="K7" s="87">
        <f>0.76+3.156-0.198</f>
        <v>3.7180000000000004</v>
      </c>
      <c r="L7" s="87">
        <v>0.53800000000000003</v>
      </c>
      <c r="M7" s="87">
        <v>6.1120000000000001</v>
      </c>
      <c r="N7" s="87">
        <v>3</v>
      </c>
      <c r="O7" s="87">
        <v>3.2149999999999999</v>
      </c>
      <c r="P7" s="87">
        <v>3.4409999999999998</v>
      </c>
      <c r="Q7" s="87">
        <v>3.6819999999999999</v>
      </c>
      <c r="R7" s="87">
        <v>3.2395434537789924</v>
      </c>
      <c r="S7" s="87">
        <v>3.6540722854618162</v>
      </c>
      <c r="T7" s="87">
        <v>4.0954940369293178</v>
      </c>
      <c r="U7" s="87">
        <v>4.563033906459899</v>
      </c>
      <c r="V7" s="87">
        <v>5.0560822372313874</v>
      </c>
      <c r="W7" s="87">
        <v>5.5372179853073229</v>
      </c>
      <c r="X7" s="87">
        <v>5.9198589712273852</v>
      </c>
      <c r="Y7" s="87">
        <v>6.2982308010162171</v>
      </c>
      <c r="Z7" s="87">
        <v>6.6737079154222831</v>
      </c>
      <c r="AA7" s="87">
        <v>7.0477691361979176</v>
      </c>
    </row>
    <row r="8" spans="1:28" x14ac:dyDescent="0.2">
      <c r="A8" s="72" t="s">
        <v>1275</v>
      </c>
      <c r="B8" s="87"/>
      <c r="C8" s="87">
        <v>0.70699999999999996</v>
      </c>
      <c r="D8" s="87">
        <v>0.23699999999999999</v>
      </c>
      <c r="E8" s="87">
        <v>4.0000000000000001E-3</v>
      </c>
      <c r="F8" s="87">
        <v>-2.7E-2</v>
      </c>
      <c r="G8" s="87">
        <v>0.872</v>
      </c>
      <c r="H8" s="87">
        <v>0.16</v>
      </c>
      <c r="I8" s="87">
        <v>0.98299999999999998</v>
      </c>
      <c r="J8" s="87">
        <v>1.0740000000000001</v>
      </c>
      <c r="K8" s="87">
        <v>4.5999999999999999E-2</v>
      </c>
      <c r="L8" s="87">
        <v>0.51200000000000001</v>
      </c>
      <c r="M8" s="87">
        <v>1.1339999999999999</v>
      </c>
      <c r="N8" s="87">
        <v>0.71599999999999997</v>
      </c>
      <c r="O8" s="87">
        <v>0.76900000000000002</v>
      </c>
      <c r="P8" s="87">
        <v>0.82399999999999995</v>
      </c>
      <c r="Q8" s="87">
        <v>0.88300000000000001</v>
      </c>
      <c r="R8" s="87">
        <v>0.77749042890695819</v>
      </c>
      <c r="S8" s="87">
        <v>0.87697734851083586</v>
      </c>
      <c r="T8" s="87">
        <v>0.98291856886303619</v>
      </c>
      <c r="U8" s="87">
        <v>1.0951281375503756</v>
      </c>
      <c r="V8" s="87">
        <v>1.2134597369355329</v>
      </c>
      <c r="W8" s="87">
        <v>1.3289323164737574</v>
      </c>
      <c r="X8" s="87">
        <v>1.4207661530945723</v>
      </c>
      <c r="Y8" s="87">
        <v>1.5115753922438921</v>
      </c>
      <c r="Z8" s="87">
        <v>1.6016898997013478</v>
      </c>
      <c r="AA8" s="87">
        <v>1.6914645926875</v>
      </c>
    </row>
    <row r="9" spans="1:28" x14ac:dyDescent="0.2">
      <c r="A9" s="29" t="s">
        <v>85</v>
      </c>
      <c r="B9" s="87"/>
      <c r="C9" s="87">
        <v>2.048</v>
      </c>
      <c r="D9" s="87">
        <v>2.1040000000000001</v>
      </c>
      <c r="E9" s="87">
        <v>2.2429999999999999</v>
      </c>
      <c r="F9" s="87">
        <v>0.25</v>
      </c>
      <c r="G9" s="87">
        <v>0</v>
      </c>
      <c r="H9" s="87">
        <v>0</v>
      </c>
      <c r="I9" s="87">
        <v>0</v>
      </c>
      <c r="J9" s="87">
        <v>0</v>
      </c>
      <c r="K9" s="87">
        <v>0</v>
      </c>
      <c r="L9" s="87">
        <v>0</v>
      </c>
      <c r="M9" s="87">
        <v>0</v>
      </c>
      <c r="N9" s="87">
        <v>0</v>
      </c>
      <c r="O9" s="87">
        <v>0</v>
      </c>
      <c r="P9" s="87">
        <v>0</v>
      </c>
      <c r="Q9" s="87">
        <v>2.1840000000000002</v>
      </c>
      <c r="R9" s="87">
        <v>2.17</v>
      </c>
      <c r="S9" s="87">
        <v>2</v>
      </c>
      <c r="T9" s="87">
        <v>1.768</v>
      </c>
      <c r="U9" s="87">
        <v>1.518</v>
      </c>
      <c r="V9" s="87">
        <v>1.212</v>
      </c>
      <c r="W9" s="87">
        <v>0.873</v>
      </c>
      <c r="X9" s="87">
        <v>0.52100000000000002</v>
      </c>
      <c r="Y9" s="87">
        <v>0.17299999999999999</v>
      </c>
      <c r="Z9" s="87">
        <v>-0.13500000000000001</v>
      </c>
      <c r="AA9" s="87">
        <v>-0.442</v>
      </c>
    </row>
    <row r="10" spans="1:28" x14ac:dyDescent="0.2">
      <c r="A10" s="29" t="s">
        <v>86</v>
      </c>
      <c r="B10" s="87"/>
      <c r="C10" s="87">
        <v>-2.4E-2</v>
      </c>
      <c r="D10" s="87">
        <v>1.6E-2</v>
      </c>
      <c r="E10" s="87">
        <v>2.5999999999999999E-2</v>
      </c>
      <c r="F10" s="87">
        <v>0.01</v>
      </c>
      <c r="G10" s="87">
        <v>1E-3</v>
      </c>
      <c r="H10" s="87">
        <v>8.0000000000000002E-3</v>
      </c>
      <c r="I10" s="87">
        <v>2.5000000000000001E-2</v>
      </c>
      <c r="J10" s="87">
        <v>-4.0000000000000001E-3</v>
      </c>
      <c r="K10" s="87">
        <v>4.1000000000000002E-2</v>
      </c>
      <c r="L10" s="87">
        <v>-2.1000000000000001E-2</v>
      </c>
      <c r="M10" s="87">
        <v>6.0000000000000001E-3</v>
      </c>
      <c r="N10" s="87">
        <v>2.3E-2</v>
      </c>
      <c r="O10" s="87">
        <v>2.7E-2</v>
      </c>
      <c r="P10" s="87">
        <v>3.1E-2</v>
      </c>
      <c r="Q10" s="87">
        <v>3.6999999999999998E-2</v>
      </c>
      <c r="R10" s="87">
        <v>3.2553804397018667E-2</v>
      </c>
      <c r="S10" s="87">
        <v>3.6719357567106793E-2</v>
      </c>
      <c r="T10" s="87">
        <v>4.115515463508549E-2</v>
      </c>
      <c r="U10" s="87">
        <v>4.5853409706413981E-2</v>
      </c>
      <c r="V10" s="87">
        <v>5.0807996408897708E-2</v>
      </c>
      <c r="W10" s="87">
        <v>5.5642874920252848E-2</v>
      </c>
      <c r="X10" s="87">
        <v>5.9487990748346903E-2</v>
      </c>
      <c r="Y10" s="87">
        <v>6.3290206311135272E-2</v>
      </c>
      <c r="Z10" s="87">
        <v>6.706333320766554E-2</v>
      </c>
      <c r="AA10" s="87">
        <v>7.0822231949843287E-2</v>
      </c>
    </row>
    <row r="11" spans="1:28" x14ac:dyDescent="0.2">
      <c r="A11" s="76" t="s">
        <v>87</v>
      </c>
      <c r="B11" s="88">
        <v>9.8549999999999986</v>
      </c>
      <c r="C11" s="88">
        <v>12.972999999999999</v>
      </c>
      <c r="D11" s="88">
        <v>14.211999999999998</v>
      </c>
      <c r="E11" s="88">
        <v>13.687999999999997</v>
      </c>
      <c r="F11" s="88">
        <v>15.655999999999997</v>
      </c>
      <c r="G11" s="88">
        <v>18.651999999999997</v>
      </c>
      <c r="H11" s="88">
        <v>18.702999999999996</v>
      </c>
      <c r="I11" s="88">
        <v>22.548999999999992</v>
      </c>
      <c r="J11" s="88">
        <v>25.80899999999999</v>
      </c>
      <c r="K11" s="88">
        <v>29.521999999999991</v>
      </c>
      <c r="L11" s="88">
        <v>29.52699999999999</v>
      </c>
      <c r="M11" s="88">
        <v>34.511000000000003</v>
      </c>
      <c r="N11" s="88">
        <v>36.817999999999998</v>
      </c>
      <c r="O11" s="88">
        <v>39.290999999999997</v>
      </c>
      <c r="P11" s="88">
        <v>41.939</v>
      </c>
      <c r="Q11" s="88">
        <v>46.959000000000003</v>
      </c>
      <c r="R11" s="88">
        <v>51.623606829269036</v>
      </c>
      <c r="S11" s="88">
        <v>56.437421123787125</v>
      </c>
      <c r="T11" s="88">
        <v>61.359151746488493</v>
      </c>
      <c r="U11" s="88">
        <v>66.390910925104421</v>
      </c>
      <c r="V11" s="88">
        <v>71.496341421809177</v>
      </c>
      <c r="W11" s="88">
        <v>76.633269965563002</v>
      </c>
      <c r="X11" s="88">
        <v>81.712850774444163</v>
      </c>
      <c r="Y11" s="88">
        <v>86.735796389527621</v>
      </c>
      <c r="Z11" s="88">
        <v>91.739877738456215</v>
      </c>
      <c r="AA11" s="88">
        <v>96.725004513916488</v>
      </c>
    </row>
    <row r="12" spans="1:28" x14ac:dyDescent="0.2">
      <c r="B12" s="85"/>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row>
    <row r="13" spans="1:28" x14ac:dyDescent="0.2">
      <c r="A13" s="76" t="s">
        <v>88</v>
      </c>
      <c r="B13" s="76" t="s">
        <v>83</v>
      </c>
    </row>
    <row r="14" spans="1:28" x14ac:dyDescent="0.2">
      <c r="A14" s="29" t="s">
        <v>958</v>
      </c>
      <c r="C14" s="87">
        <v>1.1759999999999999</v>
      </c>
      <c r="D14" s="87">
        <v>1.2010000000000001</v>
      </c>
      <c r="E14" s="87">
        <v>1.35</v>
      </c>
      <c r="F14" s="87">
        <v>1.5249999999999999</v>
      </c>
      <c r="G14" s="87">
        <v>1.5640000000000001</v>
      </c>
      <c r="H14" s="87">
        <v>1.5860000000000001</v>
      </c>
      <c r="I14" s="87">
        <v>1.4810000000000001</v>
      </c>
      <c r="J14" s="87">
        <v>1.512</v>
      </c>
      <c r="K14" s="87">
        <v>1.518</v>
      </c>
      <c r="L14" s="87">
        <v>1.512</v>
      </c>
      <c r="M14" s="87">
        <v>1.4930000000000001</v>
      </c>
      <c r="N14" s="87">
        <v>1.5329999999999999</v>
      </c>
      <c r="O14" s="87">
        <v>1.544</v>
      </c>
      <c r="P14" s="87">
        <v>1.5569999999999999</v>
      </c>
      <c r="Q14" s="87">
        <v>1.579</v>
      </c>
      <c r="R14" s="87">
        <v>1.6120000000000001</v>
      </c>
      <c r="S14" s="87">
        <v>1.649</v>
      </c>
      <c r="T14" s="87">
        <v>1.69</v>
      </c>
      <c r="U14" s="87">
        <v>1.7330000000000001</v>
      </c>
      <c r="V14" s="87">
        <v>1.7769999999999999</v>
      </c>
      <c r="W14" s="87">
        <v>1.8260000000000001</v>
      </c>
      <c r="X14" s="87">
        <v>1.8759999999999999</v>
      </c>
      <c r="Y14" s="87">
        <v>1.9239999999999999</v>
      </c>
      <c r="Z14" s="87">
        <v>1.9710000000000001</v>
      </c>
      <c r="AA14" s="87">
        <v>2.0169999999999999</v>
      </c>
    </row>
    <row r="15" spans="1:28" x14ac:dyDescent="0.2">
      <c r="A15" s="29" t="s">
        <v>959</v>
      </c>
      <c r="C15" s="87">
        <v>0.1</v>
      </c>
      <c r="D15" s="87">
        <v>7.0000000000000001E-3</v>
      </c>
      <c r="E15" s="87">
        <v>1.7999999999999999E-2</v>
      </c>
      <c r="F15" s="87">
        <v>1.0999999999999999E-2</v>
      </c>
      <c r="G15" s="87">
        <v>1.2E-2</v>
      </c>
      <c r="H15" s="87">
        <v>1.0999999999999999E-2</v>
      </c>
      <c r="I15" s="87">
        <v>0</v>
      </c>
      <c r="J15" s="87">
        <v>1.0999999999999999E-2</v>
      </c>
      <c r="K15" s="87">
        <v>1.0999999999999999E-2</v>
      </c>
      <c r="L15" s="87">
        <v>0.01</v>
      </c>
      <c r="M15" s="87">
        <v>0.01</v>
      </c>
      <c r="N15" s="87">
        <v>0.01</v>
      </c>
      <c r="O15" s="87">
        <v>0.01</v>
      </c>
      <c r="P15" s="87">
        <v>0.01</v>
      </c>
      <c r="Q15" s="87">
        <v>1.0999999999999999E-2</v>
      </c>
      <c r="R15" s="87">
        <f>0.01-0.001</f>
        <v>9.0000000000000011E-3</v>
      </c>
      <c r="S15" s="87">
        <f>0.01+0.002</f>
        <v>1.2E-2</v>
      </c>
      <c r="T15" s="87">
        <v>0.01</v>
      </c>
      <c r="U15" s="87">
        <v>0.01</v>
      </c>
      <c r="V15" s="87">
        <v>0.01</v>
      </c>
      <c r="W15" s="87">
        <v>0.01</v>
      </c>
      <c r="X15" s="87">
        <f>0.01+0.001</f>
        <v>1.0999999999999999E-2</v>
      </c>
      <c r="Y15" s="87">
        <f>0.01+0.001</f>
        <v>1.0999999999999999E-2</v>
      </c>
      <c r="Z15" s="87">
        <v>1.0999999999999999E-2</v>
      </c>
      <c r="AA15" s="87">
        <v>1.0999999999999999E-2</v>
      </c>
    </row>
    <row r="16" spans="1:28" x14ac:dyDescent="0.2">
      <c r="A16" s="72" t="s">
        <v>1276</v>
      </c>
      <c r="C16" s="87">
        <v>0.48799999999999999</v>
      </c>
      <c r="D16" s="87">
        <v>0.48699999999999999</v>
      </c>
      <c r="E16" s="87">
        <v>0.53200000000000003</v>
      </c>
      <c r="F16" s="87">
        <v>0.72799999999999998</v>
      </c>
      <c r="G16" s="87">
        <v>0.71299999999999997</v>
      </c>
      <c r="H16" s="87">
        <v>0.70099999999999996</v>
      </c>
      <c r="I16" s="87">
        <v>0.53600000000000003</v>
      </c>
      <c r="J16" s="87">
        <v>0.63</v>
      </c>
      <c r="K16" s="87">
        <v>0.60199999999999998</v>
      </c>
      <c r="L16" s="87">
        <v>0.65900000000000003</v>
      </c>
      <c r="M16" s="87">
        <v>0.67</v>
      </c>
      <c r="N16" s="87">
        <v>0.67600000000000005</v>
      </c>
      <c r="O16" s="87">
        <v>0.68</v>
      </c>
      <c r="P16" s="87">
        <v>0.68500000000000005</v>
      </c>
      <c r="Q16" s="87">
        <v>0.69499999999999995</v>
      </c>
      <c r="R16" s="87">
        <v>0.66800000000000004</v>
      </c>
      <c r="S16" s="87">
        <v>0.68799999999999994</v>
      </c>
      <c r="T16" s="87">
        <v>0.70699999999999996</v>
      </c>
      <c r="U16" s="87">
        <v>0.72699999999999998</v>
      </c>
      <c r="V16" s="87">
        <v>0.74399999999999999</v>
      </c>
      <c r="W16" s="87">
        <v>0.76400000000000001</v>
      </c>
      <c r="X16" s="87">
        <v>0.78400000000000003</v>
      </c>
      <c r="Y16" s="87">
        <v>0.8</v>
      </c>
      <c r="Z16" s="87">
        <v>0.81599999999999995</v>
      </c>
      <c r="AA16" s="87">
        <v>0.83299999999999996</v>
      </c>
    </row>
    <row r="17" spans="1:27" x14ac:dyDescent="0.2">
      <c r="A17" s="72" t="s">
        <v>1277</v>
      </c>
      <c r="C17" s="87">
        <v>0.55500000000000005</v>
      </c>
      <c r="D17" s="87">
        <v>0.629</v>
      </c>
      <c r="E17" s="87">
        <v>0.71</v>
      </c>
      <c r="F17" s="87">
        <v>0.754</v>
      </c>
      <c r="G17" s="87">
        <v>0.80200000000000005</v>
      </c>
      <c r="H17" s="87">
        <v>0.877</v>
      </c>
      <c r="I17" s="87">
        <v>1.054</v>
      </c>
      <c r="J17" s="87">
        <v>1.032</v>
      </c>
      <c r="K17" s="87">
        <v>1.1140000000000001</v>
      </c>
      <c r="L17" s="87">
        <v>1.208</v>
      </c>
      <c r="M17" s="87">
        <v>1.2769999999999999</v>
      </c>
      <c r="N17" s="87">
        <v>1.3360000000000001</v>
      </c>
      <c r="O17" s="87">
        <v>1.427</v>
      </c>
      <c r="P17" s="87">
        <v>1.504</v>
      </c>
      <c r="Q17" s="87">
        <v>1.5840000000000001</v>
      </c>
      <c r="R17" s="87">
        <v>1.5509999999999999</v>
      </c>
      <c r="S17" s="87">
        <v>1.5489999999999999</v>
      </c>
      <c r="T17" s="87">
        <v>1.5780000000000001</v>
      </c>
      <c r="U17" s="87">
        <v>1.6120000000000001</v>
      </c>
      <c r="V17" s="87">
        <v>1.649</v>
      </c>
      <c r="W17" s="87">
        <v>1.675</v>
      </c>
      <c r="X17" s="87">
        <v>1.716</v>
      </c>
      <c r="Y17" s="87">
        <v>1.7529999999999999</v>
      </c>
      <c r="Z17" s="87">
        <v>1.7929999999999999</v>
      </c>
      <c r="AA17" s="87">
        <v>1.833</v>
      </c>
    </row>
    <row r="18" spans="1:27" x14ac:dyDescent="0.2">
      <c r="A18" s="29" t="s">
        <v>89</v>
      </c>
      <c r="C18" s="87">
        <v>0.36</v>
      </c>
      <c r="D18" s="87">
        <v>0.40699999999999997</v>
      </c>
      <c r="E18" s="87">
        <v>0.46500000000000002</v>
      </c>
      <c r="F18" s="87">
        <v>0.46300000000000002</v>
      </c>
      <c r="G18" s="87">
        <v>0.48399999999999999</v>
      </c>
      <c r="H18" s="87">
        <v>0.52600000000000002</v>
      </c>
      <c r="I18" s="87">
        <v>0.59</v>
      </c>
      <c r="J18" s="87">
        <v>0.57899999999999996</v>
      </c>
      <c r="K18" s="87">
        <v>0.60399999999999998</v>
      </c>
      <c r="L18" s="87">
        <v>0.60299999999999998</v>
      </c>
      <c r="M18" s="87">
        <v>0.59</v>
      </c>
      <c r="N18" s="87">
        <v>0.60099999999999998</v>
      </c>
      <c r="O18" s="87">
        <v>0.59899999999999998</v>
      </c>
      <c r="P18" s="87">
        <v>0.59099999999999997</v>
      </c>
      <c r="Q18" s="87">
        <v>0.57799999999999996</v>
      </c>
      <c r="R18" s="87">
        <v>0.57499999999999996</v>
      </c>
      <c r="S18" s="87">
        <v>0.57899999999999996</v>
      </c>
      <c r="T18" s="87">
        <v>0.58499999999999996</v>
      </c>
      <c r="U18" s="87">
        <v>0.59099999999999997</v>
      </c>
      <c r="V18" s="87">
        <v>0.59699999999999998</v>
      </c>
      <c r="W18" s="87">
        <v>0.60299999999999998</v>
      </c>
      <c r="X18" s="87">
        <v>0.60899999999999999</v>
      </c>
      <c r="Y18" s="87">
        <v>0.61599999999999999</v>
      </c>
      <c r="Z18" s="87">
        <v>0.622</v>
      </c>
      <c r="AA18" s="87">
        <v>0.627</v>
      </c>
    </row>
    <row r="19" spans="1:27" x14ac:dyDescent="0.2">
      <c r="A19" s="72" t="s">
        <v>1278</v>
      </c>
      <c r="C19" s="87">
        <v>0.151</v>
      </c>
      <c r="D19" s="87">
        <v>-0.23100000000000001</v>
      </c>
      <c r="E19" s="87">
        <v>0.77900000000000003</v>
      </c>
      <c r="F19" s="87">
        <v>0.28000000000000003</v>
      </c>
      <c r="G19" s="87">
        <v>-0.125</v>
      </c>
      <c r="H19" s="87">
        <v>-0.28599999999999998</v>
      </c>
      <c r="I19" s="87">
        <v>0.48399999999999999</v>
      </c>
      <c r="J19" s="87">
        <v>1.2E-2</v>
      </c>
      <c r="K19" s="87">
        <v>0.26900000000000002</v>
      </c>
      <c r="L19" s="87">
        <v>0.14000000000000001</v>
      </c>
      <c r="M19" s="87">
        <v>-0.05</v>
      </c>
      <c r="N19" s="87">
        <v>0.1</v>
      </c>
      <c r="O19" s="87">
        <v>0.1</v>
      </c>
      <c r="P19" s="87">
        <v>0.1</v>
      </c>
      <c r="Q19" s="87">
        <v>0.1</v>
      </c>
      <c r="R19" s="87">
        <v>0</v>
      </c>
      <c r="S19" s="87">
        <v>0</v>
      </c>
      <c r="T19" s="87">
        <v>0</v>
      </c>
      <c r="U19" s="87">
        <v>0</v>
      </c>
      <c r="V19" s="87">
        <v>0</v>
      </c>
      <c r="W19" s="87">
        <v>0</v>
      </c>
      <c r="X19" s="87">
        <v>0</v>
      </c>
      <c r="Y19" s="87">
        <v>0</v>
      </c>
      <c r="Z19" s="87">
        <v>0</v>
      </c>
      <c r="AA19" s="87">
        <v>0</v>
      </c>
    </row>
    <row r="20" spans="1:27" x14ac:dyDescent="0.2">
      <c r="A20" s="76" t="s">
        <v>87</v>
      </c>
      <c r="B20" s="88">
        <v>5.569</v>
      </c>
      <c r="C20" s="88">
        <v>6.0110000000000001</v>
      </c>
      <c r="D20" s="88">
        <v>6.7409999999999997</v>
      </c>
      <c r="E20" s="88">
        <v>6.552999999999999</v>
      </c>
      <c r="F20" s="88">
        <v>6.79</v>
      </c>
      <c r="G20" s="88">
        <v>7.4599999999999982</v>
      </c>
      <c r="H20" s="88">
        <v>8.2909999999999968</v>
      </c>
      <c r="I20" s="88">
        <v>8.2879999999999967</v>
      </c>
      <c r="J20" s="88">
        <v>8.7159999999999958</v>
      </c>
      <c r="K20" s="88">
        <v>8.8639999999999937</v>
      </c>
      <c r="L20" s="88">
        <v>8.9819999999999993</v>
      </c>
      <c r="M20" s="88">
        <v>9.1780000000000008</v>
      </c>
      <c r="N20" s="88">
        <v>9.2100000000000009</v>
      </c>
      <c r="O20" s="88">
        <v>9.1560000000000006</v>
      </c>
      <c r="P20" s="88">
        <v>9.0250000000000004</v>
      </c>
      <c r="Q20" s="88">
        <v>8.8140000000000001</v>
      </c>
      <c r="R20" s="88">
        <v>8.7910000000000004</v>
      </c>
      <c r="S20" s="88">
        <v>8.7940000000000005</v>
      </c>
      <c r="T20" s="88">
        <v>8.7940000000000005</v>
      </c>
      <c r="U20" s="88">
        <v>8.7889999999999997</v>
      </c>
      <c r="V20" s="88">
        <v>8.7799999999999994</v>
      </c>
      <c r="W20" s="88">
        <v>8.7799999999999994</v>
      </c>
      <c r="X20" s="88">
        <v>8.7759999999999998</v>
      </c>
      <c r="Y20" s="88">
        <v>8.7739999999999991</v>
      </c>
      <c r="Z20" s="88">
        <v>8.7690000000000001</v>
      </c>
      <c r="AA20" s="88">
        <v>8.7579999999999991</v>
      </c>
    </row>
    <row r="22" spans="1:27" x14ac:dyDescent="0.2">
      <c r="A22" s="76" t="s">
        <v>90</v>
      </c>
      <c r="B22" s="76" t="s">
        <v>83</v>
      </c>
    </row>
    <row r="23" spans="1:27" x14ac:dyDescent="0.2">
      <c r="A23" s="29" t="s">
        <v>91</v>
      </c>
      <c r="L23" s="87">
        <v>3.8734403041776111</v>
      </c>
      <c r="M23" s="87">
        <v>3.910206006509739</v>
      </c>
      <c r="N23" s="87">
        <v>4.1755762635296456</v>
      </c>
      <c r="O23" s="87">
        <v>4.4175083068739411</v>
      </c>
      <c r="P23" s="87">
        <v>4.4936212487112179</v>
      </c>
      <c r="Q23" s="87">
        <v>5.0468375306744528</v>
      </c>
      <c r="R23" s="87">
        <v>5.1946989261504406</v>
      </c>
      <c r="S23" s="87">
        <v>5.3771748407881681</v>
      </c>
      <c r="T23" s="87">
        <v>5.585024024470111</v>
      </c>
      <c r="U23" s="87">
        <v>5.8017890769285758</v>
      </c>
      <c r="V23" s="87">
        <v>6.0832745428886916</v>
      </c>
      <c r="W23" s="87">
        <v>6.2757152871420274</v>
      </c>
      <c r="X23" s="87">
        <v>6.4914176690770118</v>
      </c>
      <c r="Y23" s="87">
        <v>6.7245276558850868</v>
      </c>
      <c r="Z23" s="87">
        <v>6.9560178690561152</v>
      </c>
      <c r="AA23" s="87">
        <v>7.2085684743807255</v>
      </c>
    </row>
    <row r="24" spans="1:27" x14ac:dyDescent="0.2">
      <c r="A24" s="29" t="s">
        <v>93</v>
      </c>
      <c r="L24" s="87">
        <v>1.0911766161621212</v>
      </c>
      <c r="M24" s="87">
        <v>1.2050045446867061</v>
      </c>
      <c r="N24" s="87">
        <v>1.309537588938908</v>
      </c>
      <c r="O24" s="87">
        <v>1.4165126594321282</v>
      </c>
      <c r="P24" s="87">
        <v>1.4165126594321282</v>
      </c>
      <c r="Q24" s="87">
        <v>1.8200506205062863</v>
      </c>
      <c r="R24" s="87">
        <v>1.8186788553843682</v>
      </c>
      <c r="S24" s="87">
        <v>1.838998004154573</v>
      </c>
      <c r="T24" s="87">
        <v>1.8887069506653527</v>
      </c>
      <c r="U24" s="87">
        <v>1.9382254926245477</v>
      </c>
      <c r="V24" s="87">
        <v>2.0461478139751907</v>
      </c>
      <c r="W24" s="87">
        <v>2.0523469851977887</v>
      </c>
      <c r="X24" s="87">
        <v>2.0931139614124339</v>
      </c>
      <c r="Y24" s="87">
        <v>2.1343984027545639</v>
      </c>
      <c r="Z24" s="87">
        <v>2.1752445102841209</v>
      </c>
      <c r="AA24" s="87">
        <v>2.2156254545592575</v>
      </c>
    </row>
    <row r="25" spans="1:27" x14ac:dyDescent="0.2">
      <c r="A25" s="29" t="s">
        <v>92</v>
      </c>
      <c r="L25" s="87">
        <v>3.928072957073439</v>
      </c>
      <c r="M25" s="87">
        <v>4.1714332698286363</v>
      </c>
      <c r="N25" s="87">
        <v>4.3999853460330591</v>
      </c>
      <c r="O25" s="87">
        <v>4.6421996430643251</v>
      </c>
      <c r="P25" s="87">
        <v>4.8511713144337882</v>
      </c>
      <c r="Q25" s="87">
        <v>5.0680093330955964</v>
      </c>
      <c r="R25" s="87">
        <v>5.3045600874412377</v>
      </c>
      <c r="S25" s="87">
        <v>5.5462247147220376</v>
      </c>
      <c r="T25" s="87">
        <v>5.8115178904847342</v>
      </c>
      <c r="U25" s="87">
        <v>6.0544790973547649</v>
      </c>
      <c r="V25" s="87">
        <v>6.3087279935611367</v>
      </c>
      <c r="W25" s="87">
        <v>6.5570842829193081</v>
      </c>
      <c r="X25" s="87">
        <v>6.8129593813090565</v>
      </c>
      <c r="Y25" s="87">
        <v>7.0766804524805718</v>
      </c>
      <c r="Z25" s="87">
        <v>7.3485892678783529</v>
      </c>
      <c r="AA25" s="87">
        <v>7.6290428726417758</v>
      </c>
    </row>
    <row r="26" spans="1:27" x14ac:dyDescent="0.2">
      <c r="A26" s="29" t="s">
        <v>94</v>
      </c>
      <c r="L26" s="87">
        <v>1.110445858186718</v>
      </c>
      <c r="M26" s="87">
        <v>1.1877393241778593</v>
      </c>
      <c r="N26" s="87">
        <v>1.2556494190861835</v>
      </c>
      <c r="O26" s="87">
        <v>1.3354183438600151</v>
      </c>
      <c r="P26" s="87">
        <v>1.400077051475983</v>
      </c>
      <c r="Q26" s="87">
        <v>1.4691427403627966</v>
      </c>
      <c r="R26" s="87">
        <v>1.5458142780959074</v>
      </c>
      <c r="S26" s="87">
        <v>1.6209674346095473</v>
      </c>
      <c r="T26" s="87">
        <v>1.7114280756645355</v>
      </c>
      <c r="U26" s="87">
        <v>1.7881698063860858</v>
      </c>
      <c r="V26" s="87">
        <v>1.8709767051703992</v>
      </c>
      <c r="W26" s="87">
        <v>1.9406853806129563</v>
      </c>
      <c r="X26" s="87">
        <v>2.0103940560555045</v>
      </c>
      <c r="Y26" s="87">
        <v>2.0801027314980582</v>
      </c>
      <c r="Z26" s="87">
        <v>2.149811406940616</v>
      </c>
      <c r="AA26" s="87">
        <v>2.2195200823831613</v>
      </c>
    </row>
    <row r="27" spans="1:27" x14ac:dyDescent="0.2">
      <c r="A27" s="29" t="s">
        <v>95</v>
      </c>
      <c r="L27" s="87">
        <v>1.4989541388184615</v>
      </c>
      <c r="M27" s="87">
        <v>1.5711149604916601</v>
      </c>
      <c r="N27" s="87">
        <v>1.6378855173678601</v>
      </c>
      <c r="O27" s="87">
        <v>1.7086456694384553</v>
      </c>
      <c r="P27" s="87">
        <v>1.780365382622118</v>
      </c>
      <c r="Q27" s="87">
        <v>1.8613922077760958</v>
      </c>
      <c r="R27" s="87">
        <v>1.9533236241720935</v>
      </c>
      <c r="S27" s="87">
        <v>2.0462310864710265</v>
      </c>
      <c r="T27" s="87">
        <v>2.1419688274120814</v>
      </c>
      <c r="U27" s="87">
        <v>2.2386050339984438</v>
      </c>
      <c r="V27" s="87">
        <v>2.3380511006105502</v>
      </c>
      <c r="W27" s="87">
        <v>2.4428432646674922</v>
      </c>
      <c r="X27" s="87">
        <v>2.5508987471806788</v>
      </c>
      <c r="Y27" s="87">
        <v>2.6614225709042212</v>
      </c>
      <c r="Z27" s="87">
        <v>2.7753453433143265</v>
      </c>
      <c r="AA27" s="87">
        <v>2.8931036969010862</v>
      </c>
    </row>
    <row r="28" spans="1:27" x14ac:dyDescent="0.2">
      <c r="A28" s="29" t="s">
        <v>96</v>
      </c>
      <c r="L28" s="87">
        <v>33.274214647141378</v>
      </c>
      <c r="M28" s="87">
        <v>34.584102344314132</v>
      </c>
      <c r="N28" s="87">
        <v>35.997578779178582</v>
      </c>
      <c r="O28" s="87">
        <v>37.481533112426654</v>
      </c>
      <c r="P28" s="87">
        <v>38.904348429326205</v>
      </c>
      <c r="Q28" s="87">
        <v>40.744568834681154</v>
      </c>
      <c r="R28" s="87">
        <v>42.588031297562452</v>
      </c>
      <c r="S28" s="87">
        <v>44.465212510099605</v>
      </c>
      <c r="T28" s="87">
        <v>46.380687471497055</v>
      </c>
      <c r="U28" s="87">
        <v>48.366602485069315</v>
      </c>
      <c r="V28" s="87">
        <v>50.479200135007432</v>
      </c>
      <c r="W28" s="87">
        <v>52.640674404897638</v>
      </c>
      <c r="X28" s="87">
        <v>54.870031441846265</v>
      </c>
      <c r="Y28" s="87">
        <v>57.179301219155015</v>
      </c>
      <c r="Z28" s="87">
        <v>59.562075167647102</v>
      </c>
      <c r="AA28" s="87">
        <v>62.034704471287135</v>
      </c>
    </row>
    <row r="29" spans="1:27" x14ac:dyDescent="0.2">
      <c r="A29" s="29" t="s">
        <v>97</v>
      </c>
      <c r="L29" s="87">
        <v>34.799859471064067</v>
      </c>
      <c r="M29" s="87">
        <v>36.278018069792772</v>
      </c>
      <c r="N29" s="87">
        <v>37.789062317377955</v>
      </c>
      <c r="O29" s="87">
        <v>39.340907877977465</v>
      </c>
      <c r="P29" s="87">
        <v>40.978560290817406</v>
      </c>
      <c r="Q29" s="87">
        <v>42.705437591638734</v>
      </c>
      <c r="R29" s="87">
        <v>44.518302012460175</v>
      </c>
      <c r="S29" s="87">
        <v>46.414703067525437</v>
      </c>
      <c r="T29" s="87">
        <v>48.381101897472945</v>
      </c>
      <c r="U29" s="87">
        <v>50.451703031977523</v>
      </c>
      <c r="V29" s="87">
        <v>52.532167806931042</v>
      </c>
      <c r="W29" s="87">
        <v>54.683859036343193</v>
      </c>
      <c r="X29" s="87">
        <v>56.888229651006661</v>
      </c>
      <c r="Y29" s="87">
        <v>59.150360741304148</v>
      </c>
      <c r="Z29" s="87">
        <v>61.495163844094066</v>
      </c>
      <c r="AA29" s="87">
        <v>63.926573468290876</v>
      </c>
    </row>
    <row r="31" spans="1:27" x14ac:dyDescent="0.2">
      <c r="A31" s="76" t="s">
        <v>98</v>
      </c>
      <c r="B31" s="76" t="s">
        <v>83</v>
      </c>
    </row>
    <row r="32" spans="1:27" x14ac:dyDescent="0.2">
      <c r="A32" s="29" t="s">
        <v>99</v>
      </c>
      <c r="L32" s="87">
        <v>0.40600000000000003</v>
      </c>
      <c r="M32" s="87">
        <v>0.433</v>
      </c>
      <c r="N32" s="87">
        <v>0.44800000000000001</v>
      </c>
      <c r="O32" s="87">
        <v>0.45</v>
      </c>
      <c r="P32" s="87">
        <v>0.44</v>
      </c>
      <c r="Q32" s="87">
        <v>0.42799999999999999</v>
      </c>
      <c r="R32" s="87">
        <v>0.41299999999999998</v>
      </c>
      <c r="S32" s="87">
        <v>0.40600000000000003</v>
      </c>
      <c r="T32" s="87">
        <v>0.40899999999999997</v>
      </c>
      <c r="U32" s="87">
        <v>0.41099999999999998</v>
      </c>
      <c r="V32" s="87">
        <v>0.41299999999999998</v>
      </c>
      <c r="W32" s="87">
        <v>0.41399999999999998</v>
      </c>
      <c r="X32" s="87">
        <v>0.40899999999999997</v>
      </c>
      <c r="Y32" s="87">
        <v>0.39300000000000002</v>
      </c>
      <c r="Z32" s="87">
        <v>0.378</v>
      </c>
      <c r="AA32" s="87">
        <v>0.36099999999999999</v>
      </c>
    </row>
    <row r="33" spans="1:27" x14ac:dyDescent="0.2">
      <c r="A33" s="29" t="s">
        <v>96</v>
      </c>
      <c r="L33" s="87">
        <v>3.2450000000000001</v>
      </c>
      <c r="M33" s="87">
        <v>3.2749999999999999</v>
      </c>
      <c r="N33" s="87">
        <v>3.2650000000000001</v>
      </c>
      <c r="O33" s="87">
        <v>3.246</v>
      </c>
      <c r="P33" s="87">
        <v>3.2149999999999999</v>
      </c>
      <c r="Q33" s="87">
        <v>3.1739999999999999</v>
      </c>
      <c r="R33" s="87">
        <v>3.1240000000000001</v>
      </c>
      <c r="S33" s="87">
        <v>3.0649999999999999</v>
      </c>
      <c r="T33" s="87">
        <v>2.9990000000000001</v>
      </c>
      <c r="U33" s="87">
        <v>2.9239999999999999</v>
      </c>
      <c r="V33" s="87">
        <v>2.843</v>
      </c>
      <c r="W33" s="87">
        <v>2.7570000000000001</v>
      </c>
      <c r="X33" s="87">
        <v>2.6659999999999999</v>
      </c>
      <c r="Y33" s="87">
        <v>2.5710000000000002</v>
      </c>
      <c r="Z33" s="87">
        <v>2.4729999999999999</v>
      </c>
      <c r="AA33" s="87">
        <v>2.371</v>
      </c>
    </row>
    <row r="34" spans="1:27" x14ac:dyDescent="0.2">
      <c r="A34" s="29" t="s">
        <v>97</v>
      </c>
      <c r="L34" s="87">
        <v>13.744999999999999</v>
      </c>
      <c r="M34" s="87">
        <v>13.493</v>
      </c>
      <c r="N34" s="87">
        <v>13.244999999999999</v>
      </c>
      <c r="O34" s="87">
        <v>12.984999999999999</v>
      </c>
      <c r="P34" s="87">
        <v>12.689</v>
      </c>
      <c r="Q34" s="87">
        <v>12.366</v>
      </c>
      <c r="R34" s="87">
        <v>12.019</v>
      </c>
      <c r="S34" s="87">
        <v>11.656000000000001</v>
      </c>
      <c r="T34" s="87">
        <v>11.29</v>
      </c>
      <c r="U34" s="87">
        <v>10.92</v>
      </c>
      <c r="V34" s="87">
        <v>10.553000000000001</v>
      </c>
      <c r="W34" s="87">
        <v>10.186999999999999</v>
      </c>
      <c r="X34" s="87">
        <v>9.8190000000000008</v>
      </c>
      <c r="Y34" s="87">
        <v>9.44</v>
      </c>
      <c r="Z34" s="87">
        <v>9.0530000000000008</v>
      </c>
      <c r="AA34" s="87">
        <v>8.6560000000000006</v>
      </c>
    </row>
    <row r="36" spans="1:27" x14ac:dyDescent="0.2">
      <c r="A36" s="76" t="s">
        <v>100</v>
      </c>
      <c r="B36" s="76" t="s">
        <v>83</v>
      </c>
      <c r="D36" s="87">
        <v>1.1020000000000001</v>
      </c>
      <c r="E36" s="87">
        <v>1.2809999999999999</v>
      </c>
      <c r="F36" s="87">
        <v>1.024</v>
      </c>
      <c r="G36" s="87">
        <v>1.0409999999999999</v>
      </c>
      <c r="H36" s="87">
        <v>0.68899999999999995</v>
      </c>
      <c r="I36" s="87">
        <v>0.72299999999999998</v>
      </c>
      <c r="J36" s="87">
        <v>0.80400000000000005</v>
      </c>
      <c r="K36" s="87">
        <v>0.85499999999999998</v>
      </c>
      <c r="L36" s="87">
        <v>0.69799999999999995</v>
      </c>
      <c r="M36" s="87">
        <v>0.80500000000000005</v>
      </c>
      <c r="N36" s="87">
        <v>0.82799999999999996</v>
      </c>
      <c r="O36" s="87">
        <v>0.86899999999999999</v>
      </c>
      <c r="P36" s="87">
        <v>0.90900000000000003</v>
      </c>
      <c r="Q36" s="87">
        <v>0.95399999999999996</v>
      </c>
      <c r="R36" s="87">
        <v>0.995</v>
      </c>
    </row>
    <row r="37" spans="1:27" x14ac:dyDescent="0.2">
      <c r="A37" s="76"/>
      <c r="B37" s="76"/>
    </row>
    <row r="38" spans="1:27" x14ac:dyDescent="0.2">
      <c r="A38" s="76" t="s">
        <v>538</v>
      </c>
      <c r="B38" s="76" t="s">
        <v>539</v>
      </c>
      <c r="C38" s="87">
        <v>2.4790000000000001</v>
      </c>
      <c r="D38" s="87">
        <v>0.70099999999999996</v>
      </c>
      <c r="E38" s="87">
        <v>1.6539999999999999</v>
      </c>
      <c r="F38" s="87">
        <v>0.59</v>
      </c>
      <c r="G38" s="87">
        <v>1.01</v>
      </c>
      <c r="H38" s="87">
        <v>1.0029999999999999</v>
      </c>
      <c r="I38" s="87">
        <v>0.92500000000000004</v>
      </c>
      <c r="J38" s="87">
        <v>1.069</v>
      </c>
      <c r="K38" s="87">
        <v>0.873</v>
      </c>
      <c r="L38" s="87">
        <v>0.68</v>
      </c>
      <c r="M38" s="87">
        <v>0.75</v>
      </c>
      <c r="N38" s="87">
        <v>0.8</v>
      </c>
      <c r="O38" s="87">
        <v>0.8</v>
      </c>
      <c r="P38" s="87">
        <v>0.8</v>
      </c>
      <c r="Q38" s="87">
        <v>0.8</v>
      </c>
      <c r="R38" s="87"/>
    </row>
    <row r="40" spans="1:27" x14ac:dyDescent="0.2">
      <c r="A40" s="76" t="s">
        <v>449</v>
      </c>
    </row>
    <row r="41" spans="1:27" x14ac:dyDescent="0.2">
      <c r="A41" s="29" t="s">
        <v>450</v>
      </c>
      <c r="B41" s="92">
        <v>0.05</v>
      </c>
      <c r="D41" s="29" t="s">
        <v>459</v>
      </c>
      <c r="I41" s="92">
        <v>0.03</v>
      </c>
      <c r="K41" s="29" t="s">
        <v>465</v>
      </c>
      <c r="P41" s="92">
        <v>0.02</v>
      </c>
    </row>
    <row r="42" spans="1:27" x14ac:dyDescent="0.2">
      <c r="A42" s="29" t="s">
        <v>451</v>
      </c>
      <c r="B42" s="92">
        <v>0.25</v>
      </c>
      <c r="D42" s="29" t="s">
        <v>461</v>
      </c>
      <c r="I42" s="92">
        <v>0.23</v>
      </c>
      <c r="K42" s="29" t="s">
        <v>466</v>
      </c>
      <c r="P42" s="92">
        <v>0.41</v>
      </c>
    </row>
    <row r="43" spans="1:27" x14ac:dyDescent="0.2">
      <c r="A43" s="29" t="s">
        <v>452</v>
      </c>
      <c r="B43" s="92">
        <v>0.25</v>
      </c>
      <c r="D43" s="29" t="s">
        <v>462</v>
      </c>
      <c r="I43" s="92">
        <v>0.21</v>
      </c>
      <c r="K43" s="29" t="s">
        <v>467</v>
      </c>
      <c r="P43" s="92">
        <v>0.4</v>
      </c>
    </row>
    <row r="44" spans="1:27" x14ac:dyDescent="0.2">
      <c r="A44" s="29" t="s">
        <v>455</v>
      </c>
      <c r="B44" s="92">
        <v>0.21</v>
      </c>
      <c r="D44" s="29" t="s">
        <v>463</v>
      </c>
      <c r="I44" s="92">
        <v>0.31</v>
      </c>
      <c r="K44" s="29" t="s">
        <v>468</v>
      </c>
      <c r="P44" s="92">
        <v>0.09</v>
      </c>
    </row>
    <row r="45" spans="1:27" x14ac:dyDescent="0.2">
      <c r="A45" s="29" t="s">
        <v>454</v>
      </c>
      <c r="B45" s="92">
        <v>0.2</v>
      </c>
      <c r="D45" s="29" t="s">
        <v>464</v>
      </c>
      <c r="I45" s="92">
        <v>0.19</v>
      </c>
      <c r="K45" s="29" t="s">
        <v>469</v>
      </c>
      <c r="P45" s="92">
        <v>0.08</v>
      </c>
    </row>
    <row r="46" spans="1:27" x14ac:dyDescent="0.2">
      <c r="A46" s="29" t="s">
        <v>453</v>
      </c>
      <c r="B46" s="92">
        <v>0.04</v>
      </c>
      <c r="D46" s="29" t="s">
        <v>460</v>
      </c>
      <c r="I46" s="92">
        <v>0.03</v>
      </c>
      <c r="K46" s="29" t="s">
        <v>470</v>
      </c>
      <c r="P46" s="92">
        <v>0</v>
      </c>
    </row>
    <row r="47" spans="1:27" x14ac:dyDescent="0.2">
      <c r="B47" s="93">
        <f>SUM($B$41:$B$46)</f>
        <v>1</v>
      </c>
      <c r="I47" s="93">
        <f>SUM($I$41:$I$46)</f>
        <v>1</v>
      </c>
      <c r="P47" s="93">
        <f>SUM($P$41:$P$46)</f>
        <v>1</v>
      </c>
    </row>
    <row r="48" spans="1:27" x14ac:dyDescent="0.2">
      <c r="C48" s="29" t="s">
        <v>857</v>
      </c>
    </row>
    <row r="49" spans="1:6" x14ac:dyDescent="0.2">
      <c r="A49" s="113" t="s">
        <v>851</v>
      </c>
      <c r="B49" s="29" t="s">
        <v>852</v>
      </c>
      <c r="C49" s="29" t="s">
        <v>858</v>
      </c>
      <c r="D49" s="29" t="s">
        <v>859</v>
      </c>
      <c r="E49" s="29" t="s">
        <v>860</v>
      </c>
      <c r="F49" s="29" t="s">
        <v>871</v>
      </c>
    </row>
    <row r="50" spans="1:6" x14ac:dyDescent="0.2">
      <c r="A50" s="114" t="s">
        <v>1281</v>
      </c>
      <c r="B50" s="94">
        <v>0.105</v>
      </c>
      <c r="C50" s="95">
        <v>22000</v>
      </c>
      <c r="D50" s="95">
        <f>$C$50*(1-$B$50)</f>
        <v>19690</v>
      </c>
      <c r="E50" s="95">
        <f>$C$50-$D$50</f>
        <v>2310</v>
      </c>
    </row>
    <row r="51" spans="1:6" x14ac:dyDescent="0.2">
      <c r="A51" s="114" t="s">
        <v>1282</v>
      </c>
      <c r="B51" s="94">
        <v>0.17499999999999999</v>
      </c>
      <c r="C51" s="95">
        <v>52000</v>
      </c>
      <c r="D51" s="95">
        <f>$C$51*(1-$B$51)+$C$50*($B$51-$B$50)</f>
        <v>44440</v>
      </c>
      <c r="E51" s="95">
        <f>$C$51-$D$51</f>
        <v>7560</v>
      </c>
      <c r="F51" s="95">
        <f>$C$50*($B$51-$B$50)</f>
        <v>1539.9999999999998</v>
      </c>
    </row>
    <row r="52" spans="1:6" x14ac:dyDescent="0.2">
      <c r="A52" s="114" t="s">
        <v>1283</v>
      </c>
      <c r="B52" s="94">
        <v>0.3</v>
      </c>
      <c r="C52" s="95">
        <v>70000</v>
      </c>
      <c r="D52" s="95">
        <f>$C$52*(1-$B$52)+$C$51*($B$52-$B$51)+$C$50*($B$51-$B$50)</f>
        <v>57040</v>
      </c>
      <c r="E52" s="95">
        <f>$C$52-$D$52</f>
        <v>12960</v>
      </c>
      <c r="F52" s="95">
        <f>$C$51*($B$52-$B$51)+$C$50*($B$51-$B$50)</f>
        <v>8040</v>
      </c>
    </row>
    <row r="53" spans="1:6" x14ac:dyDescent="0.2">
      <c r="A53" s="114" t="s">
        <v>853</v>
      </c>
      <c r="B53" s="94">
        <v>0.33</v>
      </c>
      <c r="C53" s="95"/>
      <c r="D53" s="95"/>
      <c r="F53" s="95">
        <f>$C$52*($B$53-$B$52)+$C$51*($B$52-$B$51)+$C$50*($B$51-$B$50)</f>
        <v>10140.000000000002</v>
      </c>
    </row>
    <row r="54" spans="1:6" x14ac:dyDescent="0.2">
      <c r="A54" s="114" t="s">
        <v>856</v>
      </c>
      <c r="B54" s="96">
        <v>1.3899999999999999E-2</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zoomScaleNormal="100" workbookViewId="0">
      <pane xSplit="1" ySplit="5" topLeftCell="B6" activePane="bottomRight" state="frozen"/>
      <selection pane="topRight" activeCell="B1" sqref="B1"/>
      <selection pane="bottomLeft" activeCell="A6" sqref="A6"/>
      <selection pane="bottomRight" activeCell="N48" sqref="N48"/>
    </sheetView>
  </sheetViews>
  <sheetFormatPr defaultRowHeight="14.25" x14ac:dyDescent="0.2"/>
  <cols>
    <col min="1" max="1" width="60.7109375" style="1" customWidth="1"/>
    <col min="2" max="27" width="10.7109375" style="1" customWidth="1"/>
    <col min="28" max="16384" width="9.140625" style="1"/>
  </cols>
  <sheetData>
    <row r="1" spans="1:27" ht="15" x14ac:dyDescent="0.25">
      <c r="A1" s="2" t="s">
        <v>903</v>
      </c>
    </row>
    <row r="2" spans="1:27" ht="15" x14ac:dyDescent="0.25">
      <c r="A2" s="4" t="s">
        <v>904</v>
      </c>
      <c r="E2" s="67" t="s">
        <v>899</v>
      </c>
      <c r="F2" s="5"/>
    </row>
    <row r="4" spans="1:27" ht="15" x14ac:dyDescent="0.25">
      <c r="A4" s="2" t="s">
        <v>11</v>
      </c>
      <c r="B4" s="6" t="s">
        <v>12</v>
      </c>
      <c r="C4" s="6" t="s">
        <v>13</v>
      </c>
      <c r="D4" s="6" t="s">
        <v>14</v>
      </c>
      <c r="E4" s="6" t="s">
        <v>15</v>
      </c>
      <c r="F4" s="6" t="s">
        <v>17</v>
      </c>
      <c r="G4" s="6" t="s">
        <v>16</v>
      </c>
      <c r="H4" s="6" t="s">
        <v>18</v>
      </c>
      <c r="I4" s="6" t="s">
        <v>19</v>
      </c>
      <c r="J4" s="6" t="s">
        <v>20</v>
      </c>
      <c r="K4" s="6" t="s">
        <v>21</v>
      </c>
      <c r="L4" s="6" t="s">
        <v>23</v>
      </c>
      <c r="M4" s="6" t="s">
        <v>24</v>
      </c>
      <c r="N4" s="6" t="s">
        <v>25</v>
      </c>
      <c r="O4" s="6" t="s">
        <v>26</v>
      </c>
      <c r="P4" s="6" t="s">
        <v>27</v>
      </c>
      <c r="Q4" s="6" t="s">
        <v>28</v>
      </c>
      <c r="R4" s="6" t="s">
        <v>29</v>
      </c>
      <c r="S4" s="6" t="s">
        <v>30</v>
      </c>
      <c r="T4" s="6" t="s">
        <v>31</v>
      </c>
      <c r="U4" s="6" t="s">
        <v>32</v>
      </c>
      <c r="V4" s="6" t="s">
        <v>33</v>
      </c>
      <c r="W4" s="6" t="s">
        <v>34</v>
      </c>
      <c r="X4" s="6" t="s">
        <v>35</v>
      </c>
      <c r="Y4" s="6" t="s">
        <v>36</v>
      </c>
      <c r="Z4" s="6" t="s">
        <v>37</v>
      </c>
      <c r="AA4" s="6" t="s">
        <v>38</v>
      </c>
    </row>
    <row r="5" spans="1:27" ht="15" x14ac:dyDescent="0.25">
      <c r="B5" s="2">
        <v>2006</v>
      </c>
      <c r="C5" s="2">
        <v>2007</v>
      </c>
      <c r="D5" s="2">
        <v>2008</v>
      </c>
      <c r="E5" s="2">
        <v>2009</v>
      </c>
      <c r="F5" s="2">
        <v>2010</v>
      </c>
      <c r="G5" s="2">
        <v>2011</v>
      </c>
      <c r="H5" s="2">
        <v>2012</v>
      </c>
      <c r="I5" s="2">
        <v>2013</v>
      </c>
      <c r="J5" s="2">
        <v>2014</v>
      </c>
      <c r="K5" s="2">
        <v>2015</v>
      </c>
      <c r="L5" s="2">
        <v>2016</v>
      </c>
      <c r="M5" s="2">
        <v>2017</v>
      </c>
      <c r="N5" s="2">
        <v>2018</v>
      </c>
      <c r="O5" s="2">
        <v>2019</v>
      </c>
      <c r="P5" s="2">
        <v>2020</v>
      </c>
      <c r="Q5" s="2">
        <v>2021</v>
      </c>
      <c r="R5" s="2">
        <v>2022</v>
      </c>
      <c r="S5" s="2">
        <v>2023</v>
      </c>
      <c r="T5" s="2">
        <v>2024</v>
      </c>
      <c r="U5" s="2">
        <v>2025</v>
      </c>
      <c r="V5" s="2">
        <v>2026</v>
      </c>
      <c r="W5" s="2">
        <v>2027</v>
      </c>
      <c r="X5" s="2">
        <v>2028</v>
      </c>
      <c r="Y5" s="2">
        <v>2029</v>
      </c>
      <c r="Z5" s="2">
        <v>2030</v>
      </c>
      <c r="AA5" s="2">
        <v>2031</v>
      </c>
    </row>
    <row r="6" spans="1:27" ht="15" x14ac:dyDescent="0.25">
      <c r="A6" s="2"/>
      <c r="B6" s="2"/>
      <c r="C6" s="2"/>
      <c r="D6" s="2"/>
      <c r="E6" s="2"/>
      <c r="F6" s="2"/>
      <c r="G6" s="46" t="s">
        <v>513</v>
      </c>
      <c r="H6" s="2"/>
      <c r="I6" s="2"/>
      <c r="J6" s="2"/>
      <c r="K6" s="2"/>
      <c r="L6" s="2"/>
      <c r="M6" s="70">
        <f ca="1">OFFSET('Fiscal Forecasts'!$B$160,0,M$5-'Fiscal Forecasts'!$E$7+3)/AVERAGE(OFFSET('Fiscal Forecasts'!$B$179,0,M$5-'Fiscal Forecasts'!$E$7+2),OFFSET('Fiscal Forecasts'!$B$179,0,M$5-'Fiscal Forecasts'!$E$7+3))</f>
        <v>3.7358717561763247E-2</v>
      </c>
      <c r="N6" s="70">
        <f ca="1">OFFSET('Fiscal Forecasts'!$B$160,0,N$5-'Fiscal Forecasts'!$E$7+3)/AVERAGE(OFFSET('Fiscal Forecasts'!$B$179,0,N$5-'Fiscal Forecasts'!$E$7+2),OFFSET('Fiscal Forecasts'!$B$179,0,N$5-'Fiscal Forecasts'!$E$7+3))</f>
        <v>3.7120444798827659E-2</v>
      </c>
      <c r="O6" s="70">
        <f ca="1">OFFSET('Fiscal Forecasts'!$B$160,0,O$5-'Fiscal Forecasts'!$E$7+3)/AVERAGE(OFFSET('Fiscal Forecasts'!$B$179,0,O$5-'Fiscal Forecasts'!$E$7+2),OFFSET('Fiscal Forecasts'!$B$179,0,O$5-'Fiscal Forecasts'!$E$7+3))</f>
        <v>3.7104676085910497E-2</v>
      </c>
      <c r="P6" s="70">
        <f ca="1">OFFSET('Fiscal Forecasts'!$B$160,0,P$5-'Fiscal Forecasts'!$E$7+3)/AVERAGE(OFFSET('Fiscal Forecasts'!$B$179,0,P$5-'Fiscal Forecasts'!$E$7+2),OFFSET('Fiscal Forecasts'!$B$179,0,P$5-'Fiscal Forecasts'!$E$7+3))</f>
        <v>3.7364197193863621E-2</v>
      </c>
      <c r="Q6" s="70">
        <f ca="1">OFFSET('Fiscal Forecasts'!$B$160,0,Q$5-'Fiscal Forecasts'!$E$7+3)/AVERAGE(OFFSET('Fiscal Forecasts'!$B$179,0,Q$5-'Fiscal Forecasts'!$E$7+2),OFFSET('Fiscal Forecasts'!$B$179,0,Q$5-'Fiscal Forecasts'!$E$7+3))</f>
        <v>3.8549442136431702E-2</v>
      </c>
      <c r="R6" s="2"/>
      <c r="S6" s="2"/>
      <c r="T6" s="2"/>
      <c r="U6" s="2"/>
      <c r="V6" s="2"/>
      <c r="W6" s="2"/>
      <c r="X6" s="2"/>
      <c r="Y6" s="2"/>
      <c r="Z6" s="2"/>
      <c r="AA6" s="2"/>
    </row>
    <row r="7" spans="1:27" ht="15" x14ac:dyDescent="0.25">
      <c r="G7" s="1" t="s">
        <v>922</v>
      </c>
      <c r="M7" s="7">
        <f ca="1">ROUND(M$6/2*(1+M$6/2)*(M$20-Exogenous!M$9),3)</f>
        <v>0</v>
      </c>
      <c r="N7" s="7">
        <f ca="1">ROUND(N$6/2*(1+N$6/2)*(N$20-Exogenous!N$9),3)</f>
        <v>0</v>
      </c>
      <c r="O7" s="7">
        <f ca="1">ROUND(O$6/2*(1+O$6/2)*(O$20-Exogenous!O$9),3)</f>
        <v>0</v>
      </c>
      <c r="P7" s="7">
        <f ca="1">ROUND(P$6/2*(1+P$6/2)*(P$20-Exogenous!P$9),3)</f>
        <v>0</v>
      </c>
      <c r="Q7" s="7">
        <f ca="1">ROUND(Q$6/2*(1+Q$6/2)*(Q$20-Exogenous!Q$9),3)</f>
        <v>0</v>
      </c>
      <c r="S7" s="2"/>
      <c r="T7" s="2"/>
      <c r="U7" s="2"/>
      <c r="V7" s="8"/>
      <c r="W7" s="8"/>
    </row>
    <row r="8" spans="1:27" ht="15" x14ac:dyDescent="0.25">
      <c r="A8" s="4"/>
      <c r="B8" s="4"/>
      <c r="C8" s="4"/>
      <c r="D8" s="4"/>
      <c r="E8" s="4"/>
      <c r="F8" s="4"/>
      <c r="G8" s="1" t="s">
        <v>923</v>
      </c>
      <c r="H8" s="4"/>
      <c r="I8" s="4"/>
      <c r="J8" s="4"/>
      <c r="K8" s="4"/>
      <c r="L8" s="4"/>
      <c r="M8" s="7">
        <f ca="1">ROUND(M$6*SUM($K$10:K$10),3)</f>
        <v>0</v>
      </c>
      <c r="N8" s="7">
        <f ca="1">ROUND(N$6*SUM($K$10:M$10),3)</f>
        <v>0</v>
      </c>
      <c r="O8" s="7">
        <f ca="1">ROUND(O$6*SUM($K$10:N$10),3)</f>
        <v>0</v>
      </c>
      <c r="P8" s="7">
        <f ca="1">ROUND(P$6*SUM($K$10:O$10),3)</f>
        <v>0</v>
      </c>
      <c r="Q8" s="7">
        <f ca="1">ROUND(Q$6*SUM($K$10:P$10),3)</f>
        <v>0</v>
      </c>
      <c r="R8" s="4"/>
      <c r="S8" s="2"/>
      <c r="T8" s="2"/>
      <c r="U8" s="2"/>
      <c r="V8" s="2"/>
      <c r="W8" s="8"/>
      <c r="X8" s="4"/>
      <c r="Y8" s="4"/>
      <c r="Z8" s="4"/>
      <c r="AA8" s="4"/>
    </row>
    <row r="9" spans="1:27" ht="15" x14ac:dyDescent="0.25">
      <c r="G9" s="2" t="s">
        <v>924</v>
      </c>
      <c r="M9" s="8">
        <f ca="1">SUM(M$7:M$8)</f>
        <v>0</v>
      </c>
      <c r="N9" s="8">
        <f ca="1">SUM(N$7:N$8)</f>
        <v>0</v>
      </c>
      <c r="O9" s="8">
        <f ca="1">SUM(O$7:O$8)</f>
        <v>0</v>
      </c>
      <c r="P9" s="8">
        <f ca="1">SUM(P$7:P$8)</f>
        <v>0</v>
      </c>
      <c r="Q9" s="8">
        <f ca="1">SUM(Q$7:Q$8)</f>
        <v>0</v>
      </c>
      <c r="S9" s="2"/>
      <c r="T9" s="2"/>
      <c r="U9" s="2"/>
      <c r="V9" s="8"/>
      <c r="W9" s="8"/>
    </row>
    <row r="10" spans="1:27" ht="15" x14ac:dyDescent="0.25">
      <c r="G10" s="1" t="s">
        <v>939</v>
      </c>
      <c r="M10" s="7">
        <f ca="1">ROUND(SUM(M$20-Exogenous!M$9,M$9),3)</f>
        <v>0</v>
      </c>
      <c r="N10" s="7">
        <f ca="1">ROUND(SUM(N$20-Exogenous!N$9,N$9),3)</f>
        <v>0</v>
      </c>
      <c r="O10" s="7">
        <f ca="1">ROUND(SUM(O$20-Exogenous!O$9,O$9),3)</f>
        <v>0</v>
      </c>
      <c r="P10" s="7">
        <f ca="1">ROUND(SUM(P$20-Exogenous!P$9,P$9),3)</f>
        <v>0</v>
      </c>
      <c r="Q10" s="7">
        <f ca="1">ROUND(SUM(Q$20-Exogenous!Q$9,Q$9),3)</f>
        <v>0</v>
      </c>
      <c r="S10" s="2"/>
      <c r="T10" s="2"/>
      <c r="U10" s="8"/>
      <c r="V10" s="8"/>
      <c r="W10" s="8"/>
    </row>
    <row r="11" spans="1:27" ht="15" x14ac:dyDescent="0.25">
      <c r="A11" s="2"/>
      <c r="B11" s="2"/>
      <c r="C11" s="2"/>
      <c r="D11" s="2"/>
      <c r="E11" s="2"/>
      <c r="F11" s="2"/>
      <c r="G11" s="2" t="s">
        <v>925</v>
      </c>
      <c r="H11" s="2"/>
      <c r="I11" s="2"/>
      <c r="J11" s="2"/>
      <c r="K11" s="2"/>
      <c r="L11" s="2"/>
      <c r="M11" s="8">
        <f ca="1">SUM($K$10:M$10)</f>
        <v>0</v>
      </c>
      <c r="N11" s="8">
        <f ca="1">SUM($K$10:N$10)</f>
        <v>0</v>
      </c>
      <c r="O11" s="8">
        <f ca="1">SUM($K$10:O$10)</f>
        <v>0</v>
      </c>
      <c r="P11" s="8">
        <f ca="1">SUM($K$10:P$10)</f>
        <v>0</v>
      </c>
      <c r="Q11" s="8">
        <f ca="1">SUM($K$10:Q$10)</f>
        <v>0</v>
      </c>
      <c r="R11" s="2"/>
      <c r="S11" s="2"/>
      <c r="T11" s="2"/>
      <c r="U11" s="8"/>
      <c r="V11" s="8"/>
      <c r="W11" s="8"/>
      <c r="X11" s="2"/>
      <c r="Y11" s="2"/>
      <c r="Z11" s="2"/>
      <c r="AA11" s="2"/>
    </row>
    <row r="12" spans="1:27" ht="15" x14ac:dyDescent="0.25">
      <c r="B12" s="2"/>
      <c r="C12" s="2"/>
      <c r="D12" s="8"/>
      <c r="E12" s="8"/>
      <c r="F12" s="8"/>
      <c r="H12" s="8"/>
      <c r="I12" s="8"/>
      <c r="J12" s="8"/>
      <c r="K12" s="8"/>
      <c r="L12" s="8"/>
      <c r="M12" s="8"/>
      <c r="N12" s="8"/>
      <c r="O12" s="8"/>
      <c r="P12" s="8"/>
      <c r="Q12" s="8"/>
      <c r="R12" s="8"/>
      <c r="S12" s="2"/>
      <c r="T12" s="2"/>
      <c r="U12" s="8"/>
      <c r="V12" s="8"/>
      <c r="W12" s="8"/>
      <c r="X12" s="8"/>
      <c r="Y12" s="8"/>
      <c r="Z12" s="8"/>
      <c r="AA12" s="8"/>
    </row>
    <row r="13" spans="1:27" ht="15" x14ac:dyDescent="0.25">
      <c r="A13" s="4"/>
      <c r="B13" s="2"/>
      <c r="C13" s="2"/>
      <c r="D13" s="8"/>
      <c r="E13" s="8"/>
      <c r="F13" s="8"/>
      <c r="G13" s="8"/>
      <c r="H13" s="8"/>
      <c r="I13" s="8" t="s">
        <v>915</v>
      </c>
      <c r="J13" s="8"/>
      <c r="K13" s="8"/>
      <c r="L13" s="8"/>
      <c r="M13" s="8"/>
      <c r="N13" s="8"/>
      <c r="O13" s="8"/>
      <c r="P13" s="8"/>
      <c r="Q13" s="8"/>
      <c r="R13" s="8"/>
      <c r="S13" s="2"/>
      <c r="T13" s="2"/>
      <c r="U13" s="8"/>
      <c r="V13" s="8"/>
      <c r="W13" s="8"/>
      <c r="X13" s="8"/>
      <c r="Y13" s="8"/>
      <c r="Z13" s="8"/>
      <c r="AA13" s="8"/>
    </row>
    <row r="14" spans="1:27" ht="15" x14ac:dyDescent="0.25">
      <c r="A14" s="4"/>
      <c r="B14" s="2"/>
      <c r="C14" s="2"/>
      <c r="D14" s="8"/>
      <c r="E14" s="8"/>
      <c r="F14" s="8"/>
      <c r="G14" s="8"/>
      <c r="H14" s="8"/>
      <c r="I14" s="8"/>
      <c r="J14" s="1" t="s">
        <v>384</v>
      </c>
      <c r="K14" s="8"/>
      <c r="L14" s="8"/>
      <c r="M14" s="16">
        <v>0.83299999999999996</v>
      </c>
      <c r="N14" s="16">
        <v>0.81299999999999994</v>
      </c>
      <c r="O14" s="16">
        <v>0.874</v>
      </c>
      <c r="P14" s="16">
        <v>0.93799999999999994</v>
      </c>
      <c r="Q14" s="16">
        <v>1.006</v>
      </c>
      <c r="R14" s="8"/>
      <c r="S14" s="2"/>
      <c r="T14" s="2"/>
      <c r="U14" s="8"/>
      <c r="V14" s="8"/>
      <c r="W14" s="8"/>
      <c r="X14" s="8"/>
      <c r="Y14" s="8"/>
      <c r="Z14" s="8"/>
      <c r="AA14" s="8"/>
    </row>
    <row r="15" spans="1:27" ht="15" x14ac:dyDescent="0.25">
      <c r="B15" s="2"/>
      <c r="C15" s="2"/>
      <c r="D15" s="8"/>
      <c r="E15" s="8"/>
      <c r="F15" s="8"/>
      <c r="G15" s="8"/>
      <c r="H15" s="8"/>
      <c r="I15" s="8"/>
      <c r="J15" s="1" t="s">
        <v>910</v>
      </c>
      <c r="K15" s="8"/>
      <c r="L15" s="8"/>
      <c r="M15" s="16">
        <v>0.22800000000000001</v>
      </c>
      <c r="N15" s="16">
        <v>0.17799999999999999</v>
      </c>
      <c r="O15" s="16">
        <v>0.185</v>
      </c>
      <c r="P15" s="16">
        <v>0.19600000000000001</v>
      </c>
      <c r="Q15" s="16">
        <v>0.20699999999999999</v>
      </c>
      <c r="R15" s="8"/>
      <c r="S15" s="2"/>
      <c r="T15" s="2"/>
      <c r="U15" s="8"/>
      <c r="V15" s="8"/>
      <c r="W15" s="8"/>
      <c r="X15" s="8"/>
      <c r="Y15" s="8"/>
      <c r="Z15" s="8"/>
      <c r="AA15" s="8"/>
    </row>
    <row r="16" spans="1:27" ht="15" x14ac:dyDescent="0.25">
      <c r="A16" s="4"/>
      <c r="B16" s="2"/>
      <c r="C16" s="2"/>
      <c r="D16" s="8"/>
      <c r="E16" s="8"/>
      <c r="F16" s="8"/>
      <c r="G16" s="8"/>
      <c r="H16" s="8"/>
      <c r="I16" s="8"/>
      <c r="J16" s="1" t="s">
        <v>396</v>
      </c>
      <c r="K16" s="8"/>
      <c r="L16" s="8"/>
      <c r="M16" s="16">
        <v>5.5069999999999997</v>
      </c>
      <c r="N16" s="16">
        <v>2.3650000000000002</v>
      </c>
      <c r="O16" s="16">
        <v>2.5259999999999998</v>
      </c>
      <c r="P16" s="16">
        <v>2.6989999999999998</v>
      </c>
      <c r="Q16" s="16">
        <v>2.883</v>
      </c>
      <c r="R16" s="8"/>
      <c r="S16" s="8"/>
      <c r="T16" s="8"/>
      <c r="U16" s="8"/>
      <c r="V16" s="8"/>
      <c r="W16" s="8"/>
      <c r="X16" s="8"/>
      <c r="Y16" s="8"/>
      <c r="Z16" s="8"/>
      <c r="AA16" s="8"/>
    </row>
    <row r="17" spans="1:27" ht="15" x14ac:dyDescent="0.25">
      <c r="B17" s="2"/>
      <c r="C17" s="2"/>
      <c r="D17" s="8"/>
      <c r="E17" s="8"/>
      <c r="F17" s="8"/>
      <c r="G17" s="8"/>
      <c r="H17" s="8"/>
      <c r="I17" s="8"/>
      <c r="J17" s="8" t="s">
        <v>919</v>
      </c>
      <c r="K17" s="8"/>
      <c r="L17" s="8"/>
      <c r="M17" s="39">
        <f>M$14-M$15+M$16</f>
        <v>6.1120000000000001</v>
      </c>
      <c r="N17" s="39">
        <f>N$14-N$15+N$16</f>
        <v>3</v>
      </c>
      <c r="O17" s="39">
        <f>O$14-O$15+O$16</f>
        <v>3.2149999999999999</v>
      </c>
      <c r="P17" s="39">
        <f>P$14-P$15+P$16</f>
        <v>3.4409999999999998</v>
      </c>
      <c r="Q17" s="39">
        <f>Q$14-Q$15+Q$16</f>
        <v>3.6819999999999999</v>
      </c>
      <c r="R17" s="8"/>
      <c r="S17" s="8"/>
      <c r="T17" s="8"/>
      <c r="U17" s="8"/>
      <c r="V17" s="8"/>
      <c r="W17" s="8"/>
      <c r="X17" s="8"/>
      <c r="Y17" s="8"/>
      <c r="Z17" s="8"/>
      <c r="AA17" s="8"/>
    </row>
    <row r="18" spans="1:27" ht="15" x14ac:dyDescent="0.25">
      <c r="B18" s="2"/>
      <c r="C18" s="2"/>
      <c r="D18" s="8"/>
      <c r="E18" s="8"/>
      <c r="F18" s="8"/>
      <c r="G18" s="8"/>
      <c r="H18" s="8"/>
      <c r="I18" s="8"/>
      <c r="J18" s="8"/>
      <c r="K18" s="8"/>
      <c r="L18" s="8"/>
      <c r="M18" s="39"/>
      <c r="N18" s="39"/>
      <c r="O18" s="39"/>
      <c r="P18" s="39"/>
      <c r="Q18" s="39"/>
      <c r="R18" s="8"/>
      <c r="S18" s="8"/>
      <c r="T18" s="8"/>
      <c r="U18" s="8"/>
      <c r="V18" s="8"/>
      <c r="W18" s="8"/>
      <c r="X18" s="8"/>
      <c r="Y18" s="8"/>
      <c r="Z18" s="8"/>
      <c r="AA18" s="8"/>
    </row>
    <row r="19" spans="1:27" ht="15" x14ac:dyDescent="0.25">
      <c r="A19" s="2" t="s">
        <v>908</v>
      </c>
      <c r="B19" s="2" t="s">
        <v>83</v>
      </c>
      <c r="C19" s="2"/>
      <c r="D19" s="8"/>
      <c r="E19" s="8"/>
      <c r="F19" s="8"/>
      <c r="G19" s="8"/>
      <c r="I19" s="8" t="s">
        <v>921</v>
      </c>
      <c r="J19" s="8"/>
      <c r="K19" s="8"/>
      <c r="L19" s="8"/>
      <c r="M19" s="69">
        <v>2</v>
      </c>
      <c r="N19" s="8"/>
      <c r="O19" s="8"/>
      <c r="P19" s="8"/>
      <c r="Q19" s="8"/>
      <c r="R19" s="8"/>
      <c r="S19" s="8"/>
      <c r="T19" s="8"/>
      <c r="U19" s="8"/>
      <c r="V19" s="8"/>
      <c r="W19" s="8"/>
      <c r="X19" s="8"/>
      <c r="Y19" s="8"/>
      <c r="Z19" s="8"/>
      <c r="AA19" s="8"/>
    </row>
    <row r="20" spans="1:27" x14ac:dyDescent="0.2">
      <c r="A20" s="1" t="s">
        <v>85</v>
      </c>
      <c r="C20" s="15">
        <v>2.048</v>
      </c>
      <c r="D20" s="15">
        <v>2.1040000000000001</v>
      </c>
      <c r="E20" s="15">
        <v>2.2429999999999999</v>
      </c>
      <c r="F20" s="15">
        <v>0.25</v>
      </c>
      <c r="G20" s="15">
        <v>0</v>
      </c>
      <c r="H20" s="15">
        <v>0</v>
      </c>
      <c r="I20" s="15">
        <v>0</v>
      </c>
      <c r="J20" s="15">
        <v>0</v>
      </c>
      <c r="K20" s="15">
        <v>0</v>
      </c>
      <c r="L20" s="15">
        <v>0</v>
      </c>
      <c r="M20" s="97">
        <f>IF($M$19=1,M$29,IF($M$19=2,M$35,IF($M$19=3,M$41,Exogenous!M$9)))</f>
        <v>0</v>
      </c>
      <c r="N20" s="97">
        <f>IF($M$19=1,N$29,IF($M$19=2,N$35,IF($M$19=3,N$41,Exogenous!N$9)))</f>
        <v>0</v>
      </c>
      <c r="O20" s="97">
        <f>IF($M$19=1,O$29,IF($M$19=2,O$35,IF($M$19=3,O$41,Exogenous!O$9)))</f>
        <v>0</v>
      </c>
      <c r="P20" s="97">
        <f>IF($M$19=1,P$29,IF($M$19=2,P$35,IF($M$19=3,P$41,Exogenous!P$9)))</f>
        <v>0</v>
      </c>
      <c r="Q20" s="97">
        <f>IF($M$19=1,Q$29,IF($M$19=2,Q$35,IF($M$19=3,Q$41,Exogenous!Q$9)))</f>
        <v>2.1840000000000002</v>
      </c>
      <c r="R20" s="101">
        <f>IF($M$19=1,R$29,IF($M$19=2,R$35,IF($M$19=3,R$41,Exogenous!R$9)))</f>
        <v>2.17</v>
      </c>
      <c r="S20" s="101">
        <f>IF($M$19=1,S$29,IF($M$19=2,S$35,IF($M$19=3,S$41,Exogenous!S$9)))</f>
        <v>2</v>
      </c>
      <c r="T20" s="101">
        <f>IF($M$19=1,T$29,IF($M$19=2,T$35,IF($M$19=3,T$41,Exogenous!T$9)))</f>
        <v>1.768</v>
      </c>
      <c r="U20" s="101">
        <f>IF($M$19=1,U$29,IF($M$19=2,U$35,IF($M$19=3,U$41,Exogenous!U$9)))</f>
        <v>1.518</v>
      </c>
      <c r="V20" s="101">
        <f>IF($M$19=1,V$29,IF($M$19=2,V$35,IF($M$19=3,V$41,Exogenous!V$9)))</f>
        <v>1.212</v>
      </c>
      <c r="W20" s="101">
        <f>IF($M$19=1,W$29,IF($M$19=2,W$35,IF($M$19=3,W$41,Exogenous!W$9)))</f>
        <v>0.873</v>
      </c>
      <c r="X20" s="101">
        <f>IF($M$19=1,X$29,IF($M$19=2,X$35,IF($M$19=3,X$41,Exogenous!X$9)))</f>
        <v>0.52100000000000002</v>
      </c>
      <c r="Y20" s="101">
        <f>IF($M$19=1,Y$29,IF($M$19=2,Y$35,IF($M$19=3,Y$41,Exogenous!Y$9)))</f>
        <v>0.17299999999999999</v>
      </c>
      <c r="Z20" s="101">
        <f>IF($M$19=1,Z$29,IF($M$19=2,Z$35,IF($M$19=3,Z$41,Exogenous!Z$9)))</f>
        <v>-0.13500000000000001</v>
      </c>
      <c r="AA20" s="101">
        <f>IF($M$19=1,AA$29,IF($M$19=2,AA$35,IF($M$19=3,AA$41,Exogenous!AA$9)))</f>
        <v>-0.442</v>
      </c>
    </row>
    <row r="21" spans="1:27" ht="15" x14ac:dyDescent="0.25">
      <c r="A21" s="1" t="s">
        <v>384</v>
      </c>
      <c r="B21" s="2"/>
      <c r="C21" s="15">
        <v>0.436</v>
      </c>
      <c r="D21" s="15">
        <v>0.38500000000000001</v>
      </c>
      <c r="E21" s="15">
        <v>0.38300000000000001</v>
      </c>
      <c r="F21" s="15">
        <v>0.433</v>
      </c>
      <c r="G21" s="15">
        <v>0.51800000000000002</v>
      </c>
      <c r="H21" s="15">
        <v>0.53900000000000003</v>
      </c>
      <c r="I21" s="15">
        <v>0.59499999999999997</v>
      </c>
      <c r="J21" s="15">
        <v>0.76700000000000002</v>
      </c>
      <c r="K21" s="15">
        <v>0.76</v>
      </c>
      <c r="L21" s="15">
        <v>0.752</v>
      </c>
      <c r="M21" s="97">
        <f>IF($M$19=1,M$30,IF($M$19=2,M$36,IF($M$19=3,M$42,Exogenous!M$7)))*M$14/M$17</f>
        <v>0.83299999999999996</v>
      </c>
      <c r="N21" s="97">
        <f>IF($M$19=1,N$30,IF($M$19=2,N$36,IF($M$19=3,N$42,Exogenous!N$7)))*N$14/N$17</f>
        <v>0.81300000000000006</v>
      </c>
      <c r="O21" s="97">
        <f>IF($M$19=1,O$30,IF($M$19=2,O$36,IF($M$19=3,O$42,Exogenous!O$7)))*O$14/O$17</f>
        <v>0.874</v>
      </c>
      <c r="P21" s="97">
        <f>IF($M$19=1,P$30,IF($M$19=2,P$36,IF($M$19=3,P$42,Exogenous!P$7)))*P$14/P$17</f>
        <v>0.93799999999999994</v>
      </c>
      <c r="Q21" s="97">
        <f>IF($M$19=1,Q$30,IF($M$19=2,Q$36,IF($M$19=3,Q$42,Exogenous!Q$7)))*Q$14/Q$17</f>
        <v>1.006</v>
      </c>
      <c r="R21" s="101">
        <f>Q$21*IF($M$19=1,R$30/Q$30,IF($M$19=2,R$36/Q$36,IF($M$19=3,R$42/Q$42,Exogenous!R$7/Exogenous!Q$7)))</f>
        <v>0.88511154657839941</v>
      </c>
      <c r="S21" s="101">
        <f>R$21*IF($M$19=1,S$30/R$30,IF($M$19=2,S$36/R$36,IF($M$19=3,S$42/R$42,Exogenous!S$7/Exogenous!R$7)))</f>
        <v>0.99836955979755226</v>
      </c>
      <c r="T21" s="101">
        <f>S$21*IF($M$19=1,T$30/S$30,IF($M$19=2,T$36/S$36,IF($M$19=3,T$42/S$42,Exogenous!T$7/Exogenous!S$7)))</f>
        <v>1.1189752854836759</v>
      </c>
      <c r="U21" s="101">
        <f>T$21*IF($M$19=1,U$30/T$30,IF($M$19=2,U$36/T$36,IF($M$19=3,U$42/T$42,Exogenous!U$7/Exogenous!T$7)))</f>
        <v>1.2467170314770937</v>
      </c>
      <c r="V21" s="101">
        <f>U$21*IF($M$19=1,V$30/U$30,IF($M$19=2,V$36/U$36,IF($M$19=3,V$42/U$42,Exogenous!V$7/Exogenous!U$7)))</f>
        <v>1.3814282266851647</v>
      </c>
      <c r="W21" s="101">
        <f>V$21*IF($M$19=1,W$30/V$30,IF($M$19=2,W$36/V$36,IF($M$19=3,W$42/V$42,Exogenous!W$7/Exogenous!V$7)))</f>
        <v>1.5128846532371449</v>
      </c>
      <c r="X21" s="101">
        <f>W$21*IF($M$19=1,X$30/W$30,IF($M$19=2,X$36/W$36,IF($M$19=3,X$42/W$42,Exogenous!X$7/Exogenous!W$7)))</f>
        <v>1.6174302349415399</v>
      </c>
      <c r="Y21" s="101">
        <f>X$21*IF($M$19=1,Y$30/X$30,IF($M$19=2,Y$36/X$36,IF($M$19=3,Y$42/X$42,Exogenous!Y$7/Exogenous!X$7)))</f>
        <v>1.7208093932162722</v>
      </c>
      <c r="Z21" s="101">
        <f>Y$21*IF($M$19=1,Z$30/Y$30,IF($M$19=2,Z$36/Y$36,IF($M$19=3,Z$42/Y$42,Exogenous!Z$7/Exogenous!Y$7)))</f>
        <v>1.8233976542408521</v>
      </c>
      <c r="AA21" s="101">
        <f>Z$21*IF($M$19=1,AA$30/Z$30,IF($M$19=2,AA$36/Z$36,IF($M$19=3,AA$42/Z$42,Exogenous!AA$7/Exogenous!Z$7)))</f>
        <v>1.9255990632849282</v>
      </c>
    </row>
    <row r="22" spans="1:27" x14ac:dyDescent="0.2">
      <c r="A22" s="1" t="s">
        <v>913</v>
      </c>
      <c r="C22" s="15">
        <v>0.70699999999999996</v>
      </c>
      <c r="D22" s="15">
        <v>0.23699999999999999</v>
      </c>
      <c r="E22" s="15">
        <v>4.0000000000000001E-3</v>
      </c>
      <c r="F22" s="15">
        <v>-2.7E-2</v>
      </c>
      <c r="G22" s="15">
        <v>0.872</v>
      </c>
      <c r="H22" s="15">
        <v>0.16</v>
      </c>
      <c r="I22" s="15">
        <v>0.98299999999999998</v>
      </c>
      <c r="J22" s="15">
        <v>1.0740000000000001</v>
      </c>
      <c r="K22" s="15">
        <v>4.5999999999999999E-2</v>
      </c>
      <c r="L22" s="15">
        <v>0.51200000000000001</v>
      </c>
      <c r="M22" s="97">
        <f>IF($M$19=1,M$31,IF($M$19=2,M$37,IF($M$19=3,M$43,Exogenous!M$8)))</f>
        <v>1.1339999999999999</v>
      </c>
      <c r="N22" s="97">
        <f>IF($M$19=1,N$31,IF($M$19=2,N$37,IF($M$19=3,N$43,Exogenous!N$8)))</f>
        <v>0.71599999999999997</v>
      </c>
      <c r="O22" s="97">
        <f>IF($M$19=1,O$31,IF($M$19=2,O$37,IF($M$19=3,O$43,Exogenous!O$8)))</f>
        <v>0.76900000000000002</v>
      </c>
      <c r="P22" s="97">
        <f>IF($M$19=1,P$31,IF($M$19=2,P$37,IF($M$19=3,P$43,Exogenous!P$8)))</f>
        <v>0.82399999999999995</v>
      </c>
      <c r="Q22" s="97">
        <f>IF($M$19=1,Q$31,IF($M$19=2,Q$37,IF($M$19=3,Q$43,Exogenous!Q$8)))</f>
        <v>0.88300000000000001</v>
      </c>
      <c r="R22" s="101">
        <f>IF($M$19=1,R$31,IF($M$19=2,R$37,IF($M$19=3,R$43,Exogenous!R$8)))</f>
        <v>0.77749042890695819</v>
      </c>
      <c r="S22" s="101">
        <f>IF($M$19=1,S$31,IF($M$19=2,S$37,IF($M$19=3,S$43,Exogenous!S$8)))</f>
        <v>0.87697734851083586</v>
      </c>
      <c r="T22" s="101">
        <f>IF($M$19=1,T$31,IF($M$19=2,T$37,IF($M$19=3,T$43,Exogenous!T$8)))</f>
        <v>0.98291856886303619</v>
      </c>
      <c r="U22" s="101">
        <f>IF($M$19=1,U$31,IF($M$19=2,U$37,IF($M$19=3,U$43,Exogenous!U$8)))</f>
        <v>1.0951281375503756</v>
      </c>
      <c r="V22" s="101">
        <f>IF($M$19=1,V$31,IF($M$19=2,V$37,IF($M$19=3,V$43,Exogenous!V$8)))</f>
        <v>1.2134597369355329</v>
      </c>
      <c r="W22" s="101">
        <f>IF($M$19=1,W$31,IF($M$19=2,W$37,IF($M$19=3,W$43,Exogenous!W$8)))</f>
        <v>1.3289323164737574</v>
      </c>
      <c r="X22" s="101">
        <f>IF($M$19=1,X$31,IF($M$19=2,X$37,IF($M$19=3,X$43,Exogenous!X$8)))</f>
        <v>1.4207661530945723</v>
      </c>
      <c r="Y22" s="101">
        <f>IF($M$19=1,Y$31,IF($M$19=2,Y$37,IF($M$19=3,Y$43,Exogenous!Y$8)))</f>
        <v>1.5115753922438921</v>
      </c>
      <c r="Z22" s="101">
        <f>IF($M$19=1,Z$31,IF($M$19=2,Z$37,IF($M$19=3,Z$43,Exogenous!Z$8)))</f>
        <v>1.6016898997013478</v>
      </c>
      <c r="AA22" s="101">
        <f>IF($M$19=1,AA$31,IF($M$19=2,AA$37,IF($M$19=3,AA$43,Exogenous!AA$8)))</f>
        <v>1.6914645926875</v>
      </c>
    </row>
    <row r="23" spans="1:27" x14ac:dyDescent="0.2">
      <c r="A23" s="1" t="s">
        <v>914</v>
      </c>
      <c r="C23" s="15">
        <v>-5.1999999999999998E-2</v>
      </c>
      <c r="D23" s="15">
        <v>3.4000000000000002E-2</v>
      </c>
      <c r="E23" s="15">
        <v>-0.32300000000000001</v>
      </c>
      <c r="F23" s="15">
        <v>0.502</v>
      </c>
      <c r="G23" s="15">
        <v>0.16900000000000001</v>
      </c>
      <c r="H23" s="15">
        <v>0.13200000000000001</v>
      </c>
      <c r="I23" s="15">
        <v>0.16500000000000001</v>
      </c>
      <c r="J23" s="15">
        <v>0.16400000000000001</v>
      </c>
      <c r="K23" s="15">
        <v>0.19800000000000001</v>
      </c>
      <c r="L23" s="15">
        <v>0.13800000000000001</v>
      </c>
      <c r="M23" s="97">
        <f>IF($M$19=1,M$30,IF($M$19=2,M$36,IF($M$19=3,M$42,Exogenous!M$7)))*M$15/M$17</f>
        <v>0.22800000000000001</v>
      </c>
      <c r="N23" s="97">
        <f>IF($M$19=1,N$30,IF($M$19=2,N$36,IF($M$19=3,N$42,Exogenous!N$7)))*N$15/N$17</f>
        <v>0.17800000000000002</v>
      </c>
      <c r="O23" s="97">
        <f>IF($M$19=1,O$30,IF($M$19=2,O$36,IF($M$19=3,O$42,Exogenous!O$7)))*O$15/O$17</f>
        <v>0.185</v>
      </c>
      <c r="P23" s="97">
        <f>IF($M$19=1,P$30,IF($M$19=2,P$36,IF($M$19=3,P$42,Exogenous!P$7)))*P$15/P$17</f>
        <v>0.19600000000000001</v>
      </c>
      <c r="Q23" s="97">
        <f>IF($M$19=1,Q$30,IF($M$19=2,Q$36,IF($M$19=3,Q$42,Exogenous!Q$7)))*Q$15/Q$17</f>
        <v>0.20699999999999999</v>
      </c>
      <c r="R23" s="101">
        <f>Q$23*IF($M$19=1,R$30/Q$30,IF($M$19=2,R$36/Q$36,IF($M$19=3,R$42/Q$42,Exogenous!R$7/Exogenous!Q$7)))</f>
        <v>0.18212533811305037</v>
      </c>
      <c r="S23" s="101">
        <f>R$23*IF($M$19=1,S$30/R$30,IF($M$19=2,S$36/R$36,IF($M$19=3,S$42/R$42,Exogenous!S$7/Exogenous!R$7)))</f>
        <v>0.20542991936192179</v>
      </c>
      <c r="T23" s="101">
        <f>S$23*IF($M$19=1,T$30/S$30,IF($M$19=2,T$36/S$36,IF($M$19=3,T$42/S$42,Exogenous!T$7/Exogenous!S$7)))</f>
        <v>0.23024640566115395</v>
      </c>
      <c r="U23" s="101">
        <f>T$23*IF($M$19=1,U$30/T$30,IF($M$19=2,U$36/T$36,IF($M$19=3,U$42/T$42,Exogenous!U$7/Exogenous!T$7)))</f>
        <v>0.25653123808723494</v>
      </c>
      <c r="V23" s="101">
        <f>U$23*IF($M$19=1,V$30/U$30,IF($M$19=2,V$36/U$36,IF($M$19=3,V$42/U$42,Exogenous!V$7/Exogenous!U$7)))</f>
        <v>0.28425014207140065</v>
      </c>
      <c r="W23" s="101">
        <f>V$23*IF($M$19=1,W$30/V$30,IF($M$19=2,W$36/V$36,IF($M$19=3,W$42/V$42,Exogenous!W$7/Exogenous!V$7)))</f>
        <v>0.31129932725654968</v>
      </c>
      <c r="X23" s="101">
        <f>W$23*IF($M$19=1,X$30/W$30,IF($M$19=2,X$36/W$36,IF($M$19=3,X$42/W$42,Exogenous!X$7/Exogenous!W$7)))</f>
        <v>0.33281119148399479</v>
      </c>
      <c r="Y23" s="101">
        <f>X$23*IF($M$19=1,Y$30/X$30,IF($M$19=2,Y$36/X$36,IF($M$19=3,Y$42/X$42,Exogenous!Y$7/Exogenous!X$7)))</f>
        <v>0.35408304611905406</v>
      </c>
      <c r="Z23" s="101">
        <f>Y$23*IF($M$19=1,Z$30/Y$30,IF($M$19=2,Z$36/Y$36,IF($M$19=3,Z$42/Y$42,Exogenous!Z$7/Exogenous!Y$7)))</f>
        <v>0.37519216145910178</v>
      </c>
      <c r="AA23" s="101">
        <f>Z$23*IF($M$19=1,AA$30/Z$30,IF($M$19=2,AA$36/Z$36,IF($M$19=3,AA$42/Z$42,Exogenous!AA$7/Exogenous!Z$7)))</f>
        <v>0.39622167604371783</v>
      </c>
    </row>
    <row r="24" spans="1:27" x14ac:dyDescent="0.2">
      <c r="A24" s="1" t="s">
        <v>396</v>
      </c>
      <c r="C24" s="15">
        <v>1.3129999999999999</v>
      </c>
      <c r="D24" s="15">
        <v>-0.995</v>
      </c>
      <c r="E24" s="15">
        <v>-3.4950000000000001</v>
      </c>
      <c r="F24" s="15">
        <v>1.75</v>
      </c>
      <c r="G24" s="15">
        <v>3.5179999999999998</v>
      </c>
      <c r="H24" s="15">
        <v>-0.20399999999999999</v>
      </c>
      <c r="I24" s="15">
        <v>4.3739999999999997</v>
      </c>
      <c r="J24" s="15">
        <v>3.7349999999999999</v>
      </c>
      <c r="K24" s="15">
        <v>3.1560000000000001</v>
      </c>
      <c r="L24" s="15">
        <v>-7.5999999999999998E-2</v>
      </c>
      <c r="M24" s="97">
        <f>IF($M$19=1,M$30,IF($M$19=2,M$36,IF($M$19=3,M$42,Exogenous!M$7)))*M$16/M$17</f>
        <v>5.5069999999999997</v>
      </c>
      <c r="N24" s="97">
        <f>IF($M$19=1,N$30,IF($M$19=2,N$36,IF($M$19=3,N$42,Exogenous!N$7)))*N$16/N$17</f>
        <v>2.3650000000000002</v>
      </c>
      <c r="O24" s="97">
        <f>IF($M$19=1,O$30,IF($M$19=2,O$36,IF($M$19=3,O$42,Exogenous!O$7)))*O$16/O$17</f>
        <v>2.5259999999999998</v>
      </c>
      <c r="P24" s="97">
        <f>IF($M$19=1,P$30,IF($M$19=2,P$36,IF($M$19=3,P$42,Exogenous!P$7)))*P$16/P$17</f>
        <v>2.6989999999999998</v>
      </c>
      <c r="Q24" s="97">
        <f>IF($M$19=1,Q$30,IF($M$19=2,Q$36,IF($M$19=3,Q$42,Exogenous!Q$7)))*Q$16/Q$17</f>
        <v>2.883</v>
      </c>
      <c r="R24" s="101">
        <f>Q$24*IF($M$19=1,R$30/Q$30,IF($M$19=2,R$36/Q$36,IF($M$19=3,R$42/Q$42,Exogenous!R$7/Exogenous!Q$7)))</f>
        <v>2.5365572453136438</v>
      </c>
      <c r="S24" s="101">
        <f>R$24*IF($M$19=1,S$30/R$30,IF($M$19=2,S$36/R$36,IF($M$19=3,S$42/R$42,Exogenous!S$7/Exogenous!R$7)))</f>
        <v>2.8611326450261862</v>
      </c>
      <c r="T24" s="101">
        <f>S$24*IF($M$19=1,T$30/S$30,IF($M$19=2,T$36/S$36,IF($M$19=3,T$42/S$42,Exogenous!T$7/Exogenous!S$7)))</f>
        <v>3.2067651571067968</v>
      </c>
      <c r="U24" s="101">
        <f>T$24*IF($M$19=1,U$30/T$30,IF($M$19=2,U$36/T$36,IF($M$19=3,U$42/T$42,Exogenous!U$7/Exogenous!T$7)))</f>
        <v>3.5728481130700409</v>
      </c>
      <c r="V24" s="101">
        <f>U$24*IF($M$19=1,V$30/U$30,IF($M$19=2,V$36/U$36,IF($M$19=3,V$42/U$42,Exogenous!V$7/Exogenous!U$7)))</f>
        <v>3.9589041526176243</v>
      </c>
      <c r="W24" s="101">
        <f>V$24*IF($M$19=1,W$30/V$30,IF($M$19=2,W$36/V$36,IF($M$19=3,W$42/V$42,Exogenous!W$7/Exogenous!V$7)))</f>
        <v>4.3356326593267287</v>
      </c>
      <c r="X24" s="101">
        <f>W$24*IF($M$19=1,X$30/W$30,IF($M$19=2,X$36/W$36,IF($M$19=3,X$42/W$42,Exogenous!X$7/Exogenous!W$7)))</f>
        <v>4.6352399277698408</v>
      </c>
      <c r="Y24" s="101">
        <f>X$24*IF($M$19=1,Y$30/X$30,IF($M$19=2,Y$36/X$36,IF($M$19=3,Y$42/X$42,Exogenous!Y$7/Exogenous!X$7)))</f>
        <v>4.9315044539189996</v>
      </c>
      <c r="Z24" s="101">
        <f>Y$24*IF($M$19=1,Z$30/Y$30,IF($M$19=2,Z$36/Y$36,IF($M$19=3,Z$42/Y$42,Exogenous!Z$7/Exogenous!Y$7)))</f>
        <v>5.2255024226405338</v>
      </c>
      <c r="AA24" s="101">
        <f>Z$24*IF($M$19=1,AA$30/Z$30,IF($M$19=2,AA$36/Z$36,IF($M$19=3,AA$42/Z$42,Exogenous!AA$7/Exogenous!Z$7)))</f>
        <v>5.5183917489567085</v>
      </c>
    </row>
    <row r="25" spans="1:27" x14ac:dyDescent="0.2">
      <c r="A25" s="1" t="s">
        <v>86</v>
      </c>
      <c r="C25" s="15">
        <v>-2.4E-2</v>
      </c>
      <c r="D25" s="15">
        <v>1.6E-2</v>
      </c>
      <c r="E25" s="15">
        <v>2.5999999999999999E-2</v>
      </c>
      <c r="F25" s="15">
        <v>0.01</v>
      </c>
      <c r="G25" s="15">
        <v>1E-3</v>
      </c>
      <c r="H25" s="15">
        <v>8.0000000000000002E-3</v>
      </c>
      <c r="I25" s="15">
        <v>2.5000000000000001E-2</v>
      </c>
      <c r="J25" s="15">
        <v>-4.0000000000000001E-3</v>
      </c>
      <c r="K25" s="15">
        <v>4.1000000000000002E-2</v>
      </c>
      <c r="L25" s="15">
        <v>-2.1000000000000001E-2</v>
      </c>
      <c r="M25" s="97">
        <f>IF($M$19=1,M$32,IF($M$19=2,M$38,IF($M$19=3,M$44,Exogenous!M$10)))</f>
        <v>6.0000000000000001E-3</v>
      </c>
      <c r="N25" s="97">
        <f>IF($M$19=1,N$32,IF($M$19=2,N$38,IF($M$19=3,N$44,Exogenous!N$10)))</f>
        <v>2.3E-2</v>
      </c>
      <c r="O25" s="97">
        <f>IF($M$19=1,O$32,IF($M$19=2,O$38,IF($M$19=3,O$44,Exogenous!O$10)))</f>
        <v>2.7E-2</v>
      </c>
      <c r="P25" s="97">
        <f>IF($M$19=1,P$32,IF($M$19=2,P$38,IF($M$19=3,P$44,Exogenous!P$10)))</f>
        <v>3.1E-2</v>
      </c>
      <c r="Q25" s="97">
        <f>IF($M$19=1,Q$32,IF($M$19=2,Q$38,IF($M$19=3,Q$44,Exogenous!Q$10)))</f>
        <v>3.6999999999999998E-2</v>
      </c>
      <c r="R25" s="101">
        <f>IF($M$19=1,R$32,IF($M$19=2,R$38,IF($M$19=3,R$44,Exogenous!R$10)))</f>
        <v>3.2553804397018667E-2</v>
      </c>
      <c r="S25" s="101">
        <f>IF($M$19=1,S$32,IF($M$19=2,S$38,IF($M$19=3,S$44,Exogenous!S$10)))</f>
        <v>3.6719357567106793E-2</v>
      </c>
      <c r="T25" s="101">
        <f>IF($M$19=1,T$32,IF($M$19=2,T$38,IF($M$19=3,T$44,Exogenous!T$10)))</f>
        <v>4.115515463508549E-2</v>
      </c>
      <c r="U25" s="101">
        <f>IF($M$19=1,U$32,IF($M$19=2,U$38,IF($M$19=3,U$44,Exogenous!U$10)))</f>
        <v>4.5853409706413981E-2</v>
      </c>
      <c r="V25" s="101">
        <f>IF($M$19=1,V$32,IF($M$19=2,V$38,IF($M$19=3,V$44,Exogenous!V$10)))</f>
        <v>5.0807996408897708E-2</v>
      </c>
      <c r="W25" s="101">
        <f>IF($M$19=1,W$32,IF($M$19=2,W$38,IF($M$19=3,W$44,Exogenous!W$10)))</f>
        <v>5.5642874920252848E-2</v>
      </c>
      <c r="X25" s="101">
        <f>IF($M$19=1,X$32,IF($M$19=2,X$38,IF($M$19=3,X$44,Exogenous!X$10)))</f>
        <v>5.9487990748346903E-2</v>
      </c>
      <c r="Y25" s="101">
        <f>IF($M$19=1,Y$32,IF($M$19=2,Y$38,IF($M$19=3,Y$44,Exogenous!Y$10)))</f>
        <v>6.3290206311135272E-2</v>
      </c>
      <c r="Z25" s="101">
        <f>IF($M$19=1,Z$32,IF($M$19=2,Z$38,IF($M$19=3,Z$44,Exogenous!Z$10)))</f>
        <v>6.706333320766554E-2</v>
      </c>
      <c r="AA25" s="101">
        <f>IF($M$19=1,AA$32,IF($M$19=2,AA$38,IF($M$19=3,AA$44,Exogenous!AA$10)))</f>
        <v>7.0822231949843287E-2</v>
      </c>
    </row>
    <row r="26" spans="1:27" ht="15" x14ac:dyDescent="0.25">
      <c r="A26" s="2" t="s">
        <v>911</v>
      </c>
      <c r="B26" s="40">
        <v>9.8550000000000004</v>
      </c>
      <c r="C26" s="40">
        <v>12.972999999999999</v>
      </c>
      <c r="D26" s="40">
        <v>14.211999999999998</v>
      </c>
      <c r="E26" s="40">
        <v>13.687999999999997</v>
      </c>
      <c r="F26" s="40">
        <v>15.655999999999997</v>
      </c>
      <c r="G26" s="40">
        <v>18.651999999999997</v>
      </c>
      <c r="H26" s="40">
        <v>18.702999999999996</v>
      </c>
      <c r="I26" s="40">
        <v>22.548999999999992</v>
      </c>
      <c r="J26" s="40">
        <v>25.80899999999999</v>
      </c>
      <c r="K26" s="40">
        <v>29.521999999999991</v>
      </c>
      <c r="L26" s="40">
        <v>29.527000000000001</v>
      </c>
      <c r="M26" s="105">
        <f>IF($M$19=1,M$33,IF($M$19=2,M$39,IF($M$19=3,M$45,Exogenous!M$11)))</f>
        <v>34.510999999999989</v>
      </c>
      <c r="N26" s="105">
        <f>IF($M$19=1,N$33,IF($M$19=2,N$39,IF($M$19=3,N$45,Exogenous!N$11)))</f>
        <v>36.817999999999991</v>
      </c>
      <c r="O26" s="105">
        <f>IF($M$19=1,O$33,IF($M$19=2,O$39,IF($M$19=3,O$45,Exogenous!O$11)))</f>
        <v>39.29099999999999</v>
      </c>
      <c r="P26" s="105">
        <f>IF($M$19=1,P$33,IF($M$19=2,P$39,IF($M$19=3,P$45,Exogenous!P$11)))</f>
        <v>41.938999999999986</v>
      </c>
      <c r="Q26" s="105">
        <f>IF($M$19=1,Q$33,IF($M$19=2,Q$39,IF($M$19=3,Q$45,Exogenous!Q$11)))</f>
        <v>46.958999999999982</v>
      </c>
      <c r="R26" s="104">
        <f>IF($M$19=1,R$33,IF($M$19=2,R$39,IF($M$19=3,R$45,Exogenous!R$11)))</f>
        <v>51.623606829269036</v>
      </c>
      <c r="S26" s="104">
        <f>IF($M$19=1,S$33,IF($M$19=2,S$39,IF($M$19=3,S$45,Exogenous!S$11)))</f>
        <v>56.437421123787125</v>
      </c>
      <c r="T26" s="104">
        <f>IF($M$19=1,T$33,IF($M$19=2,T$39,IF($M$19=3,T$45,Exogenous!T$11)))</f>
        <v>61.359151746488493</v>
      </c>
      <c r="U26" s="104">
        <f>IF($M$19=1,U$33,IF($M$19=2,U$39,IF($M$19=3,U$45,Exogenous!U$11)))</f>
        <v>66.390910925104421</v>
      </c>
      <c r="V26" s="104">
        <f>IF($M$19=1,V$33,IF($M$19=2,V$39,IF($M$19=3,V$45,Exogenous!V$11)))</f>
        <v>71.496341421809177</v>
      </c>
      <c r="W26" s="104">
        <f>IF($M$19=1,W$33,IF($M$19=2,W$39,IF($M$19=3,W$45,Exogenous!W$11)))</f>
        <v>76.633269965563002</v>
      </c>
      <c r="X26" s="104">
        <f>IF($M$19=1,X$33,IF($M$19=2,X$39,IF($M$19=3,X$45,Exogenous!X$11)))</f>
        <v>81.712850774444163</v>
      </c>
      <c r="Y26" s="104">
        <f>IF($M$19=1,Y$33,IF($M$19=2,Y$39,IF($M$19=3,Y$45,Exogenous!Y$11)))</f>
        <v>86.735796389527621</v>
      </c>
      <c r="Z26" s="104">
        <f>IF($M$19=1,Z$33,IF($M$19=2,Z$39,IF($M$19=3,Z$45,Exogenous!Z$11)))</f>
        <v>91.739877738456215</v>
      </c>
      <c r="AA26" s="104">
        <f>IF($M$19=1,AA$33,IF($M$19=2,AA$39,IF($M$19=3,AA$45,Exogenous!AA$11)))</f>
        <v>96.725004513916488</v>
      </c>
    </row>
    <row r="27" spans="1:27" x14ac:dyDescent="0.2">
      <c r="A27" s="4" t="s">
        <v>912</v>
      </c>
      <c r="C27" s="68" t="str">
        <f>IF(ROUND(C$26-SUM(B$26,C$20,C$21,C$24,C$25)+SUM(C$22,C$23),3)=0,"OK","ERROR")</f>
        <v>OK</v>
      </c>
      <c r="D27" s="68" t="str">
        <f t="shared" ref="D27:L27" si="0">IF(ROUND(D$26-SUM(C$26,D$20,D$21,D$24,D$25)+SUM(D$22,D$23),3)=0,"OK","ERROR")</f>
        <v>OK</v>
      </c>
      <c r="E27" s="68" t="str">
        <f t="shared" si="0"/>
        <v>OK</v>
      </c>
      <c r="F27" s="68" t="str">
        <f t="shared" si="0"/>
        <v>OK</v>
      </c>
      <c r="G27" s="68" t="str">
        <f t="shared" si="0"/>
        <v>OK</v>
      </c>
      <c r="H27" s="68" t="str">
        <f t="shared" si="0"/>
        <v>OK</v>
      </c>
      <c r="I27" s="68" t="str">
        <f t="shared" si="0"/>
        <v>OK</v>
      </c>
      <c r="J27" s="68" t="str">
        <f t="shared" si="0"/>
        <v>OK</v>
      </c>
      <c r="K27" s="68" t="str">
        <f t="shared" si="0"/>
        <v>OK</v>
      </c>
      <c r="L27" s="68" t="str">
        <f t="shared" si="0"/>
        <v>OK</v>
      </c>
      <c r="M27" s="115" t="str">
        <f>IF(ROUND(M$26-SUM(L$26,M$20,M$21,M$24,M$25)+SUM(M$22,M$23),3)=0,"OK","ERROR")</f>
        <v>OK</v>
      </c>
      <c r="N27" s="115" t="str">
        <f t="shared" ref="N27:AA27" si="1">IF(ROUND(N$26-SUM(M$26,N$20,N$21,N$24,N$25)+SUM(N$22,N$23),3)=0,"OK","ERROR")</f>
        <v>OK</v>
      </c>
      <c r="O27" s="115" t="str">
        <f t="shared" si="1"/>
        <v>OK</v>
      </c>
      <c r="P27" s="115" t="str">
        <f t="shared" si="1"/>
        <v>OK</v>
      </c>
      <c r="Q27" s="115" t="str">
        <f t="shared" si="1"/>
        <v>OK</v>
      </c>
      <c r="R27" s="116" t="str">
        <f t="shared" si="1"/>
        <v>OK</v>
      </c>
      <c r="S27" s="116" t="str">
        <f t="shared" si="1"/>
        <v>OK</v>
      </c>
      <c r="T27" s="116" t="str">
        <f t="shared" si="1"/>
        <v>OK</v>
      </c>
      <c r="U27" s="116" t="str">
        <f t="shared" si="1"/>
        <v>OK</v>
      </c>
      <c r="V27" s="116" t="str">
        <f t="shared" si="1"/>
        <v>OK</v>
      </c>
      <c r="W27" s="116" t="str">
        <f t="shared" si="1"/>
        <v>OK</v>
      </c>
      <c r="X27" s="116" t="str">
        <f t="shared" si="1"/>
        <v>OK</v>
      </c>
      <c r="Y27" s="116" t="str">
        <f t="shared" si="1"/>
        <v>OK</v>
      </c>
      <c r="Z27" s="116" t="str">
        <f t="shared" si="1"/>
        <v>OK</v>
      </c>
      <c r="AA27" s="116" t="str">
        <f t="shared" si="1"/>
        <v>OK</v>
      </c>
    </row>
    <row r="29" spans="1:27" ht="15" x14ac:dyDescent="0.25">
      <c r="F29" s="2" t="s">
        <v>1359</v>
      </c>
      <c r="I29" s="1" t="s">
        <v>916</v>
      </c>
      <c r="J29" s="1" t="s">
        <v>918</v>
      </c>
      <c r="M29" s="97">
        <v>0</v>
      </c>
      <c r="N29" s="97">
        <v>0</v>
      </c>
      <c r="O29" s="97">
        <v>0</v>
      </c>
      <c r="P29" s="97">
        <v>2.113</v>
      </c>
      <c r="Q29" s="97">
        <v>2.1120000000000001</v>
      </c>
      <c r="R29" s="101">
        <v>2.1</v>
      </c>
      <c r="S29" s="101">
        <v>1.929</v>
      </c>
      <c r="T29" s="101">
        <v>1.6950000000000001</v>
      </c>
      <c r="U29" s="101">
        <v>1.4419999999999999</v>
      </c>
      <c r="V29" s="101">
        <v>1.135</v>
      </c>
      <c r="W29" s="101">
        <v>0.79400000000000004</v>
      </c>
      <c r="X29" s="101">
        <v>0.44</v>
      </c>
      <c r="Y29" s="101">
        <v>0.09</v>
      </c>
      <c r="Z29" s="101">
        <v>-0.22</v>
      </c>
      <c r="AA29" s="101">
        <v>-0.52900000000000003</v>
      </c>
    </row>
    <row r="30" spans="1:27" x14ac:dyDescent="0.2">
      <c r="J30" s="1" t="s">
        <v>919</v>
      </c>
      <c r="M30" s="97">
        <v>6.1120000000000001</v>
      </c>
      <c r="N30" s="97">
        <v>3</v>
      </c>
      <c r="O30" s="97">
        <v>3.2149999999999999</v>
      </c>
      <c r="P30" s="97">
        <v>3.4409999999999998</v>
      </c>
      <c r="Q30" s="97">
        <v>3.6819999999999999</v>
      </c>
      <c r="R30" s="101">
        <v>3.3750589875280572</v>
      </c>
      <c r="S30" s="101">
        <v>3.7959581374949494</v>
      </c>
      <c r="T30" s="101">
        <v>4.2441309455375427</v>
      </c>
      <c r="U30" s="101">
        <v>4.7187712614863546</v>
      </c>
      <c r="V30" s="101">
        <v>5.2193384485333549</v>
      </c>
      <c r="W30" s="101">
        <v>5.7073959946060766</v>
      </c>
      <c r="X30" s="101">
        <v>6.093971165564505</v>
      </c>
      <c r="Y30" s="101">
        <v>6.4763564530319204</v>
      </c>
      <c r="Z30" s="101">
        <v>6.8559309981300247</v>
      </c>
      <c r="AA30" s="101">
        <v>7.2341786016872165</v>
      </c>
    </row>
    <row r="31" spans="1:27" x14ac:dyDescent="0.2">
      <c r="J31" s="1" t="s">
        <v>909</v>
      </c>
      <c r="M31" s="97">
        <v>1.1339999999999999</v>
      </c>
      <c r="N31" s="97">
        <v>0.71599999999999997</v>
      </c>
      <c r="O31" s="97">
        <v>0.76900000000000002</v>
      </c>
      <c r="P31" s="97">
        <v>0.82399999999999995</v>
      </c>
      <c r="Q31" s="97">
        <v>0.88300000000000001</v>
      </c>
      <c r="R31" s="101">
        <v>0.81001415700673374</v>
      </c>
      <c r="S31" s="101">
        <v>0.91102995299878786</v>
      </c>
      <c r="T31" s="101">
        <v>1.0185914269290102</v>
      </c>
      <c r="U31" s="101">
        <v>1.132505102756725</v>
      </c>
      <c r="V31" s="101">
        <v>1.2526412276480052</v>
      </c>
      <c r="W31" s="101">
        <v>1.3697750387054584</v>
      </c>
      <c r="X31" s="101">
        <v>1.4625530797354811</v>
      </c>
      <c r="Y31" s="101">
        <v>1.5543255487276608</v>
      </c>
      <c r="Z31" s="101">
        <v>1.645423439551206</v>
      </c>
      <c r="AA31" s="101">
        <v>1.7362028644049319</v>
      </c>
    </row>
    <row r="32" spans="1:27" x14ac:dyDescent="0.2">
      <c r="J32" s="1" t="s">
        <v>920</v>
      </c>
      <c r="M32" s="97">
        <v>6.0000000000000001E-3</v>
      </c>
      <c r="N32" s="97">
        <v>2.3E-2</v>
      </c>
      <c r="O32" s="97">
        <v>2.7E-2</v>
      </c>
      <c r="P32" s="97">
        <v>3.1E-2</v>
      </c>
      <c r="Q32" s="97">
        <v>3.6999999999999998E-2</v>
      </c>
      <c r="R32" s="101">
        <v>3.3915584611227081E-2</v>
      </c>
      <c r="S32" s="101">
        <v>3.8145152386559786E-2</v>
      </c>
      <c r="T32" s="101">
        <v>4.2648790055646139E-2</v>
      </c>
      <c r="U32" s="101">
        <v>4.7418396706951416E-2</v>
      </c>
      <c r="V32" s="101">
        <v>5.244853954256766E-2</v>
      </c>
      <c r="W32" s="101">
        <v>5.7352974416193594E-2</v>
      </c>
      <c r="X32" s="101">
        <v>6.1237624423108823E-2</v>
      </c>
      <c r="Y32" s="101">
        <v>6.5080170766480455E-2</v>
      </c>
      <c r="Z32" s="101">
        <v>6.8894472278873145E-2</v>
      </c>
      <c r="AA32" s="101">
        <v>7.2695439506362577E-2</v>
      </c>
    </row>
    <row r="33" spans="6:27" ht="15" x14ac:dyDescent="0.25">
      <c r="K33" s="40"/>
      <c r="L33" s="40">
        <v>29.527000000000001</v>
      </c>
      <c r="M33" s="105">
        <v>34.510999999999989</v>
      </c>
      <c r="N33" s="105">
        <v>36.817999999999991</v>
      </c>
      <c r="O33" s="105">
        <v>39.29099999999999</v>
      </c>
      <c r="P33" s="105">
        <v>44.051999999999985</v>
      </c>
      <c r="Q33" s="105">
        <v>48.999999999999986</v>
      </c>
      <c r="R33" s="104">
        <v>53.698960415132539</v>
      </c>
      <c r="S33" s="104">
        <v>58.551033752015265</v>
      </c>
      <c r="T33" s="104">
        <v>63.514222060679444</v>
      </c>
      <c r="U33" s="104">
        <v>68.589906616116011</v>
      </c>
      <c r="V33" s="104">
        <v>73.744052376543934</v>
      </c>
      <c r="W33" s="104">
        <v>78.933026306860739</v>
      </c>
      <c r="X33" s="104">
        <v>84.065682017112877</v>
      </c>
      <c r="Y33" s="104">
        <v>89.142793092183624</v>
      </c>
      <c r="Z33" s="104">
        <v>94.202195123041307</v>
      </c>
      <c r="AA33" s="104">
        <v>99.243866299829961</v>
      </c>
    </row>
    <row r="34" spans="6:27" x14ac:dyDescent="0.2">
      <c r="M34" s="100"/>
      <c r="N34" s="100"/>
      <c r="O34" s="100"/>
      <c r="P34" s="100"/>
      <c r="Q34" s="100"/>
      <c r="R34" s="100"/>
      <c r="S34" s="100"/>
      <c r="T34" s="100"/>
      <c r="U34" s="100"/>
      <c r="V34" s="100"/>
      <c r="W34" s="100"/>
      <c r="X34" s="100"/>
      <c r="Y34" s="100"/>
      <c r="Z34" s="100"/>
      <c r="AA34" s="100"/>
    </row>
    <row r="35" spans="6:27" ht="15" x14ac:dyDescent="0.25">
      <c r="F35" s="2" t="s">
        <v>1360</v>
      </c>
      <c r="I35" s="1" t="s">
        <v>917</v>
      </c>
      <c r="J35" s="1" t="s">
        <v>918</v>
      </c>
      <c r="M35" s="97">
        <v>0</v>
      </c>
      <c r="N35" s="97">
        <v>0</v>
      </c>
      <c r="O35" s="97">
        <v>0</v>
      </c>
      <c r="P35" s="97">
        <v>0</v>
      </c>
      <c r="Q35" s="97">
        <v>2.1840000000000002</v>
      </c>
      <c r="R35" s="101">
        <v>2.17</v>
      </c>
      <c r="S35" s="101">
        <v>2</v>
      </c>
      <c r="T35" s="101">
        <v>1.768</v>
      </c>
      <c r="U35" s="101">
        <v>1.518</v>
      </c>
      <c r="V35" s="101">
        <v>1.212</v>
      </c>
      <c r="W35" s="101">
        <v>0.873</v>
      </c>
      <c r="X35" s="101">
        <v>0.52100000000000002</v>
      </c>
      <c r="Y35" s="101">
        <v>0.17299999999999999</v>
      </c>
      <c r="Z35" s="101">
        <v>-0.13500000000000001</v>
      </c>
      <c r="AA35" s="101">
        <v>-0.442</v>
      </c>
    </row>
    <row r="36" spans="6:27" x14ac:dyDescent="0.2">
      <c r="J36" s="1" t="s">
        <v>919</v>
      </c>
      <c r="M36" s="97">
        <v>6.1120000000000001</v>
      </c>
      <c r="N36" s="97">
        <v>3</v>
      </c>
      <c r="O36" s="97">
        <v>3.2149999999999999</v>
      </c>
      <c r="P36" s="97">
        <v>3.4409999999999998</v>
      </c>
      <c r="Q36" s="97">
        <v>3.6819999999999999</v>
      </c>
      <c r="R36" s="101">
        <v>3.2395434537789924</v>
      </c>
      <c r="S36" s="101">
        <v>3.6540722854618162</v>
      </c>
      <c r="T36" s="101">
        <v>4.0954940369293178</v>
      </c>
      <c r="U36" s="101">
        <v>4.563033906459899</v>
      </c>
      <c r="V36" s="101">
        <v>5.0560822372313874</v>
      </c>
      <c r="W36" s="101">
        <v>5.5372179853073229</v>
      </c>
      <c r="X36" s="101">
        <v>5.9198589712273852</v>
      </c>
      <c r="Y36" s="101">
        <v>6.2982308010162171</v>
      </c>
      <c r="Z36" s="101">
        <v>6.6737079154222831</v>
      </c>
      <c r="AA36" s="101">
        <v>7.0477691361979176</v>
      </c>
    </row>
    <row r="37" spans="6:27" x14ac:dyDescent="0.2">
      <c r="J37" s="1" t="s">
        <v>909</v>
      </c>
      <c r="M37" s="97">
        <v>1.1339999999999999</v>
      </c>
      <c r="N37" s="97">
        <v>0.71599999999999997</v>
      </c>
      <c r="O37" s="97">
        <v>0.76900000000000002</v>
      </c>
      <c r="P37" s="97">
        <v>0.82399999999999995</v>
      </c>
      <c r="Q37" s="97">
        <v>0.88300000000000001</v>
      </c>
      <c r="R37" s="101">
        <v>0.77749042890695819</v>
      </c>
      <c r="S37" s="101">
        <v>0.87697734851083586</v>
      </c>
      <c r="T37" s="101">
        <v>0.98291856886303619</v>
      </c>
      <c r="U37" s="101">
        <v>1.0951281375503756</v>
      </c>
      <c r="V37" s="101">
        <v>1.2134597369355329</v>
      </c>
      <c r="W37" s="101">
        <v>1.3289323164737574</v>
      </c>
      <c r="X37" s="101">
        <v>1.4207661530945723</v>
      </c>
      <c r="Y37" s="101">
        <v>1.5115753922438921</v>
      </c>
      <c r="Z37" s="101">
        <v>1.6016898997013478</v>
      </c>
      <c r="AA37" s="101">
        <v>1.6914645926875</v>
      </c>
    </row>
    <row r="38" spans="6:27" x14ac:dyDescent="0.2">
      <c r="J38" s="1" t="s">
        <v>920</v>
      </c>
      <c r="M38" s="97">
        <v>6.0000000000000001E-3</v>
      </c>
      <c r="N38" s="97">
        <v>2.3E-2</v>
      </c>
      <c r="O38" s="97">
        <v>2.7E-2</v>
      </c>
      <c r="P38" s="97">
        <v>3.1E-2</v>
      </c>
      <c r="Q38" s="97">
        <v>3.6999999999999998E-2</v>
      </c>
      <c r="R38" s="101">
        <v>3.2553804397018667E-2</v>
      </c>
      <c r="S38" s="101">
        <v>3.6719357567106793E-2</v>
      </c>
      <c r="T38" s="101">
        <v>4.115515463508549E-2</v>
      </c>
      <c r="U38" s="101">
        <v>4.5853409706413981E-2</v>
      </c>
      <c r="V38" s="101">
        <v>5.0807996408897708E-2</v>
      </c>
      <c r="W38" s="101">
        <v>5.5642874920252848E-2</v>
      </c>
      <c r="X38" s="101">
        <v>5.9487990748346903E-2</v>
      </c>
      <c r="Y38" s="101">
        <v>6.3290206311135272E-2</v>
      </c>
      <c r="Z38" s="101">
        <v>6.706333320766554E-2</v>
      </c>
      <c r="AA38" s="101">
        <v>7.0822231949843287E-2</v>
      </c>
    </row>
    <row r="39" spans="6:27" ht="15" x14ac:dyDescent="0.25">
      <c r="K39" s="40"/>
      <c r="L39" s="40">
        <v>29.527000000000001</v>
      </c>
      <c r="M39" s="105">
        <v>34.510999999999989</v>
      </c>
      <c r="N39" s="105">
        <v>36.817999999999991</v>
      </c>
      <c r="O39" s="105">
        <v>39.29099999999999</v>
      </c>
      <c r="P39" s="105">
        <v>41.938999999999986</v>
      </c>
      <c r="Q39" s="105">
        <v>46.958999999999982</v>
      </c>
      <c r="R39" s="104">
        <v>51.623606829269036</v>
      </c>
      <c r="S39" s="104">
        <v>56.437421123787125</v>
      </c>
      <c r="T39" s="104">
        <v>61.359151746488493</v>
      </c>
      <c r="U39" s="104">
        <v>66.390910925104421</v>
      </c>
      <c r="V39" s="104">
        <v>71.496341421809177</v>
      </c>
      <c r="W39" s="104">
        <v>76.633269965563002</v>
      </c>
      <c r="X39" s="104">
        <v>81.712850774444163</v>
      </c>
      <c r="Y39" s="104">
        <v>86.735796389527621</v>
      </c>
      <c r="Z39" s="104">
        <v>91.739877738456215</v>
      </c>
      <c r="AA39" s="104">
        <v>96.725004513916488</v>
      </c>
    </row>
    <row r="41" spans="6:27" ht="15" x14ac:dyDescent="0.25">
      <c r="F41" s="2" t="s">
        <v>1361</v>
      </c>
      <c r="I41" s="1" t="s">
        <v>1364</v>
      </c>
      <c r="J41" s="1" t="s">
        <v>918</v>
      </c>
      <c r="M41" s="97">
        <v>0</v>
      </c>
      <c r="N41" s="97">
        <v>0</v>
      </c>
      <c r="O41" s="97">
        <v>0</v>
      </c>
      <c r="P41" s="97">
        <v>0</v>
      </c>
      <c r="Q41" s="97">
        <v>0</v>
      </c>
      <c r="R41" s="7">
        <v>2.2440000000000002</v>
      </c>
      <c r="S41" s="7">
        <v>2.0760000000000001</v>
      </c>
      <c r="T41" s="7">
        <v>1.8460000000000001</v>
      </c>
      <c r="U41" s="7">
        <v>1.5980000000000001</v>
      </c>
      <c r="V41" s="7">
        <v>1.2949999999999999</v>
      </c>
      <c r="W41" s="7">
        <v>0.95799999999999996</v>
      </c>
      <c r="X41" s="7">
        <v>0.60799999999999998</v>
      </c>
      <c r="Y41" s="7">
        <v>0.26300000000000001</v>
      </c>
      <c r="Z41" s="7">
        <v>-4.2999999999999997E-2</v>
      </c>
      <c r="AA41" s="7">
        <v>-0.34799999999999998</v>
      </c>
    </row>
    <row r="42" spans="6:27" x14ac:dyDescent="0.2">
      <c r="J42" s="1" t="s">
        <v>919</v>
      </c>
      <c r="M42" s="97">
        <v>6.1120000000000001</v>
      </c>
      <c r="N42" s="97">
        <v>3</v>
      </c>
      <c r="O42" s="97">
        <v>3.2149999999999999</v>
      </c>
      <c r="P42" s="97">
        <v>3.4409999999999998</v>
      </c>
      <c r="Q42" s="97">
        <v>3.6819999999999999</v>
      </c>
      <c r="R42" s="7">
        <v>3.0945041038156953</v>
      </c>
      <c r="S42" s="7">
        <v>3.5021818130728355</v>
      </c>
      <c r="T42" s="7">
        <v>3.9363712229665064</v>
      </c>
      <c r="U42" s="7">
        <v>4.3962562983831965</v>
      </c>
      <c r="V42" s="7">
        <v>4.8812173509783223</v>
      </c>
      <c r="W42" s="7">
        <v>5.3549743016774407</v>
      </c>
      <c r="X42" s="7">
        <v>5.7334276833097233</v>
      </c>
      <c r="Y42" s="7">
        <v>6.1075542648528245</v>
      </c>
      <c r="Z42" s="7">
        <v>6.4787287594009637</v>
      </c>
      <c r="AA42" s="7">
        <v>6.8483862417911192</v>
      </c>
    </row>
    <row r="43" spans="6:27" x14ac:dyDescent="0.2">
      <c r="J43" s="1" t="s">
        <v>909</v>
      </c>
      <c r="M43" s="97">
        <v>1.1339999999999999</v>
      </c>
      <c r="N43" s="97">
        <v>0.71599999999999997</v>
      </c>
      <c r="O43" s="97">
        <v>0.76900000000000002</v>
      </c>
      <c r="P43" s="97">
        <v>0.82399999999999995</v>
      </c>
      <c r="Q43" s="97">
        <v>0.88300000000000001</v>
      </c>
      <c r="R43" s="7">
        <v>0.74268098491576684</v>
      </c>
      <c r="S43" s="7">
        <v>0.84052363513748052</v>
      </c>
      <c r="T43" s="7">
        <v>0.94472909351196155</v>
      </c>
      <c r="U43" s="7">
        <v>1.0551015116119671</v>
      </c>
      <c r="V43" s="7">
        <v>1.1714921642347973</v>
      </c>
      <c r="W43" s="7">
        <v>1.2851938324025858</v>
      </c>
      <c r="X43" s="7">
        <v>1.3760226439943335</v>
      </c>
      <c r="Y43" s="7">
        <v>1.4658130235646778</v>
      </c>
      <c r="Z43" s="7">
        <v>1.5548949022562313</v>
      </c>
      <c r="AA43" s="7">
        <v>1.6436126980298686</v>
      </c>
    </row>
    <row r="44" spans="6:27" x14ac:dyDescent="0.2">
      <c r="J44" s="1" t="s">
        <v>920</v>
      </c>
      <c r="M44" s="97">
        <v>6.0000000000000001E-3</v>
      </c>
      <c r="N44" s="97">
        <v>2.3E-2</v>
      </c>
      <c r="O44" s="97">
        <v>2.7E-2</v>
      </c>
      <c r="P44" s="97">
        <v>3.1E-2</v>
      </c>
      <c r="Q44" s="97">
        <v>3.6999999999999998E-2</v>
      </c>
      <c r="R44" s="7">
        <v>3.1096320434867118E-2</v>
      </c>
      <c r="S44" s="7">
        <v>3.5193027453474995E-2</v>
      </c>
      <c r="T44" s="7">
        <v>3.9556147542031711E-2</v>
      </c>
      <c r="U44" s="7">
        <v>4.4177480456322187E-2</v>
      </c>
      <c r="V44" s="7">
        <v>4.9050799018521989E-2</v>
      </c>
      <c r="W44" s="7">
        <v>5.3811528832717372E-2</v>
      </c>
      <c r="X44" s="7">
        <v>5.7614563900722386E-2</v>
      </c>
      <c r="Y44" s="7">
        <v>6.1374119445832306E-2</v>
      </c>
      <c r="Z44" s="7">
        <v>6.5104009803866297E-2</v>
      </c>
      <c r="AA44" s="7">
        <v>6.881865587894391E-2</v>
      </c>
    </row>
    <row r="45" spans="6:27" ht="15" x14ac:dyDescent="0.25">
      <c r="K45" s="40"/>
      <c r="L45" s="40">
        <v>29.527000000000001</v>
      </c>
      <c r="M45" s="105">
        <v>34.510999999999989</v>
      </c>
      <c r="N45" s="105">
        <v>36.817999999999991</v>
      </c>
      <c r="O45" s="105">
        <v>39.29099999999999</v>
      </c>
      <c r="P45" s="105">
        <v>41.938999999999986</v>
      </c>
      <c r="Q45" s="105">
        <v>44.774999999999984</v>
      </c>
      <c r="R45" s="8">
        <v>49.401919439334783</v>
      </c>
      <c r="S45" s="8">
        <v>54.174770644723615</v>
      </c>
      <c r="T45" s="8">
        <v>59.051968921720189</v>
      </c>
      <c r="U45" s="8">
        <v>64.035301188947741</v>
      </c>
      <c r="V45" s="8">
        <v>69.089077174709786</v>
      </c>
      <c r="W45" s="8">
        <v>74.170669172817355</v>
      </c>
      <c r="X45" s="8">
        <v>79.193688776033483</v>
      </c>
      <c r="Y45" s="8">
        <v>84.159804136767463</v>
      </c>
      <c r="Z45" s="8">
        <v>89.105742003716045</v>
      </c>
      <c r="AA45" s="8">
        <v>94.031334203356238</v>
      </c>
    </row>
    <row r="47" spans="6:27" x14ac:dyDescent="0.2">
      <c r="M47" s="16"/>
      <c r="N47" s="16"/>
      <c r="O47" s="16"/>
      <c r="P47" s="16"/>
      <c r="Q47" s="16"/>
      <c r="R47" s="16"/>
      <c r="S47" s="16"/>
      <c r="T47" s="16"/>
      <c r="U47" s="16"/>
      <c r="V47" s="16"/>
      <c r="W47" s="16"/>
      <c r="X47" s="16"/>
      <c r="Y47" s="16"/>
      <c r="Z47" s="16"/>
      <c r="AA47" s="16"/>
    </row>
    <row r="48" spans="6:27" x14ac:dyDescent="0.2">
      <c r="M48" s="16"/>
      <c r="N48" s="16"/>
      <c r="O48" s="16"/>
      <c r="P48" s="16"/>
      <c r="Q48" s="16"/>
      <c r="R48" s="16"/>
      <c r="S48" s="16"/>
      <c r="T48" s="16"/>
      <c r="U48" s="16"/>
      <c r="V48" s="16"/>
      <c r="W48" s="16"/>
      <c r="X48" s="16"/>
      <c r="Y48" s="16"/>
      <c r="Z48" s="16"/>
      <c r="AA48" s="16"/>
    </row>
    <row r="49" spans="11:27" x14ac:dyDescent="0.2">
      <c r="M49" s="16"/>
      <c r="N49" s="16"/>
      <c r="O49" s="16"/>
      <c r="P49" s="16"/>
      <c r="Q49" s="16"/>
      <c r="R49" s="16"/>
      <c r="S49" s="16"/>
      <c r="T49" s="16"/>
      <c r="U49" s="16"/>
      <c r="V49" s="16"/>
      <c r="W49" s="16"/>
      <c r="X49" s="16"/>
      <c r="Y49" s="16"/>
      <c r="Z49" s="16"/>
      <c r="AA49" s="16"/>
    </row>
    <row r="50" spans="11:27" x14ac:dyDescent="0.2">
      <c r="M50" s="16"/>
      <c r="N50" s="16"/>
      <c r="O50" s="16"/>
      <c r="P50" s="16"/>
      <c r="Q50" s="16"/>
      <c r="R50" s="16"/>
      <c r="S50" s="16"/>
      <c r="T50" s="16"/>
      <c r="U50" s="16"/>
      <c r="V50" s="16"/>
      <c r="W50" s="16"/>
      <c r="X50" s="16"/>
      <c r="Y50" s="16"/>
      <c r="Z50" s="16"/>
      <c r="AA50" s="16"/>
    </row>
    <row r="51" spans="11:27" ht="15" x14ac:dyDescent="0.25">
      <c r="K51" s="40"/>
      <c r="L51" s="40"/>
      <c r="M51" s="39"/>
      <c r="N51" s="39"/>
      <c r="O51" s="39"/>
      <c r="P51" s="39"/>
      <c r="Q51" s="39"/>
      <c r="R51" s="39"/>
      <c r="S51" s="39"/>
      <c r="T51" s="39"/>
      <c r="U51" s="39"/>
      <c r="V51" s="39"/>
      <c r="W51" s="39"/>
      <c r="X51" s="39"/>
      <c r="Y51" s="39"/>
      <c r="Z51" s="39"/>
      <c r="AA51" s="39"/>
    </row>
    <row r="53" spans="11:27" x14ac:dyDescent="0.2">
      <c r="M53" s="16"/>
      <c r="N53" s="16"/>
      <c r="O53" s="16"/>
      <c r="P53" s="16"/>
      <c r="Q53" s="16"/>
      <c r="R53" s="7"/>
      <c r="S53" s="7"/>
      <c r="T53" s="7"/>
      <c r="U53" s="7"/>
      <c r="V53" s="7"/>
      <c r="W53" s="7"/>
      <c r="X53" s="7"/>
      <c r="Y53" s="7"/>
      <c r="Z53" s="7"/>
      <c r="AA53" s="7"/>
    </row>
    <row r="54" spans="11:27" x14ac:dyDescent="0.2">
      <c r="M54" s="16"/>
      <c r="N54" s="16"/>
      <c r="O54" s="16"/>
      <c r="P54" s="16"/>
      <c r="Q54" s="16"/>
      <c r="R54" s="7"/>
      <c r="S54" s="7"/>
      <c r="T54" s="7"/>
      <c r="U54" s="7"/>
      <c r="V54" s="7"/>
      <c r="W54" s="7"/>
      <c r="X54" s="7"/>
      <c r="Y54" s="7"/>
      <c r="Z54" s="7"/>
      <c r="AA54" s="7"/>
    </row>
    <row r="55" spans="11:27" x14ac:dyDescent="0.2">
      <c r="M55" s="16"/>
      <c r="N55" s="16"/>
      <c r="O55" s="16"/>
      <c r="P55" s="16"/>
      <c r="Q55" s="16"/>
      <c r="R55" s="7"/>
      <c r="S55" s="7"/>
      <c r="T55" s="7"/>
      <c r="U55" s="7"/>
      <c r="V55" s="7"/>
      <c r="W55" s="7"/>
      <c r="X55" s="7"/>
      <c r="Y55" s="7"/>
      <c r="Z55" s="7"/>
      <c r="AA55" s="7"/>
    </row>
    <row r="56" spans="11:27" x14ac:dyDescent="0.2">
      <c r="M56" s="16"/>
      <c r="N56" s="16"/>
      <c r="O56" s="16"/>
      <c r="P56" s="16"/>
      <c r="Q56" s="16"/>
      <c r="R56" s="7"/>
      <c r="S56" s="7"/>
      <c r="T56" s="7"/>
      <c r="U56" s="7"/>
      <c r="V56" s="7"/>
      <c r="W56" s="7"/>
      <c r="X56" s="7"/>
      <c r="Y56" s="7"/>
      <c r="Z56" s="7"/>
      <c r="AA56" s="7"/>
    </row>
    <row r="57" spans="11:27" ht="15" x14ac:dyDescent="0.25">
      <c r="K57" s="40"/>
      <c r="L57" s="40"/>
      <c r="M57" s="39"/>
      <c r="N57" s="39"/>
      <c r="O57" s="39"/>
      <c r="P57" s="39"/>
      <c r="Q57" s="39"/>
      <c r="R57" s="8"/>
      <c r="S57" s="8"/>
      <c r="T57" s="8"/>
      <c r="U57" s="8"/>
      <c r="V57" s="8"/>
      <c r="W57" s="8"/>
      <c r="X57" s="8"/>
      <c r="Y57" s="8"/>
      <c r="Z57" s="8"/>
      <c r="AA57" s="8"/>
    </row>
    <row r="59" spans="11:27" x14ac:dyDescent="0.2">
      <c r="M59" s="16"/>
      <c r="N59" s="16"/>
      <c r="O59" s="16"/>
      <c r="P59" s="16"/>
      <c r="Q59" s="16"/>
      <c r="R59" s="7"/>
      <c r="S59" s="7"/>
      <c r="T59" s="7"/>
      <c r="U59" s="7"/>
      <c r="V59" s="7"/>
      <c r="W59" s="7"/>
      <c r="X59" s="7"/>
      <c r="Y59" s="7"/>
      <c r="Z59" s="7"/>
      <c r="AA59" s="7"/>
    </row>
    <row r="60" spans="11:27" x14ac:dyDescent="0.2">
      <c r="M60" s="16"/>
      <c r="N60" s="16"/>
      <c r="O60" s="16"/>
      <c r="P60" s="16"/>
      <c r="Q60" s="16"/>
      <c r="R60" s="7"/>
      <c r="S60" s="7"/>
      <c r="T60" s="7"/>
      <c r="U60" s="7"/>
      <c r="V60" s="7"/>
      <c r="W60" s="7"/>
      <c r="X60" s="7"/>
      <c r="Y60" s="7"/>
      <c r="Z60" s="7"/>
      <c r="AA60" s="7"/>
    </row>
    <row r="61" spans="11:27" x14ac:dyDescent="0.2">
      <c r="M61" s="16"/>
      <c r="N61" s="16"/>
      <c r="O61" s="16"/>
      <c r="P61" s="16"/>
      <c r="Q61" s="16"/>
      <c r="R61" s="7"/>
      <c r="S61" s="7"/>
      <c r="T61" s="7"/>
      <c r="U61" s="7"/>
      <c r="V61" s="7"/>
      <c r="W61" s="7"/>
      <c r="X61" s="7"/>
      <c r="Y61" s="7"/>
      <c r="Z61" s="7"/>
      <c r="AA61" s="7"/>
    </row>
    <row r="62" spans="11:27" x14ac:dyDescent="0.2">
      <c r="M62" s="16"/>
      <c r="N62" s="16"/>
      <c r="O62" s="16"/>
      <c r="P62" s="16"/>
      <c r="Q62" s="16"/>
      <c r="R62" s="7"/>
      <c r="S62" s="7"/>
      <c r="T62" s="7"/>
      <c r="U62" s="7"/>
      <c r="V62" s="7"/>
      <c r="W62" s="7"/>
      <c r="X62" s="7"/>
      <c r="Y62" s="7"/>
      <c r="Z62" s="7"/>
      <c r="AA62" s="7"/>
    </row>
    <row r="63" spans="11:27" ht="15" x14ac:dyDescent="0.25">
      <c r="K63" s="40"/>
      <c r="L63" s="40"/>
      <c r="M63" s="39"/>
      <c r="N63" s="39"/>
      <c r="O63" s="39"/>
      <c r="P63" s="39"/>
      <c r="Q63" s="39"/>
      <c r="R63" s="8"/>
      <c r="S63" s="8"/>
      <c r="T63" s="8"/>
      <c r="U63" s="8"/>
      <c r="V63" s="8"/>
      <c r="W63" s="8"/>
      <c r="X63" s="8"/>
      <c r="Y63" s="8"/>
      <c r="Z63" s="8"/>
      <c r="AA63" s="8"/>
    </row>
    <row r="65" spans="11:27" x14ac:dyDescent="0.2">
      <c r="M65" s="16"/>
      <c r="N65" s="16"/>
      <c r="O65" s="16"/>
      <c r="P65" s="16"/>
      <c r="Q65" s="16"/>
      <c r="R65" s="7"/>
      <c r="S65" s="7"/>
      <c r="T65" s="7"/>
      <c r="U65" s="7"/>
      <c r="V65" s="7"/>
      <c r="W65" s="7"/>
      <c r="X65" s="7"/>
      <c r="Y65" s="7"/>
      <c r="Z65" s="7"/>
      <c r="AA65" s="7"/>
    </row>
    <row r="66" spans="11:27" x14ac:dyDescent="0.2">
      <c r="M66" s="16"/>
      <c r="N66" s="16"/>
      <c r="O66" s="16"/>
      <c r="P66" s="16"/>
      <c r="Q66" s="16"/>
      <c r="R66" s="7"/>
      <c r="S66" s="7"/>
      <c r="T66" s="7"/>
      <c r="U66" s="7"/>
      <c r="V66" s="7"/>
      <c r="W66" s="7"/>
      <c r="X66" s="7"/>
      <c r="Y66" s="7"/>
      <c r="Z66" s="7"/>
      <c r="AA66" s="7"/>
    </row>
    <row r="67" spans="11:27" x14ac:dyDescent="0.2">
      <c r="M67" s="16"/>
      <c r="N67" s="16"/>
      <c r="O67" s="16"/>
      <c r="P67" s="16"/>
      <c r="Q67" s="16"/>
      <c r="R67" s="7"/>
      <c r="S67" s="7"/>
      <c r="T67" s="7"/>
      <c r="U67" s="7"/>
      <c r="V67" s="7"/>
      <c r="W67" s="7"/>
      <c r="X67" s="7"/>
      <c r="Y67" s="7"/>
      <c r="Z67" s="7"/>
      <c r="AA67" s="7"/>
    </row>
    <row r="68" spans="11:27" x14ac:dyDescent="0.2">
      <c r="M68" s="16"/>
      <c r="N68" s="16"/>
      <c r="O68" s="16"/>
      <c r="P68" s="16"/>
      <c r="Q68" s="16"/>
      <c r="R68" s="7"/>
      <c r="S68" s="7"/>
      <c r="T68" s="7"/>
      <c r="U68" s="7"/>
      <c r="V68" s="7"/>
      <c r="W68" s="7"/>
      <c r="X68" s="7"/>
      <c r="Y68" s="7"/>
      <c r="Z68" s="7"/>
      <c r="AA68" s="7"/>
    </row>
    <row r="69" spans="11:27" ht="15" x14ac:dyDescent="0.25">
      <c r="K69" s="40"/>
      <c r="L69" s="40"/>
      <c r="M69" s="39"/>
      <c r="N69" s="39"/>
      <c r="O69" s="39"/>
      <c r="P69" s="39"/>
      <c r="Q69" s="39"/>
      <c r="R69" s="8"/>
      <c r="S69" s="8"/>
      <c r="T69" s="8"/>
      <c r="U69" s="8"/>
      <c r="V69" s="8"/>
      <c r="W69" s="8"/>
      <c r="X69" s="8"/>
      <c r="Y69" s="8"/>
      <c r="Z69" s="8"/>
      <c r="AA69" s="8"/>
    </row>
  </sheetData>
  <hyperlinks>
    <hyperlink ref="E2:F2" r:id="rId1" display="NZS Fund model"/>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zoomScaleNormal="100" workbookViewId="0">
      <selection activeCell="O28" sqref="O28"/>
    </sheetView>
  </sheetViews>
  <sheetFormatPr defaultRowHeight="14.25" x14ac:dyDescent="0.2"/>
  <cols>
    <col min="1" max="1" width="57.7109375" style="1" customWidth="1"/>
    <col min="2" max="2" width="9.140625" style="1"/>
    <col min="3" max="7" width="10.7109375" style="1" customWidth="1"/>
    <col min="8" max="9" width="9.140625" style="1"/>
    <col min="10" max="13" width="9.28515625" style="1" bestFit="1" customWidth="1"/>
    <col min="14" max="14" width="9.5703125" style="1" bestFit="1" customWidth="1"/>
    <col min="15" max="16384" width="9.140625" style="1"/>
  </cols>
  <sheetData>
    <row r="1" spans="1:22" ht="15" x14ac:dyDescent="0.25">
      <c r="A1" s="2" t="s">
        <v>926</v>
      </c>
    </row>
    <row r="2" spans="1:22" x14ac:dyDescent="0.2">
      <c r="A2" s="4" t="s">
        <v>927</v>
      </c>
    </row>
    <row r="3" spans="1:22" ht="15" x14ac:dyDescent="0.25">
      <c r="D3" s="2" t="s">
        <v>928</v>
      </c>
    </row>
    <row r="4" spans="1:22" ht="15" x14ac:dyDescent="0.25">
      <c r="A4" s="2" t="s">
        <v>11</v>
      </c>
      <c r="C4" s="6" t="s">
        <v>24</v>
      </c>
      <c r="D4" s="6" t="s">
        <v>25</v>
      </c>
      <c r="E4" s="6" t="s">
        <v>26</v>
      </c>
      <c r="F4" s="6" t="s">
        <v>27</v>
      </c>
      <c r="G4" s="6" t="s">
        <v>28</v>
      </c>
    </row>
    <row r="5" spans="1:22" ht="15" x14ac:dyDescent="0.25">
      <c r="C5" s="2">
        <v>2017</v>
      </c>
      <c r="D5" s="2">
        <v>2018</v>
      </c>
      <c r="E5" s="2">
        <v>2019</v>
      </c>
      <c r="F5" s="2">
        <v>2020</v>
      </c>
      <c r="G5" s="2">
        <v>2021</v>
      </c>
    </row>
    <row r="6" spans="1:22" ht="15" x14ac:dyDescent="0.25">
      <c r="A6" s="46" t="s">
        <v>513</v>
      </c>
      <c r="C6" s="70">
        <f ca="1">OFFSET('Fiscal Forecasts'!$B$160,0,C$5-'Fiscal Forecasts'!$E$7+3)/AVERAGE(OFFSET('Fiscal Forecasts'!$B$179,0,C$5-'Fiscal Forecasts'!$E$7+2),OFFSET('Fiscal Forecasts'!$B$179,0,C$5-'Fiscal Forecasts'!$E$7+3))</f>
        <v>3.7358717561763247E-2</v>
      </c>
      <c r="D6" s="70">
        <f ca="1">OFFSET('Fiscal Forecasts'!$B$160,0,D$5-'Fiscal Forecasts'!$E$7+3)/AVERAGE(OFFSET('Fiscal Forecasts'!$B$179,0,D$5-'Fiscal Forecasts'!$E$7+2),OFFSET('Fiscal Forecasts'!$B$179,0,D$5-'Fiscal Forecasts'!$E$7+3))</f>
        <v>3.7120444798827659E-2</v>
      </c>
      <c r="E6" s="70">
        <f ca="1">OFFSET('Fiscal Forecasts'!$B$160,0,E$5-'Fiscal Forecasts'!$E$7+3)/AVERAGE(OFFSET('Fiscal Forecasts'!$B$179,0,E$5-'Fiscal Forecasts'!$E$7+2),OFFSET('Fiscal Forecasts'!$B$179,0,E$5-'Fiscal Forecasts'!$E$7+3))</f>
        <v>3.7104676085910497E-2</v>
      </c>
      <c r="F6" s="70">
        <f ca="1">OFFSET('Fiscal Forecasts'!$B$160,0,F$5-'Fiscal Forecasts'!$E$7+3)/AVERAGE(OFFSET('Fiscal Forecasts'!$B$179,0,F$5-'Fiscal Forecasts'!$E$7+2),OFFSET('Fiscal Forecasts'!$B$179,0,F$5-'Fiscal Forecasts'!$E$7+3))</f>
        <v>3.7364197193863621E-2</v>
      </c>
      <c r="G6" s="70">
        <f ca="1">OFFSET('Fiscal Forecasts'!$B$160,0,G$5-'Fiscal Forecasts'!$E$7+3)/AVERAGE(OFFSET('Fiscal Forecasts'!$B$179,0,G$5-'Fiscal Forecasts'!$E$7+2),OFFSET('Fiscal Forecasts'!$B$179,0,G$5-'Fiscal Forecasts'!$E$7+3))</f>
        <v>3.8549442136431702E-2</v>
      </c>
    </row>
    <row r="7" spans="1:22" ht="15" x14ac:dyDescent="0.25">
      <c r="A7" s="2" t="s">
        <v>945</v>
      </c>
    </row>
    <row r="8" spans="1:22" x14ac:dyDescent="0.2">
      <c r="A8" s="1" t="s">
        <v>257</v>
      </c>
      <c r="C8" s="12">
        <v>0</v>
      </c>
      <c r="D8" s="12">
        <v>0</v>
      </c>
      <c r="E8" s="12">
        <v>0</v>
      </c>
      <c r="F8" s="12">
        <v>0</v>
      </c>
      <c r="G8" s="12">
        <v>0</v>
      </c>
      <c r="L8" s="12"/>
      <c r="M8" s="12"/>
      <c r="N8" s="12"/>
      <c r="O8" s="12"/>
      <c r="P8" s="12"/>
      <c r="R8" s="12"/>
      <c r="S8" s="12"/>
      <c r="T8" s="12"/>
      <c r="U8" s="12"/>
      <c r="V8" s="12"/>
    </row>
    <row r="9" spans="1:22" x14ac:dyDescent="0.2">
      <c r="A9" s="1" t="s">
        <v>258</v>
      </c>
      <c r="C9" s="12">
        <v>0</v>
      </c>
      <c r="D9" s="12">
        <v>0</v>
      </c>
      <c r="E9" s="12">
        <v>0</v>
      </c>
      <c r="F9" s="12">
        <v>0</v>
      </c>
      <c r="G9" s="12">
        <v>0</v>
      </c>
      <c r="L9" s="12"/>
      <c r="M9" s="12"/>
      <c r="N9" s="12"/>
      <c r="O9" s="12"/>
      <c r="P9" s="12"/>
      <c r="R9" s="12"/>
      <c r="S9" s="12"/>
      <c r="T9" s="12"/>
      <c r="U9" s="12"/>
      <c r="V9" s="12"/>
    </row>
    <row r="10" spans="1:22" x14ac:dyDescent="0.2">
      <c r="A10" s="1" t="s">
        <v>929</v>
      </c>
      <c r="C10" s="12">
        <v>0</v>
      </c>
      <c r="D10" s="12">
        <v>0</v>
      </c>
      <c r="E10" s="12">
        <v>0</v>
      </c>
      <c r="F10" s="12">
        <v>0</v>
      </c>
      <c r="G10" s="12">
        <v>0</v>
      </c>
      <c r="L10" s="12"/>
      <c r="M10" s="12"/>
      <c r="N10" s="12"/>
      <c r="O10" s="12"/>
      <c r="P10" s="12"/>
      <c r="R10" s="12"/>
      <c r="S10" s="12"/>
      <c r="T10" s="12"/>
      <c r="U10" s="12"/>
      <c r="V10" s="12"/>
    </row>
    <row r="11" spans="1:22" x14ac:dyDescent="0.2">
      <c r="A11" s="1" t="s">
        <v>260</v>
      </c>
      <c r="C11" s="12">
        <v>0</v>
      </c>
      <c r="D11" s="12">
        <v>0</v>
      </c>
      <c r="E11" s="12">
        <v>0</v>
      </c>
      <c r="F11" s="12">
        <v>0</v>
      </c>
      <c r="G11" s="12">
        <v>0</v>
      </c>
      <c r="L11" s="12"/>
      <c r="M11" s="12"/>
      <c r="N11" s="12"/>
      <c r="O11" s="12"/>
      <c r="P11" s="12"/>
      <c r="R11" s="12"/>
      <c r="S11" s="12"/>
      <c r="T11" s="12"/>
      <c r="U11" s="12"/>
      <c r="V11" s="12"/>
    </row>
    <row r="12" spans="1:22" x14ac:dyDescent="0.2">
      <c r="A12" s="1" t="s">
        <v>930</v>
      </c>
      <c r="C12" s="12">
        <v>0</v>
      </c>
      <c r="D12" s="12">
        <v>0</v>
      </c>
      <c r="E12" s="12">
        <v>0</v>
      </c>
      <c r="F12" s="12">
        <v>0</v>
      </c>
      <c r="G12" s="12">
        <v>0</v>
      </c>
      <c r="L12" s="12"/>
      <c r="M12" s="12"/>
      <c r="N12" s="12"/>
      <c r="O12" s="12"/>
      <c r="P12" s="12"/>
      <c r="R12" s="12"/>
      <c r="S12" s="12"/>
      <c r="T12" s="12"/>
      <c r="U12" s="12"/>
      <c r="V12" s="12"/>
    </row>
    <row r="13" spans="1:22" ht="15" x14ac:dyDescent="0.25">
      <c r="A13" s="2" t="s">
        <v>931</v>
      </c>
      <c r="C13" s="71">
        <f>SUM(C$8:C$12)</f>
        <v>0</v>
      </c>
      <c r="D13" s="71">
        <f>SUM(D$8:D$12)</f>
        <v>0</v>
      </c>
      <c r="E13" s="71">
        <f>SUM(E$8:E$12)</f>
        <v>0</v>
      </c>
      <c r="F13" s="71">
        <f>SUM(F$8:F$12)</f>
        <v>0</v>
      </c>
      <c r="G13" s="71">
        <f>SUM(G$8:G$12)</f>
        <v>0</v>
      </c>
    </row>
    <row r="14" spans="1:22" ht="15" x14ac:dyDescent="0.25">
      <c r="A14" s="2" t="s">
        <v>946</v>
      </c>
      <c r="C14" s="12"/>
      <c r="D14" s="39"/>
      <c r="E14" s="39"/>
      <c r="F14" s="39"/>
      <c r="G14" s="39"/>
    </row>
    <row r="15" spans="1:22" x14ac:dyDescent="0.2">
      <c r="A15" s="1" t="s">
        <v>932</v>
      </c>
      <c r="C15" s="12">
        <v>0</v>
      </c>
      <c r="D15" s="12">
        <v>0</v>
      </c>
      <c r="E15" s="12">
        <v>0</v>
      </c>
      <c r="F15" s="12">
        <v>0</v>
      </c>
      <c r="G15" s="12">
        <v>0</v>
      </c>
      <c r="L15" s="12"/>
      <c r="M15" s="12"/>
      <c r="N15" s="12"/>
      <c r="O15" s="12"/>
      <c r="P15" s="12"/>
    </row>
    <row r="16" spans="1:22" x14ac:dyDescent="0.2">
      <c r="A16" s="1" t="s">
        <v>298</v>
      </c>
      <c r="C16" s="12">
        <v>0</v>
      </c>
      <c r="D16" s="12">
        <v>0</v>
      </c>
      <c r="E16" s="12">
        <v>0</v>
      </c>
      <c r="F16" s="12">
        <v>0</v>
      </c>
      <c r="G16" s="12">
        <v>0</v>
      </c>
      <c r="L16" s="12"/>
      <c r="M16" s="12"/>
      <c r="N16" s="12"/>
      <c r="O16" s="12"/>
      <c r="P16" s="12"/>
    </row>
    <row r="17" spans="1:16" x14ac:dyDescent="0.2">
      <c r="A17" s="1" t="s">
        <v>299</v>
      </c>
      <c r="C17" s="12">
        <v>0</v>
      </c>
      <c r="D17" s="12">
        <v>0</v>
      </c>
      <c r="E17" s="12">
        <v>0</v>
      </c>
      <c r="F17" s="12">
        <v>0</v>
      </c>
      <c r="G17" s="12">
        <v>0</v>
      </c>
      <c r="L17" s="12"/>
      <c r="M17" s="12"/>
      <c r="N17" s="12"/>
      <c r="O17" s="12"/>
      <c r="P17" s="12"/>
    </row>
    <row r="18" spans="1:16" x14ac:dyDescent="0.2">
      <c r="A18" s="1" t="s">
        <v>300</v>
      </c>
      <c r="C18" s="12">
        <v>0</v>
      </c>
      <c r="D18" s="12">
        <v>0</v>
      </c>
      <c r="E18" s="12">
        <v>0</v>
      </c>
      <c r="F18" s="12">
        <v>0</v>
      </c>
      <c r="G18" s="12">
        <v>0</v>
      </c>
      <c r="L18" s="12"/>
      <c r="M18" s="12"/>
      <c r="N18" s="12"/>
      <c r="O18" s="12"/>
      <c r="P18" s="12"/>
    </row>
    <row r="19" spans="1:16" x14ac:dyDescent="0.2">
      <c r="A19" s="1" t="s">
        <v>491</v>
      </c>
      <c r="C19" s="12">
        <v>0</v>
      </c>
      <c r="D19" s="12">
        <v>0</v>
      </c>
      <c r="E19" s="12">
        <v>0</v>
      </c>
      <c r="F19" s="12">
        <v>0</v>
      </c>
      <c r="G19" s="12">
        <v>0</v>
      </c>
      <c r="L19" s="12"/>
      <c r="M19" s="12"/>
      <c r="N19" s="12"/>
      <c r="O19" s="12"/>
      <c r="P19" s="12"/>
    </row>
    <row r="20" spans="1:16" x14ac:dyDescent="0.2">
      <c r="A20" s="1" t="s">
        <v>493</v>
      </c>
      <c r="C20" s="12">
        <v>0</v>
      </c>
      <c r="D20" s="12">
        <v>0</v>
      </c>
      <c r="E20" s="12">
        <v>0</v>
      </c>
      <c r="F20" s="12">
        <v>0</v>
      </c>
      <c r="G20" s="12">
        <v>0</v>
      </c>
      <c r="L20" s="12"/>
      <c r="M20" s="12"/>
      <c r="N20" s="12"/>
      <c r="O20" s="12"/>
      <c r="P20" s="12"/>
    </row>
    <row r="21" spans="1:16" x14ac:dyDescent="0.2">
      <c r="A21" s="1" t="s">
        <v>301</v>
      </c>
      <c r="C21" s="12">
        <v>0</v>
      </c>
      <c r="D21" s="12">
        <v>0</v>
      </c>
      <c r="E21" s="12">
        <v>0</v>
      </c>
      <c r="F21" s="12">
        <v>0</v>
      </c>
      <c r="G21" s="12">
        <v>0</v>
      </c>
    </row>
    <row r="22" spans="1:16" x14ac:dyDescent="0.2">
      <c r="A22" s="1" t="s">
        <v>497</v>
      </c>
      <c r="C22" s="12">
        <v>0</v>
      </c>
      <c r="D22" s="12">
        <v>0</v>
      </c>
      <c r="E22" s="12">
        <v>0</v>
      </c>
      <c r="F22" s="12">
        <v>0</v>
      </c>
      <c r="G22" s="12">
        <v>0</v>
      </c>
    </row>
    <row r="23" spans="1:16" ht="15" x14ac:dyDescent="0.25">
      <c r="A23" s="2" t="s">
        <v>933</v>
      </c>
      <c r="C23" s="71">
        <f>SUM(C$15:C$22)</f>
        <v>0</v>
      </c>
      <c r="D23" s="71">
        <f>SUM(D$15:D$22)</f>
        <v>0</v>
      </c>
      <c r="E23" s="71">
        <f>SUM(E$15:E$22)</f>
        <v>0</v>
      </c>
      <c r="F23" s="71">
        <f>SUM(F$15:F$22)</f>
        <v>0</v>
      </c>
      <c r="G23" s="71">
        <f>SUM(G$15:G$22)</f>
        <v>0</v>
      </c>
    </row>
    <row r="24" spans="1:16" ht="15" x14ac:dyDescent="0.25">
      <c r="A24" s="2" t="s">
        <v>947</v>
      </c>
    </row>
    <row r="25" spans="1:16" x14ac:dyDescent="0.2">
      <c r="A25" s="1" t="s">
        <v>934</v>
      </c>
      <c r="C25" s="12">
        <v>0</v>
      </c>
      <c r="D25" s="12">
        <v>0</v>
      </c>
      <c r="E25" s="12">
        <v>0</v>
      </c>
      <c r="F25" s="12">
        <v>0</v>
      </c>
      <c r="G25" s="12">
        <v>0</v>
      </c>
    </row>
    <row r="26" spans="1:16" ht="15" x14ac:dyDescent="0.25">
      <c r="A26" s="1" t="s">
        <v>936</v>
      </c>
      <c r="C26" s="71">
        <f>SUM($B$25:C$25)</f>
        <v>0</v>
      </c>
      <c r="D26" s="71">
        <f>SUM($B$25:D$25)</f>
        <v>0</v>
      </c>
      <c r="E26" s="71">
        <f>SUM($B$25:E$25)</f>
        <v>0</v>
      </c>
      <c r="F26" s="71">
        <f>SUM($B$25:F$25)</f>
        <v>0</v>
      </c>
      <c r="G26" s="71">
        <f>SUM($B$25:G$25)</f>
        <v>0</v>
      </c>
    </row>
    <row r="27" spans="1:16" x14ac:dyDescent="0.2">
      <c r="A27" s="1" t="s">
        <v>935</v>
      </c>
      <c r="C27" s="12">
        <v>0</v>
      </c>
      <c r="D27" s="12">
        <v>0</v>
      </c>
      <c r="E27" s="12">
        <v>0</v>
      </c>
      <c r="F27" s="12">
        <v>0</v>
      </c>
      <c r="G27" s="12">
        <v>0</v>
      </c>
    </row>
    <row r="28" spans="1:16" ht="15" x14ac:dyDescent="0.25">
      <c r="A28" s="1" t="s">
        <v>937</v>
      </c>
      <c r="C28" s="71">
        <f>SUM($B$27:C$27)</f>
        <v>0</v>
      </c>
      <c r="D28" s="71">
        <f>SUM($B$27:D$27)</f>
        <v>0</v>
      </c>
      <c r="E28" s="71">
        <f>SUM($B$27:E$27)</f>
        <v>0</v>
      </c>
      <c r="F28" s="71">
        <f>SUM($B$27:F$27)</f>
        <v>0</v>
      </c>
      <c r="G28" s="71">
        <f>SUM($B$27:G$27)</f>
        <v>0</v>
      </c>
    </row>
    <row r="30" spans="1:16" x14ac:dyDescent="0.2">
      <c r="A30" s="19" t="s">
        <v>938</v>
      </c>
    </row>
    <row r="31" spans="1:16" ht="15" x14ac:dyDescent="0.25">
      <c r="A31" s="1" t="s">
        <v>942</v>
      </c>
      <c r="C31" s="12">
        <f ca="1">ROUND(C$6*C$35/2,0)</f>
        <v>0</v>
      </c>
      <c r="D31" s="12">
        <f ca="1">ROUND(D$6*D$35/2,0)</f>
        <v>0</v>
      </c>
      <c r="E31" s="12">
        <f ca="1">ROUND(E$6*E$35/2,0)</f>
        <v>0</v>
      </c>
      <c r="F31" s="12">
        <f ca="1">ROUND(F$6*F$35/2,0)</f>
        <v>0</v>
      </c>
      <c r="G31" s="12">
        <f ca="1">ROUND(G$6*G$35/2,0)</f>
        <v>0</v>
      </c>
    </row>
    <row r="32" spans="1:16" ht="15" x14ac:dyDescent="0.25">
      <c r="A32" s="1" t="s">
        <v>941</v>
      </c>
      <c r="C32" s="12">
        <f ca="1">ROUND(C$6*C$31/2,0)</f>
        <v>0</v>
      </c>
      <c r="D32" s="12">
        <f ca="1">ROUND(D$6*D$31/2,0)</f>
        <v>0</v>
      </c>
      <c r="E32" s="12">
        <f ca="1">ROUND(E$6*E$31/2,0)</f>
        <v>0</v>
      </c>
      <c r="F32" s="12">
        <f ca="1">ROUND(F$6*F$31/2,0)</f>
        <v>0</v>
      </c>
      <c r="G32" s="12">
        <f ca="1">ROUND(G$6*G$31/2,0)</f>
        <v>0</v>
      </c>
    </row>
    <row r="33" spans="1:7" ht="15" x14ac:dyDescent="0.25">
      <c r="A33" s="1" t="s">
        <v>923</v>
      </c>
      <c r="C33" s="12">
        <f ca="1">ROUND(C$6*SUM($B$36:B$36),0)</f>
        <v>0</v>
      </c>
      <c r="D33" s="12">
        <f ca="1">ROUND(D$6*SUM($B$36:C$36),0)</f>
        <v>0</v>
      </c>
      <c r="E33" s="12">
        <f ca="1">ROUND(E$6*SUM($B$36:D$36),0)</f>
        <v>0</v>
      </c>
      <c r="F33" s="12">
        <f ca="1">ROUND(F$6*SUM($B$36:E$36),0)</f>
        <v>0</v>
      </c>
      <c r="G33" s="12">
        <f ca="1">ROUND(G$6*SUM($B$36:F$36),0)</f>
        <v>0</v>
      </c>
    </row>
    <row r="34" spans="1:7" ht="15" x14ac:dyDescent="0.25">
      <c r="A34" s="2" t="s">
        <v>948</v>
      </c>
      <c r="C34" s="71">
        <f ca="1">SUM(C$31:C$33)</f>
        <v>0</v>
      </c>
      <c r="D34" s="71">
        <f ca="1">SUM(D$31:D$33)</f>
        <v>0</v>
      </c>
      <c r="E34" s="71">
        <f ca="1">SUM(E$31:E$33)</f>
        <v>0</v>
      </c>
      <c r="F34" s="71">
        <f ca="1">SUM(F$31:F$33)</f>
        <v>0</v>
      </c>
      <c r="G34" s="71">
        <f ca="1">SUM(G$31:G$33)</f>
        <v>0</v>
      </c>
    </row>
    <row r="35" spans="1:7" ht="15" x14ac:dyDescent="0.25">
      <c r="A35" s="1" t="s">
        <v>940</v>
      </c>
      <c r="C35" s="12">
        <f>SUM(-C$13,C$23,C$26,C$28-B$28)</f>
        <v>0</v>
      </c>
      <c r="D35" s="12">
        <f>SUM(-D$13,D$23,D$26,D$28-C$28)</f>
        <v>0</v>
      </c>
      <c r="E35" s="12">
        <f>SUM(-E$13,E$23,E$26,E$28-D$28)</f>
        <v>0</v>
      </c>
      <c r="F35" s="12">
        <f>SUM(-F$13,F$23,F$26,F$28-E$28)</f>
        <v>0</v>
      </c>
      <c r="G35" s="12">
        <f>SUM(-G$13,G$23,G$26,G$28-F$28)</f>
        <v>0</v>
      </c>
    </row>
    <row r="36" spans="1:7" ht="15" x14ac:dyDescent="0.25">
      <c r="A36" s="1" t="s">
        <v>939</v>
      </c>
      <c r="C36" s="12">
        <f ca="1">SUM(C$34,C$35)</f>
        <v>0</v>
      </c>
      <c r="D36" s="12">
        <f ca="1">SUM(D$34,D$35)</f>
        <v>0</v>
      </c>
      <c r="E36" s="12">
        <f ca="1">SUM(E$34,E$35)</f>
        <v>0</v>
      </c>
      <c r="F36" s="12">
        <f ca="1">SUM(F$34,F$35)</f>
        <v>0</v>
      </c>
      <c r="G36" s="12">
        <f ca="1">SUM(G$34,G$35)</f>
        <v>0</v>
      </c>
    </row>
    <row r="37" spans="1:7" ht="15" x14ac:dyDescent="0.25">
      <c r="A37" s="2" t="s">
        <v>949</v>
      </c>
      <c r="C37" s="71">
        <f ca="1">SUM($B$36:C$36)</f>
        <v>0</v>
      </c>
      <c r="D37" s="71">
        <f ca="1">SUM($B$36:D$36)</f>
        <v>0</v>
      </c>
      <c r="E37" s="71">
        <f ca="1">SUM($B$36:E$36)</f>
        <v>0</v>
      </c>
      <c r="F37" s="71">
        <f ca="1">SUM($B$36:F$36)</f>
        <v>0</v>
      </c>
      <c r="G37" s="71">
        <f ca="1">SUM($B$36:G$36)</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zoomScaleNormal="100" workbookViewId="0">
      <selection activeCell="J25" sqref="J25:J26"/>
    </sheetView>
  </sheetViews>
  <sheetFormatPr defaultRowHeight="14.25" x14ac:dyDescent="0.2"/>
  <cols>
    <col min="1" max="1" width="85.7109375" style="1" customWidth="1"/>
    <col min="2" max="2" width="12.7109375" style="1" customWidth="1"/>
    <col min="3" max="7" width="10.7109375" style="1" customWidth="1"/>
    <col min="8" max="12" width="9.140625" style="1"/>
    <col min="13" max="13" width="9.5703125" style="1" bestFit="1" customWidth="1"/>
    <col min="14" max="16384" width="9.140625" style="1"/>
  </cols>
  <sheetData>
    <row r="1" spans="1:7" ht="15" x14ac:dyDescent="0.25">
      <c r="A1" s="2" t="s">
        <v>872</v>
      </c>
      <c r="C1" s="6"/>
      <c r="D1" s="4"/>
    </row>
    <row r="2" spans="1:7" x14ac:dyDescent="0.2">
      <c r="A2" s="4" t="s">
        <v>890</v>
      </c>
    </row>
    <row r="3" spans="1:7" x14ac:dyDescent="0.2">
      <c r="A3" s="4" t="s">
        <v>891</v>
      </c>
    </row>
    <row r="4" spans="1:7" x14ac:dyDescent="0.2">
      <c r="A4" s="4" t="s">
        <v>892</v>
      </c>
    </row>
    <row r="5" spans="1:7" x14ac:dyDescent="0.2">
      <c r="A5" s="4" t="s">
        <v>119</v>
      </c>
    </row>
    <row r="7" spans="1:7" ht="15" x14ac:dyDescent="0.25">
      <c r="A7" s="14" t="s">
        <v>873</v>
      </c>
      <c r="C7" s="6" t="s">
        <v>24</v>
      </c>
      <c r="D7" s="6" t="s">
        <v>25</v>
      </c>
      <c r="E7" s="6" t="s">
        <v>26</v>
      </c>
      <c r="F7" s="6" t="s">
        <v>27</v>
      </c>
      <c r="G7" s="6" t="s">
        <v>28</v>
      </c>
    </row>
    <row r="8" spans="1:7" ht="15" x14ac:dyDescent="0.25">
      <c r="A8" s="14"/>
      <c r="C8" s="2">
        <v>2016</v>
      </c>
      <c r="D8" s="2">
        <v>2017</v>
      </c>
      <c r="E8" s="2">
        <v>2018</v>
      </c>
      <c r="F8" s="2">
        <v>2020</v>
      </c>
      <c r="G8" s="2">
        <v>2021</v>
      </c>
    </row>
    <row r="9" spans="1:7" ht="15" x14ac:dyDescent="0.25">
      <c r="A9" s="2" t="s">
        <v>874</v>
      </c>
      <c r="C9" s="8">
        <v>0</v>
      </c>
      <c r="D9" s="8">
        <v>0.49199999999999999</v>
      </c>
      <c r="E9" s="8">
        <v>2.0339999999999998</v>
      </c>
      <c r="F9" s="8">
        <v>3.746</v>
      </c>
      <c r="G9" s="8">
        <v>5.4950000000000001</v>
      </c>
    </row>
    <row r="10" spans="1:7" ht="15" x14ac:dyDescent="0.25">
      <c r="A10" s="2" t="s">
        <v>875</v>
      </c>
      <c r="C10" s="8">
        <v>0</v>
      </c>
      <c r="D10" s="8">
        <v>-1.175</v>
      </c>
      <c r="E10" s="8">
        <v>-0.56999999999999995</v>
      </c>
      <c r="F10" s="8">
        <v>-0.52500000000000002</v>
      </c>
      <c r="G10" s="8">
        <v>-0.5</v>
      </c>
    </row>
    <row r="11" spans="1:7" ht="15" x14ac:dyDescent="0.25">
      <c r="A11" s="2" t="s">
        <v>876</v>
      </c>
      <c r="C11" s="28">
        <f>SUM(C$9:C$10)</f>
        <v>0</v>
      </c>
      <c r="D11" s="28">
        <f>SUM(D$9:D$10)</f>
        <v>-0.68300000000000005</v>
      </c>
      <c r="E11" s="28">
        <f>SUM(E$9:E$10)</f>
        <v>1.464</v>
      </c>
      <c r="F11" s="28">
        <f>SUM(F$9:F$10)</f>
        <v>3.2210000000000001</v>
      </c>
      <c r="G11" s="28">
        <f>SUM(G$9:G$10)</f>
        <v>4.9950000000000001</v>
      </c>
    </row>
    <row r="12" spans="1:7" ht="15" x14ac:dyDescent="0.25">
      <c r="A12" s="2"/>
      <c r="B12" s="1" t="s">
        <v>877</v>
      </c>
      <c r="C12" s="2"/>
      <c r="D12" s="18"/>
      <c r="E12" s="18"/>
      <c r="F12" s="18"/>
      <c r="G12" s="18"/>
    </row>
    <row r="13" spans="1:7" ht="16.5" x14ac:dyDescent="0.25">
      <c r="A13" s="55" t="s">
        <v>878</v>
      </c>
      <c r="B13" s="1" t="s">
        <v>879</v>
      </c>
      <c r="C13" s="2"/>
    </row>
    <row r="14" spans="1:7" ht="15" x14ac:dyDescent="0.25">
      <c r="A14" s="1" t="s">
        <v>880</v>
      </c>
      <c r="B14" s="64">
        <v>2.5000000000000001E-2</v>
      </c>
      <c r="C14" s="7">
        <f>ROUND($B14*C$11,3)</f>
        <v>0</v>
      </c>
      <c r="D14" s="7">
        <f t="shared" ref="D14:G24" si="0">ROUND($B14*D$11,3)</f>
        <v>-1.7000000000000001E-2</v>
      </c>
      <c r="E14" s="7">
        <f t="shared" si="0"/>
        <v>3.6999999999999998E-2</v>
      </c>
      <c r="F14" s="7">
        <f t="shared" si="0"/>
        <v>8.1000000000000003E-2</v>
      </c>
      <c r="G14" s="7">
        <f t="shared" si="0"/>
        <v>0.125</v>
      </c>
    </row>
    <row r="15" spans="1:7" ht="15" x14ac:dyDescent="0.25">
      <c r="A15" s="1" t="s">
        <v>166</v>
      </c>
      <c r="B15" s="64">
        <v>0.34499999999999997</v>
      </c>
      <c r="C15" s="7">
        <f>ROUND($B15*C$11,3)</f>
        <v>0</v>
      </c>
      <c r="D15" s="7">
        <f>ROUND($B15*D$11,3)</f>
        <v>-0.23599999999999999</v>
      </c>
      <c r="E15" s="7">
        <f>ROUND($B15*E$11,3)</f>
        <v>0.505</v>
      </c>
      <c r="F15" s="7">
        <f>ROUND($B15*F$11,3)+0.001</f>
        <v>1.1119999999999999</v>
      </c>
      <c r="G15" s="7">
        <f>ROUND($B15*G$11,3)-0.002</f>
        <v>1.7210000000000001</v>
      </c>
    </row>
    <row r="16" spans="1:7" ht="15" x14ac:dyDescent="0.25">
      <c r="A16" s="1" t="s">
        <v>167</v>
      </c>
      <c r="B16" s="64">
        <v>0.29499999999999998</v>
      </c>
      <c r="C16" s="7">
        <f t="shared" ref="C16:E24" si="1">ROUND($B16*C$11,3)</f>
        <v>0</v>
      </c>
      <c r="D16" s="7">
        <f t="shared" si="1"/>
        <v>-0.20100000000000001</v>
      </c>
      <c r="E16" s="7">
        <f t="shared" si="1"/>
        <v>0.432</v>
      </c>
      <c r="F16" s="7">
        <f t="shared" si="0"/>
        <v>0.95</v>
      </c>
      <c r="G16" s="7">
        <f t="shared" si="0"/>
        <v>1.474</v>
      </c>
    </row>
    <row r="17" spans="1:7" ht="15" x14ac:dyDescent="0.25">
      <c r="A17" s="1" t="s">
        <v>168</v>
      </c>
      <c r="B17" s="64">
        <v>0.1</v>
      </c>
      <c r="C17" s="7">
        <f t="shared" si="1"/>
        <v>0</v>
      </c>
      <c r="D17" s="7">
        <f t="shared" si="1"/>
        <v>-6.8000000000000005E-2</v>
      </c>
      <c r="E17" s="7">
        <f t="shared" si="1"/>
        <v>0.14599999999999999</v>
      </c>
      <c r="F17" s="7">
        <f t="shared" si="0"/>
        <v>0.32200000000000001</v>
      </c>
      <c r="G17" s="7">
        <f t="shared" si="0"/>
        <v>0.5</v>
      </c>
    </row>
    <row r="18" spans="1:7" ht="15" x14ac:dyDescent="0.25">
      <c r="A18" s="1" t="s">
        <v>169</v>
      </c>
      <c r="B18" s="64">
        <v>0.08</v>
      </c>
      <c r="C18" s="7">
        <f t="shared" si="1"/>
        <v>0</v>
      </c>
      <c r="D18" s="7">
        <f t="shared" si="1"/>
        <v>-5.5E-2</v>
      </c>
      <c r="E18" s="7">
        <f t="shared" si="1"/>
        <v>0.11700000000000001</v>
      </c>
      <c r="F18" s="7">
        <f t="shared" si="0"/>
        <v>0.25800000000000001</v>
      </c>
      <c r="G18" s="7">
        <f t="shared" si="0"/>
        <v>0.4</v>
      </c>
    </row>
    <row r="19" spans="1:7" ht="15" x14ac:dyDescent="0.25">
      <c r="A19" s="1" t="s">
        <v>170</v>
      </c>
      <c r="B19" s="64">
        <v>4.4999999999999998E-2</v>
      </c>
      <c r="C19" s="7">
        <f t="shared" si="1"/>
        <v>0</v>
      </c>
      <c r="D19" s="7">
        <f t="shared" si="1"/>
        <v>-3.1E-2</v>
      </c>
      <c r="E19" s="7">
        <f t="shared" si="1"/>
        <v>6.6000000000000003E-2</v>
      </c>
      <c r="F19" s="7">
        <f t="shared" si="0"/>
        <v>0.14499999999999999</v>
      </c>
      <c r="G19" s="7">
        <f t="shared" si="0"/>
        <v>0.22500000000000001</v>
      </c>
    </row>
    <row r="20" spans="1:7" ht="15" x14ac:dyDescent="0.25">
      <c r="A20" s="1" t="s">
        <v>172</v>
      </c>
      <c r="B20" s="64">
        <v>0.05</v>
      </c>
      <c r="C20" s="7">
        <f t="shared" si="1"/>
        <v>0</v>
      </c>
      <c r="D20" s="7">
        <f t="shared" si="1"/>
        <v>-3.4000000000000002E-2</v>
      </c>
      <c r="E20" s="7">
        <f t="shared" si="1"/>
        <v>7.2999999999999995E-2</v>
      </c>
      <c r="F20" s="7">
        <f t="shared" si="0"/>
        <v>0.161</v>
      </c>
      <c r="G20" s="7">
        <f t="shared" si="0"/>
        <v>0.25</v>
      </c>
    </row>
    <row r="21" spans="1:7" ht="15" x14ac:dyDescent="0.25">
      <c r="A21" s="1" t="s">
        <v>174</v>
      </c>
      <c r="B21" s="64">
        <v>0.02</v>
      </c>
      <c r="C21" s="7">
        <f t="shared" si="1"/>
        <v>0</v>
      </c>
      <c r="D21" s="7">
        <f t="shared" si="1"/>
        <v>-1.4E-2</v>
      </c>
      <c r="E21" s="7">
        <f t="shared" si="1"/>
        <v>2.9000000000000001E-2</v>
      </c>
      <c r="F21" s="7">
        <f t="shared" si="0"/>
        <v>6.4000000000000001E-2</v>
      </c>
      <c r="G21" s="7">
        <f t="shared" si="0"/>
        <v>0.1</v>
      </c>
    </row>
    <row r="22" spans="1:7" ht="15" x14ac:dyDescent="0.25">
      <c r="A22" s="1" t="s">
        <v>173</v>
      </c>
      <c r="B22" s="64">
        <v>1.4999999999999999E-2</v>
      </c>
      <c r="C22" s="7">
        <f t="shared" si="1"/>
        <v>0</v>
      </c>
      <c r="D22" s="7">
        <f t="shared" si="1"/>
        <v>-0.01</v>
      </c>
      <c r="E22" s="7">
        <f t="shared" si="1"/>
        <v>2.1999999999999999E-2</v>
      </c>
      <c r="F22" s="7">
        <f t="shared" si="0"/>
        <v>4.8000000000000001E-2</v>
      </c>
      <c r="G22" s="7">
        <f t="shared" si="0"/>
        <v>7.4999999999999997E-2</v>
      </c>
    </row>
    <row r="23" spans="1:7" ht="15" x14ac:dyDescent="0.25">
      <c r="A23" s="1" t="s">
        <v>175</v>
      </c>
      <c r="B23" s="64">
        <v>0.01</v>
      </c>
      <c r="C23" s="7">
        <f t="shared" si="1"/>
        <v>0</v>
      </c>
      <c r="D23" s="7">
        <f t="shared" si="1"/>
        <v>-7.0000000000000001E-3</v>
      </c>
      <c r="E23" s="7">
        <f t="shared" si="1"/>
        <v>1.4999999999999999E-2</v>
      </c>
      <c r="F23" s="7">
        <f t="shared" si="0"/>
        <v>3.2000000000000001E-2</v>
      </c>
      <c r="G23" s="7">
        <f t="shared" si="0"/>
        <v>0.05</v>
      </c>
    </row>
    <row r="24" spans="1:7" ht="15" x14ac:dyDescent="0.25">
      <c r="A24" s="1" t="s">
        <v>176</v>
      </c>
      <c r="B24" s="64">
        <v>1.4999999999999999E-2</v>
      </c>
      <c r="C24" s="7">
        <f t="shared" si="1"/>
        <v>0</v>
      </c>
      <c r="D24" s="7">
        <f t="shared" si="1"/>
        <v>-0.01</v>
      </c>
      <c r="E24" s="7">
        <f t="shared" si="1"/>
        <v>2.1999999999999999E-2</v>
      </c>
      <c r="F24" s="7">
        <f t="shared" si="0"/>
        <v>4.8000000000000001E-2</v>
      </c>
      <c r="G24" s="7">
        <f t="shared" si="0"/>
        <v>7.4999999999999997E-2</v>
      </c>
    </row>
    <row r="25" spans="1:7" ht="15" x14ac:dyDescent="0.25">
      <c r="A25" s="2" t="s">
        <v>952</v>
      </c>
      <c r="B25" s="65">
        <f t="shared" ref="B25:G25" si="2">SUM(B$14:B$24)</f>
        <v>1</v>
      </c>
      <c r="C25" s="28">
        <f t="shared" si="2"/>
        <v>0</v>
      </c>
      <c r="D25" s="28">
        <f t="shared" si="2"/>
        <v>-0.68300000000000016</v>
      </c>
      <c r="E25" s="28">
        <f t="shared" si="2"/>
        <v>1.4639999999999997</v>
      </c>
      <c r="F25" s="28">
        <f t="shared" si="2"/>
        <v>3.2210000000000001</v>
      </c>
      <c r="G25" s="28">
        <f t="shared" si="2"/>
        <v>4.9950000000000001</v>
      </c>
    </row>
    <row r="26" spans="1:7" ht="15" x14ac:dyDescent="0.25">
      <c r="A26" s="2"/>
      <c r="C26" s="49"/>
      <c r="D26" s="49"/>
      <c r="E26" s="49"/>
      <c r="F26" s="49"/>
      <c r="G26" s="49"/>
    </row>
    <row r="27" spans="1:7" ht="15" x14ac:dyDescent="0.25">
      <c r="A27" s="2" t="s">
        <v>886</v>
      </c>
      <c r="C27" s="104">
        <v>0</v>
      </c>
      <c r="D27" s="104">
        <v>0.34599999999999997</v>
      </c>
      <c r="E27" s="8">
        <v>1.6990000000000001</v>
      </c>
      <c r="F27" s="8">
        <v>3.2839999999999998</v>
      </c>
      <c r="G27" s="8">
        <v>5.0190000000000001</v>
      </c>
    </row>
    <row r="28" spans="1:7" ht="15" x14ac:dyDescent="0.25">
      <c r="A28" s="2" t="s">
        <v>887</v>
      </c>
      <c r="C28" s="8">
        <v>0</v>
      </c>
      <c r="D28" s="8">
        <v>-0.99</v>
      </c>
      <c r="E28" s="8">
        <v>-1.1399999999999999</v>
      </c>
      <c r="F28" s="8">
        <v>-1.38</v>
      </c>
      <c r="G28" s="8">
        <v>-1.38</v>
      </c>
    </row>
    <row r="29" spans="1:7" ht="15" x14ac:dyDescent="0.25">
      <c r="A29" s="2" t="s">
        <v>888</v>
      </c>
      <c r="C29" s="28">
        <f>SUM(C$27:C$28)</f>
        <v>0</v>
      </c>
      <c r="D29" s="28">
        <f>SUM(D$27:D$28)</f>
        <v>-0.64400000000000002</v>
      </c>
      <c r="E29" s="28">
        <f>SUM(E$27:E$28)</f>
        <v>0.55900000000000016</v>
      </c>
      <c r="F29" s="28">
        <f>SUM(F$27:F$28)</f>
        <v>1.9039999999999999</v>
      </c>
      <c r="G29" s="28">
        <f>SUM(G$27:G$28)</f>
        <v>3.6390000000000002</v>
      </c>
    </row>
    <row r="30" spans="1:7" ht="15" x14ac:dyDescent="0.25">
      <c r="A30" s="2"/>
      <c r="C30" s="49"/>
      <c r="D30" s="49"/>
      <c r="E30" s="49"/>
      <c r="F30" s="49"/>
      <c r="G30" s="49"/>
    </row>
    <row r="31" spans="1:7" ht="15" x14ac:dyDescent="0.25">
      <c r="A31" s="2"/>
      <c r="C31" s="49"/>
      <c r="D31" s="49"/>
      <c r="E31" s="49"/>
      <c r="F31" s="49"/>
      <c r="G31" s="49"/>
    </row>
    <row r="32" spans="1:7" ht="15" x14ac:dyDescent="0.25">
      <c r="A32" s="2"/>
      <c r="C32" s="49"/>
      <c r="D32" s="49"/>
      <c r="E32" s="49"/>
      <c r="F32" s="49"/>
      <c r="G32" s="49"/>
    </row>
    <row r="33" spans="1:7" ht="15" x14ac:dyDescent="0.25">
      <c r="A33" s="2"/>
      <c r="C33" s="49"/>
      <c r="D33" s="49"/>
      <c r="E33" s="49"/>
      <c r="F33" s="49"/>
      <c r="G33" s="49"/>
    </row>
    <row r="34" spans="1:7" ht="15" x14ac:dyDescent="0.25">
      <c r="A34" s="2"/>
      <c r="C34" s="49"/>
      <c r="D34" s="49"/>
      <c r="E34" s="49"/>
      <c r="F34" s="49"/>
      <c r="G34" s="49"/>
    </row>
    <row r="35" spans="1:7" ht="15" x14ac:dyDescent="0.25">
      <c r="A35" s="2"/>
      <c r="C35" s="49"/>
      <c r="D35" s="49"/>
      <c r="E35" s="49"/>
      <c r="F35" s="49"/>
      <c r="G35" s="49"/>
    </row>
    <row r="36" spans="1:7" ht="15" x14ac:dyDescent="0.25">
      <c r="A36" s="2"/>
      <c r="C36" s="49"/>
      <c r="D36" s="49"/>
      <c r="E36" s="49"/>
      <c r="F36" s="49"/>
      <c r="G36" s="49"/>
    </row>
    <row r="37" spans="1:7" ht="15" x14ac:dyDescent="0.25">
      <c r="A37" s="2"/>
      <c r="C37" s="49"/>
      <c r="D37" s="49"/>
      <c r="E37" s="49"/>
      <c r="F37" s="49"/>
      <c r="G37" s="49"/>
    </row>
    <row r="38" spans="1:7" ht="15" x14ac:dyDescent="0.25">
      <c r="A38" s="2"/>
      <c r="C38" s="49"/>
      <c r="D38" s="49"/>
      <c r="E38" s="49"/>
      <c r="F38" s="49"/>
      <c r="G38" s="49"/>
    </row>
    <row r="39" spans="1:7" ht="15" x14ac:dyDescent="0.25">
      <c r="A39" s="2"/>
      <c r="C39" s="49"/>
      <c r="D39" s="49"/>
      <c r="E39" s="49"/>
      <c r="F39" s="49"/>
      <c r="G39" s="49"/>
    </row>
    <row r="40" spans="1:7" ht="15" x14ac:dyDescent="0.25">
      <c r="A40" s="2"/>
      <c r="C40" s="49"/>
      <c r="D40" s="49"/>
      <c r="E40" s="49"/>
      <c r="F40" s="49"/>
      <c r="G40" s="49"/>
    </row>
    <row r="41" spans="1:7" ht="15" x14ac:dyDescent="0.25">
      <c r="A41" s="2"/>
      <c r="C41" s="49"/>
      <c r="D41" s="49"/>
      <c r="E41" s="49"/>
      <c r="F41" s="49"/>
      <c r="G41" s="49"/>
    </row>
    <row r="42" spans="1:7" ht="15" x14ac:dyDescent="0.25">
      <c r="A42" s="2"/>
      <c r="C42" s="49"/>
      <c r="D42" s="49"/>
      <c r="E42" s="49"/>
      <c r="F42" s="49"/>
      <c r="G42" s="49"/>
    </row>
    <row r="43" spans="1:7" ht="15" x14ac:dyDescent="0.25">
      <c r="A43" s="2"/>
      <c r="C43" s="49"/>
      <c r="D43" s="49"/>
      <c r="E43" s="49"/>
      <c r="F43" s="49"/>
      <c r="G43" s="49"/>
    </row>
    <row r="44" spans="1:7" ht="15" x14ac:dyDescent="0.25">
      <c r="A44" s="2"/>
      <c r="C44" s="49"/>
      <c r="D44" s="49"/>
      <c r="E44" s="49"/>
      <c r="F44" s="49"/>
      <c r="G44" s="49"/>
    </row>
    <row r="45" spans="1:7" ht="15" x14ac:dyDescent="0.25">
      <c r="A45" s="2"/>
      <c r="C45" s="49"/>
      <c r="D45" s="49"/>
      <c r="E45" s="49"/>
      <c r="F45" s="49"/>
      <c r="G45" s="49"/>
    </row>
    <row r="46" spans="1:7" ht="15" x14ac:dyDescent="0.25">
      <c r="A46" s="2"/>
      <c r="C46" s="49"/>
      <c r="D46" s="49"/>
      <c r="E46" s="49"/>
      <c r="F46" s="49"/>
      <c r="G46" s="49"/>
    </row>
    <row r="47" spans="1:7" ht="15" x14ac:dyDescent="0.25">
      <c r="A47" s="2"/>
      <c r="C47" s="49"/>
      <c r="D47" s="49"/>
      <c r="E47" s="49"/>
      <c r="F47" s="49"/>
      <c r="G47" s="49"/>
    </row>
    <row r="48" spans="1:7" ht="15" x14ac:dyDescent="0.25">
      <c r="A48" s="2"/>
      <c r="C48" s="49"/>
      <c r="D48" s="49"/>
      <c r="E48" s="49"/>
      <c r="F48" s="49"/>
      <c r="G48" s="49"/>
    </row>
    <row r="49" spans="1:13" ht="15" x14ac:dyDescent="0.25">
      <c r="A49" s="2"/>
      <c r="C49" s="49"/>
      <c r="D49" s="49"/>
      <c r="E49" s="49"/>
      <c r="F49" s="49"/>
      <c r="G49" s="49"/>
    </row>
    <row r="50" spans="1:13" ht="15" x14ac:dyDescent="0.25">
      <c r="A50" s="2"/>
      <c r="C50" s="49"/>
      <c r="D50" s="49"/>
      <c r="E50" s="49"/>
      <c r="F50" s="49"/>
      <c r="G50" s="49"/>
    </row>
    <row r="51" spans="1:13" ht="15" x14ac:dyDescent="0.25">
      <c r="A51" s="2"/>
      <c r="C51" s="49"/>
      <c r="D51" s="49"/>
      <c r="E51" s="49"/>
      <c r="F51" s="49"/>
      <c r="G51" s="49"/>
    </row>
    <row r="52" spans="1:13" ht="15" x14ac:dyDescent="0.25">
      <c r="A52" s="2"/>
      <c r="C52" s="49"/>
      <c r="D52" s="49"/>
      <c r="E52" s="49"/>
      <c r="F52" s="49"/>
      <c r="G52" s="49"/>
    </row>
    <row r="54" spans="1:13" x14ac:dyDescent="0.2">
      <c r="A54" s="1" t="s">
        <v>880</v>
      </c>
      <c r="B54" s="7"/>
      <c r="C54" s="7">
        <v>1.056</v>
      </c>
      <c r="D54" s="7">
        <v>1.159</v>
      </c>
      <c r="E54" s="7">
        <v>1.0049999999999999</v>
      </c>
      <c r="F54" s="7">
        <v>0.873</v>
      </c>
      <c r="G54" s="7">
        <v>0.92500000000000004</v>
      </c>
      <c r="H54" s="7">
        <v>0.91800000000000004</v>
      </c>
      <c r="I54" s="7">
        <v>0.96499999999999997</v>
      </c>
      <c r="J54" s="7">
        <v>1.0609999999999999</v>
      </c>
      <c r="K54" s="7">
        <v>1.1080000000000001</v>
      </c>
      <c r="L54" s="7">
        <v>1.1779999999999999</v>
      </c>
      <c r="M54" s="7">
        <v>1.19</v>
      </c>
    </row>
    <row r="55" spans="1:13" x14ac:dyDescent="0.2">
      <c r="A55" s="1" t="s">
        <v>166</v>
      </c>
      <c r="B55" s="7"/>
      <c r="C55" s="7">
        <v>8.8130000000000006</v>
      </c>
      <c r="D55" s="7">
        <v>9.5470000000000006</v>
      </c>
      <c r="E55" s="7">
        <v>10.355</v>
      </c>
      <c r="F55" s="7">
        <v>11.297000000000001</v>
      </c>
      <c r="G55" s="7">
        <v>12.368</v>
      </c>
      <c r="H55" s="7">
        <v>13.128</v>
      </c>
      <c r="I55" s="7">
        <v>13.753</v>
      </c>
      <c r="J55" s="7">
        <v>14.16</v>
      </c>
      <c r="K55" s="7">
        <v>14.497999999999999</v>
      </c>
      <c r="L55" s="7">
        <v>14.898</v>
      </c>
      <c r="M55" s="7">
        <v>15.058</v>
      </c>
    </row>
    <row r="56" spans="1:13" x14ac:dyDescent="0.2">
      <c r="A56" s="1" t="s">
        <v>167</v>
      </c>
      <c r="B56" s="7"/>
      <c r="C56" s="7">
        <v>7.93</v>
      </c>
      <c r="D56" s="7">
        <v>9.9139999999999997</v>
      </c>
      <c r="E56" s="7">
        <v>9.2690000000000001</v>
      </c>
      <c r="F56" s="7">
        <v>9.5510000000000002</v>
      </c>
      <c r="G56" s="7">
        <v>11.455</v>
      </c>
      <c r="H56" s="7">
        <v>11.724</v>
      </c>
      <c r="I56" s="7">
        <v>11.65</v>
      </c>
      <c r="J56" s="7">
        <v>11.654</v>
      </c>
      <c r="K56" s="7">
        <v>12.504</v>
      </c>
      <c r="L56" s="7">
        <v>12.3</v>
      </c>
      <c r="M56" s="7">
        <v>12.879</v>
      </c>
    </row>
    <row r="57" spans="1:13" x14ac:dyDescent="0.2">
      <c r="A57" s="1" t="s">
        <v>168</v>
      </c>
      <c r="B57" s="7"/>
      <c r="C57" s="7">
        <v>2.5670000000000002</v>
      </c>
      <c r="D57" s="7">
        <v>2.5070000000000001</v>
      </c>
      <c r="E57" s="7">
        <v>4.8170000000000002</v>
      </c>
      <c r="F57" s="7">
        <v>3.371</v>
      </c>
      <c r="G57" s="7">
        <v>5.2930000000000001</v>
      </c>
      <c r="H57" s="7">
        <v>2.9740000000000002</v>
      </c>
      <c r="I57" s="7">
        <v>5.5629999999999997</v>
      </c>
      <c r="J57" s="7">
        <v>5.4279999999999999</v>
      </c>
      <c r="K57" s="7">
        <v>4.2939999999999996</v>
      </c>
      <c r="L57" s="7">
        <v>4.5019999999999998</v>
      </c>
      <c r="M57" s="7">
        <v>4.1340000000000003</v>
      </c>
    </row>
    <row r="58" spans="1:13" x14ac:dyDescent="0.2">
      <c r="A58" s="1" t="s">
        <v>169</v>
      </c>
      <c r="B58" s="7"/>
      <c r="C58" s="7">
        <v>1.889</v>
      </c>
      <c r="D58" s="7">
        <v>2.1459999999999999</v>
      </c>
      <c r="E58" s="7">
        <v>2.6059999999999999</v>
      </c>
      <c r="F58" s="7">
        <v>2.7970000000000002</v>
      </c>
      <c r="G58" s="7">
        <v>2.992</v>
      </c>
      <c r="H58" s="7">
        <v>3.1030000000000002</v>
      </c>
      <c r="I58" s="7">
        <v>3.3119999999999998</v>
      </c>
      <c r="J58" s="7">
        <v>3.3380000000000001</v>
      </c>
      <c r="K58" s="7">
        <v>3.3940000000000001</v>
      </c>
      <c r="L58" s="7">
        <v>3.4630000000000001</v>
      </c>
      <c r="M58" s="7">
        <v>3.5150000000000001</v>
      </c>
    </row>
    <row r="59" spans="1:13" x14ac:dyDescent="0.2">
      <c r="A59" s="1" t="s">
        <v>170</v>
      </c>
      <c r="B59" s="7"/>
      <c r="C59" s="7">
        <v>1.2749999999999999</v>
      </c>
      <c r="D59" s="7">
        <v>1.383</v>
      </c>
      <c r="E59" s="7">
        <v>1.5169999999999999</v>
      </c>
      <c r="F59" s="7">
        <v>1.5620000000000001</v>
      </c>
      <c r="G59" s="7">
        <v>1.7569999999999999</v>
      </c>
      <c r="H59" s="7">
        <v>1.8140000000000001</v>
      </c>
      <c r="I59" s="7">
        <v>1.8089999999999999</v>
      </c>
      <c r="J59" s="7">
        <v>1.736</v>
      </c>
      <c r="K59" s="7">
        <v>1.804</v>
      </c>
      <c r="L59" s="7">
        <v>1.8109999999999999</v>
      </c>
      <c r="M59" s="7">
        <v>1.9610000000000001</v>
      </c>
    </row>
    <row r="60" spans="1:13" x14ac:dyDescent="0.2">
      <c r="A60" s="1" t="s">
        <v>172</v>
      </c>
      <c r="B60" s="7"/>
      <c r="C60" s="7">
        <v>1.444</v>
      </c>
      <c r="D60" s="7">
        <v>1.5920000000000001</v>
      </c>
      <c r="E60" s="7">
        <v>1.595</v>
      </c>
      <c r="F60" s="7">
        <v>2.8889999999999998</v>
      </c>
      <c r="G60" s="7">
        <v>2.96</v>
      </c>
      <c r="H60" s="7">
        <v>2.806</v>
      </c>
      <c r="I60" s="7">
        <v>2.5419999999999998</v>
      </c>
      <c r="J60" s="7">
        <v>2.073</v>
      </c>
      <c r="K60" s="7">
        <v>1.978</v>
      </c>
      <c r="L60" s="7">
        <v>2.0579999999999998</v>
      </c>
      <c r="M60" s="7">
        <v>2.2280000000000002</v>
      </c>
    </row>
    <row r="61" spans="1:13" x14ac:dyDescent="0.2">
      <c r="A61" s="1" t="s">
        <v>174</v>
      </c>
      <c r="B61" s="7"/>
      <c r="C61" s="7">
        <v>0.68100000000000005</v>
      </c>
      <c r="D61" s="7">
        <v>0.84899999999999998</v>
      </c>
      <c r="E61" s="7">
        <v>0.52300000000000002</v>
      </c>
      <c r="F61" s="7">
        <v>0.56100000000000005</v>
      </c>
      <c r="G61" s="7">
        <v>0.58599999999999997</v>
      </c>
      <c r="H61" s="7">
        <v>0.63</v>
      </c>
      <c r="I61" s="7">
        <v>0.74099999999999999</v>
      </c>
      <c r="J61" s="7">
        <v>0.86299999999999999</v>
      </c>
      <c r="K61" s="7">
        <v>0.80400000000000005</v>
      </c>
      <c r="L61" s="7">
        <v>0.84199999999999997</v>
      </c>
      <c r="M61" s="7">
        <v>0.77800000000000002</v>
      </c>
    </row>
    <row r="62" spans="1:13" x14ac:dyDescent="0.2">
      <c r="A62" s="1" t="s">
        <v>173</v>
      </c>
      <c r="B62" s="7"/>
      <c r="C62" s="7">
        <v>0.39400000000000002</v>
      </c>
      <c r="D62" s="7">
        <v>0.46700000000000003</v>
      </c>
      <c r="E62" s="7">
        <v>0.438</v>
      </c>
      <c r="F62" s="7">
        <v>0.54100000000000004</v>
      </c>
      <c r="G62" s="7">
        <v>0.53400000000000003</v>
      </c>
      <c r="H62" s="7">
        <v>0.50700000000000001</v>
      </c>
      <c r="I62" s="7">
        <v>0.70599999999999996</v>
      </c>
      <c r="J62" s="7">
        <v>0.64800000000000002</v>
      </c>
      <c r="K62" s="7">
        <v>0.65900000000000003</v>
      </c>
      <c r="L62" s="7">
        <v>0.67600000000000005</v>
      </c>
      <c r="M62" s="7">
        <v>0.66700000000000004</v>
      </c>
    </row>
    <row r="63" spans="1:13" x14ac:dyDescent="0.2">
      <c r="A63" s="1" t="s">
        <v>175</v>
      </c>
      <c r="B63" s="7"/>
      <c r="C63" s="7">
        <v>0.16300000000000001</v>
      </c>
      <c r="D63" s="7">
        <v>0.20200000000000001</v>
      </c>
      <c r="E63" s="7">
        <v>0.255</v>
      </c>
      <c r="F63" s="7">
        <v>0.26</v>
      </c>
      <c r="G63" s="7">
        <v>0.29699999999999999</v>
      </c>
      <c r="H63" s="7">
        <v>0.33900000000000002</v>
      </c>
      <c r="I63" s="7">
        <v>0.94299999999999995</v>
      </c>
      <c r="J63" s="7">
        <v>-4.5999999999999999E-2</v>
      </c>
      <c r="K63" s="7">
        <v>0.28299999999999997</v>
      </c>
      <c r="L63" s="7">
        <v>0.34699999999999998</v>
      </c>
      <c r="M63" s="7">
        <v>0.32</v>
      </c>
    </row>
    <row r="64" spans="1:13" x14ac:dyDescent="0.2">
      <c r="A64" s="1" t="s">
        <v>176</v>
      </c>
      <c r="B64" s="7"/>
      <c r="C64" s="7">
        <v>0.31</v>
      </c>
      <c r="D64" s="7">
        <v>4.2000000000000003E-2</v>
      </c>
      <c r="E64" s="7">
        <v>0.32100000000000001</v>
      </c>
      <c r="F64" s="7">
        <v>0.54600000000000004</v>
      </c>
      <c r="G64" s="7">
        <v>0.41599999999999998</v>
      </c>
      <c r="H64" s="7">
        <v>0.65100000000000002</v>
      </c>
      <c r="I64" s="7">
        <v>1.2250000000000001</v>
      </c>
      <c r="J64" s="7">
        <v>0.76900000000000002</v>
      </c>
      <c r="K64" s="7">
        <v>0.53</v>
      </c>
      <c r="L64" s="7">
        <v>0.53300000000000003</v>
      </c>
      <c r="M64" s="7">
        <v>0.72299999999999998</v>
      </c>
    </row>
    <row r="65" spans="1:15" ht="15" x14ac:dyDescent="0.25">
      <c r="B65" s="28"/>
      <c r="C65" s="28">
        <f>SUM(C$54:C$64)</f>
        <v>26.521999999999995</v>
      </c>
      <c r="D65" s="28">
        <f t="shared" ref="D65:M65" si="3">SUM(D$54:D$64)</f>
        <v>29.808000000000003</v>
      </c>
      <c r="E65" s="28">
        <f t="shared" si="3"/>
        <v>32.701000000000001</v>
      </c>
      <c r="F65" s="28">
        <f t="shared" si="3"/>
        <v>34.247999999999998</v>
      </c>
      <c r="G65" s="28">
        <f t="shared" si="3"/>
        <v>39.582999999999991</v>
      </c>
      <c r="H65" s="28">
        <f t="shared" si="3"/>
        <v>38.594000000000001</v>
      </c>
      <c r="I65" s="28">
        <f t="shared" si="3"/>
        <v>43.209000000000003</v>
      </c>
      <c r="J65" s="28">
        <f t="shared" si="3"/>
        <v>41.683999999999997</v>
      </c>
      <c r="K65" s="28">
        <f t="shared" si="3"/>
        <v>41.856000000000002</v>
      </c>
      <c r="L65" s="28">
        <f t="shared" si="3"/>
        <v>42.608000000000004</v>
      </c>
      <c r="M65" s="28">
        <f t="shared" si="3"/>
        <v>43.453000000000003</v>
      </c>
    </row>
    <row r="67" spans="1:15" x14ac:dyDescent="0.2">
      <c r="O67" s="1" t="s">
        <v>889</v>
      </c>
    </row>
    <row r="68" spans="1:15" x14ac:dyDescent="0.2">
      <c r="A68" s="1" t="s">
        <v>880</v>
      </c>
      <c r="B68" s="66"/>
      <c r="C68" s="66">
        <f>C54/C$65</f>
        <v>3.9816001809818272E-2</v>
      </c>
      <c r="D68" s="66">
        <f t="shared" ref="D68:M68" si="4">D54/D$65</f>
        <v>3.8882179280730005E-2</v>
      </c>
      <c r="E68" s="66">
        <f t="shared" si="4"/>
        <v>3.0733005106877462E-2</v>
      </c>
      <c r="F68" s="66">
        <f t="shared" si="4"/>
        <v>2.5490539593552911E-2</v>
      </c>
      <c r="G68" s="66">
        <f t="shared" si="4"/>
        <v>2.336861784099235E-2</v>
      </c>
      <c r="H68" s="66">
        <f t="shared" si="4"/>
        <v>2.3786080737938541E-2</v>
      </c>
      <c r="I68" s="66">
        <f t="shared" si="4"/>
        <v>2.233331019000671E-2</v>
      </c>
      <c r="J68" s="66">
        <f t="shared" si="4"/>
        <v>2.545341138086556E-2</v>
      </c>
      <c r="K68" s="66">
        <f t="shared" si="4"/>
        <v>2.6471712538226302E-2</v>
      </c>
      <c r="L68" s="66">
        <f t="shared" si="4"/>
        <v>2.7647390161472021E-2</v>
      </c>
      <c r="M68" s="66">
        <f t="shared" si="4"/>
        <v>2.7385911214415571E-2</v>
      </c>
      <c r="O68" s="20">
        <f>AVERAGE($C68:$M68)</f>
        <v>2.8306196350445057E-2</v>
      </c>
    </row>
    <row r="69" spans="1:15" x14ac:dyDescent="0.2">
      <c r="A69" s="1" t="s">
        <v>166</v>
      </c>
      <c r="B69" s="66"/>
      <c r="C69" s="66">
        <f t="shared" ref="C69:M78" si="5">C55/C$65</f>
        <v>0.332290174195008</v>
      </c>
      <c r="D69" s="66">
        <f t="shared" si="5"/>
        <v>0.32028314546430486</v>
      </c>
      <c r="E69" s="66">
        <f t="shared" si="5"/>
        <v>0.31665698296688177</v>
      </c>
      <c r="F69" s="66">
        <f t="shared" si="5"/>
        <v>0.32985867787900025</v>
      </c>
      <c r="G69" s="66">
        <f t="shared" si="5"/>
        <v>0.31245736806204694</v>
      </c>
      <c r="H69" s="66">
        <f t="shared" si="5"/>
        <v>0.34015650101051975</v>
      </c>
      <c r="I69" s="66">
        <f t="shared" si="5"/>
        <v>0.31829017102918372</v>
      </c>
      <c r="J69" s="66">
        <f t="shared" si="5"/>
        <v>0.33969868534689573</v>
      </c>
      <c r="K69" s="66">
        <f t="shared" si="5"/>
        <v>0.34637805810397548</v>
      </c>
      <c r="L69" s="66">
        <f t="shared" si="5"/>
        <v>0.34965264739016144</v>
      </c>
      <c r="M69" s="66">
        <f t="shared" si="5"/>
        <v>0.34653533703081485</v>
      </c>
      <c r="O69" s="20">
        <f t="shared" ref="O69:O78" si="6">AVERAGE($C69:$M69)</f>
        <v>0.33202343167989024</v>
      </c>
    </row>
    <row r="70" spans="1:15" x14ac:dyDescent="0.2">
      <c r="A70" s="1" t="s">
        <v>167</v>
      </c>
      <c r="B70" s="66"/>
      <c r="C70" s="66">
        <f t="shared" si="5"/>
        <v>0.29899705904532092</v>
      </c>
      <c r="D70" s="66">
        <f t="shared" si="5"/>
        <v>0.33259527643585612</v>
      </c>
      <c r="E70" s="66">
        <f t="shared" si="5"/>
        <v>0.28344698938870372</v>
      </c>
      <c r="F70" s="66">
        <f t="shared" si="5"/>
        <v>0.27887759869189443</v>
      </c>
      <c r="G70" s="66">
        <f t="shared" si="5"/>
        <v>0.2893919106687215</v>
      </c>
      <c r="H70" s="66">
        <f t="shared" si="5"/>
        <v>0.30377778929367261</v>
      </c>
      <c r="I70" s="66">
        <f t="shared" si="5"/>
        <v>0.26961975514360431</v>
      </c>
      <c r="J70" s="66">
        <f t="shared" si="5"/>
        <v>0.27957969484694367</v>
      </c>
      <c r="K70" s="66">
        <f t="shared" si="5"/>
        <v>0.29873853211009171</v>
      </c>
      <c r="L70" s="66">
        <f t="shared" si="5"/>
        <v>0.2886781825009388</v>
      </c>
      <c r="M70" s="66">
        <f t="shared" si="5"/>
        <v>0.29638920212643544</v>
      </c>
      <c r="O70" s="20">
        <f t="shared" si="6"/>
        <v>0.29273563547747122</v>
      </c>
    </row>
    <row r="71" spans="1:15" x14ac:dyDescent="0.2">
      <c r="A71" s="1" t="s">
        <v>168</v>
      </c>
      <c r="B71" s="66"/>
      <c r="C71" s="66">
        <f t="shared" si="5"/>
        <v>9.6787572581253326E-2</v>
      </c>
      <c r="D71" s="66">
        <f t="shared" si="5"/>
        <v>8.4104938271604937E-2</v>
      </c>
      <c r="E71" s="66">
        <f t="shared" si="5"/>
        <v>0.14730436378092412</v>
      </c>
      <c r="F71" s="66">
        <f t="shared" si="5"/>
        <v>9.8429105349217477E-2</v>
      </c>
      <c r="G71" s="66">
        <f t="shared" si="5"/>
        <v>0.13371902079175407</v>
      </c>
      <c r="H71" s="66">
        <f t="shared" si="5"/>
        <v>7.7058610146654924E-2</v>
      </c>
      <c r="I71" s="66">
        <f t="shared" si="5"/>
        <v>0.12874632599689878</v>
      </c>
      <c r="J71" s="66">
        <f t="shared" si="5"/>
        <v>0.13021782938297669</v>
      </c>
      <c r="K71" s="66">
        <f t="shared" si="5"/>
        <v>0.10258983180428133</v>
      </c>
      <c r="L71" s="66">
        <f t="shared" si="5"/>
        <v>0.10566090874953059</v>
      </c>
      <c r="M71" s="66">
        <f t="shared" si="5"/>
        <v>9.5137274756633611E-2</v>
      </c>
      <c r="O71" s="20">
        <f t="shared" si="6"/>
        <v>0.10906870741924818</v>
      </c>
    </row>
    <row r="72" spans="1:15" x14ac:dyDescent="0.2">
      <c r="A72" s="1" t="s">
        <v>169</v>
      </c>
      <c r="B72" s="66"/>
      <c r="C72" s="66">
        <f t="shared" si="5"/>
        <v>7.1223889601085902E-2</v>
      </c>
      <c r="D72" s="66">
        <f t="shared" si="5"/>
        <v>7.1994095544820169E-2</v>
      </c>
      <c r="E72" s="66">
        <f t="shared" si="5"/>
        <v>7.9691752545793706E-2</v>
      </c>
      <c r="F72" s="66">
        <f t="shared" si="5"/>
        <v>8.1669002569493124E-2</v>
      </c>
      <c r="G72" s="66">
        <f t="shared" si="5"/>
        <v>7.5588004951620658E-2</v>
      </c>
      <c r="H72" s="66">
        <f t="shared" si="5"/>
        <v>8.0401098616365241E-2</v>
      </c>
      <c r="I72" s="66">
        <f t="shared" si="5"/>
        <v>7.6650697771297641E-2</v>
      </c>
      <c r="J72" s="66">
        <f t="shared" si="5"/>
        <v>8.0078687266097306E-2</v>
      </c>
      <c r="K72" s="66">
        <f t="shared" si="5"/>
        <v>8.1087538226299688E-2</v>
      </c>
      <c r="L72" s="66">
        <f t="shared" si="5"/>
        <v>8.1275816748028529E-2</v>
      </c>
      <c r="M72" s="66">
        <f t="shared" si="5"/>
        <v>8.0891998250983824E-2</v>
      </c>
      <c r="O72" s="20">
        <f t="shared" si="6"/>
        <v>7.8232052917444159E-2</v>
      </c>
    </row>
    <row r="73" spans="1:15" x14ac:dyDescent="0.2">
      <c r="A73" s="1" t="s">
        <v>170</v>
      </c>
      <c r="B73" s="66"/>
      <c r="C73" s="66">
        <f t="shared" si="5"/>
        <v>4.8073297639695353E-2</v>
      </c>
      <c r="D73" s="66">
        <f t="shared" si="5"/>
        <v>4.6396940418679547E-2</v>
      </c>
      <c r="E73" s="66">
        <f t="shared" si="5"/>
        <v>4.6390018653863795E-2</v>
      </c>
      <c r="F73" s="66">
        <f t="shared" si="5"/>
        <v>4.5608502686288258E-2</v>
      </c>
      <c r="G73" s="66">
        <f t="shared" si="5"/>
        <v>4.4387742212566007E-2</v>
      </c>
      <c r="H73" s="66">
        <f t="shared" si="5"/>
        <v>4.7002124682593148E-2</v>
      </c>
      <c r="I73" s="66">
        <f t="shared" si="5"/>
        <v>4.1866277858779416E-2</v>
      </c>
      <c r="J73" s="66">
        <f t="shared" si="5"/>
        <v>4.164667498320699E-2</v>
      </c>
      <c r="K73" s="66">
        <f t="shared" si="5"/>
        <v>4.3100152905198773E-2</v>
      </c>
      <c r="L73" s="66">
        <f t="shared" si="5"/>
        <v>4.2503755163349602E-2</v>
      </c>
      <c r="M73" s="66">
        <f t="shared" si="5"/>
        <v>4.5129220076864658E-2</v>
      </c>
      <c r="O73" s="20">
        <f t="shared" si="6"/>
        <v>4.4736791571007781E-2</v>
      </c>
    </row>
    <row r="74" spans="1:15" x14ac:dyDescent="0.2">
      <c r="A74" s="1" t="s">
        <v>172</v>
      </c>
      <c r="B74" s="66"/>
      <c r="C74" s="66">
        <f t="shared" si="5"/>
        <v>5.4445366111153012E-2</v>
      </c>
      <c r="D74" s="66">
        <f t="shared" si="5"/>
        <v>5.3408480944712823E-2</v>
      </c>
      <c r="E74" s="66">
        <f t="shared" si="5"/>
        <v>4.877526681141249E-2</v>
      </c>
      <c r="F74" s="66">
        <f t="shared" si="5"/>
        <v>8.4355290819901896E-2</v>
      </c>
      <c r="G74" s="66">
        <f t="shared" si="5"/>
        <v>7.4779577091175525E-2</v>
      </c>
      <c r="H74" s="66">
        <f t="shared" si="5"/>
        <v>7.270560190703218E-2</v>
      </c>
      <c r="I74" s="66">
        <f t="shared" si="5"/>
        <v>5.8830336272535803E-2</v>
      </c>
      <c r="J74" s="66">
        <f t="shared" si="5"/>
        <v>4.9731311774301894E-2</v>
      </c>
      <c r="K74" s="66">
        <f t="shared" si="5"/>
        <v>4.7257262996941891E-2</v>
      </c>
      <c r="L74" s="66">
        <f t="shared" si="5"/>
        <v>4.8300788584303408E-2</v>
      </c>
      <c r="M74" s="66">
        <f t="shared" si="5"/>
        <v>5.1273790072031852E-2</v>
      </c>
      <c r="O74" s="20">
        <f t="shared" si="6"/>
        <v>5.8533006671409343E-2</v>
      </c>
    </row>
    <row r="75" spans="1:15" x14ac:dyDescent="0.2">
      <c r="A75" s="1" t="s">
        <v>174</v>
      </c>
      <c r="B75" s="66"/>
      <c r="C75" s="66">
        <f t="shared" si="5"/>
        <v>2.567679662167258E-2</v>
      </c>
      <c r="D75" s="66">
        <f t="shared" si="5"/>
        <v>2.8482286634460542E-2</v>
      </c>
      <c r="E75" s="66">
        <f t="shared" si="5"/>
        <v>1.5993394697409867E-2</v>
      </c>
      <c r="F75" s="66">
        <f t="shared" si="5"/>
        <v>1.6380518570427473E-2</v>
      </c>
      <c r="G75" s="66">
        <f t="shared" si="5"/>
        <v>1.4804335194401639E-2</v>
      </c>
      <c r="H75" s="66">
        <f t="shared" si="5"/>
        <v>1.6323780898585272E-2</v>
      </c>
      <c r="I75" s="66">
        <f t="shared" si="5"/>
        <v>1.7149205026730542E-2</v>
      </c>
      <c r="J75" s="66">
        <f t="shared" si="5"/>
        <v>2.0703387390845408E-2</v>
      </c>
      <c r="K75" s="66">
        <f t="shared" si="5"/>
        <v>1.9208715596330275E-2</v>
      </c>
      <c r="L75" s="66">
        <f t="shared" si="5"/>
        <v>1.9761547127300036E-2</v>
      </c>
      <c r="M75" s="66">
        <f t="shared" si="5"/>
        <v>1.7904402457827998E-2</v>
      </c>
      <c r="O75" s="20">
        <f t="shared" si="6"/>
        <v>1.9308033655999236E-2</v>
      </c>
    </row>
    <row r="76" spans="1:15" x14ac:dyDescent="0.2">
      <c r="A76" s="1" t="s">
        <v>173</v>
      </c>
      <c r="B76" s="66"/>
      <c r="C76" s="66">
        <f t="shared" si="5"/>
        <v>1.4855591584345075E-2</v>
      </c>
      <c r="D76" s="66">
        <f t="shared" si="5"/>
        <v>1.5666935050993022E-2</v>
      </c>
      <c r="E76" s="66">
        <f t="shared" si="5"/>
        <v>1.3394085807773463E-2</v>
      </c>
      <c r="F76" s="66">
        <f t="shared" si="5"/>
        <v>1.5796542863816869E-2</v>
      </c>
      <c r="G76" s="66">
        <f t="shared" si="5"/>
        <v>1.3490639921178287E-2</v>
      </c>
      <c r="H76" s="66">
        <f t="shared" si="5"/>
        <v>1.3136757008861482E-2</v>
      </c>
      <c r="I76" s="66">
        <f t="shared" si="5"/>
        <v>1.6339188594968638E-2</v>
      </c>
      <c r="J76" s="66">
        <f t="shared" si="5"/>
        <v>1.554553305824777E-2</v>
      </c>
      <c r="K76" s="66">
        <f t="shared" si="5"/>
        <v>1.5744457186544342E-2</v>
      </c>
      <c r="L76" s="66">
        <f t="shared" si="5"/>
        <v>1.5865565152084114E-2</v>
      </c>
      <c r="M76" s="66">
        <f t="shared" si="5"/>
        <v>1.5349918302533771E-2</v>
      </c>
      <c r="O76" s="20">
        <f t="shared" si="6"/>
        <v>1.5016837684667893E-2</v>
      </c>
    </row>
    <row r="77" spans="1:15" x14ac:dyDescent="0.2">
      <c r="A77" s="1" t="s">
        <v>175</v>
      </c>
      <c r="B77" s="66"/>
      <c r="C77" s="66">
        <f t="shared" si="5"/>
        <v>6.145841188447328E-3</v>
      </c>
      <c r="D77" s="66">
        <f t="shared" si="5"/>
        <v>6.7767042404723562E-3</v>
      </c>
      <c r="E77" s="66">
        <f t="shared" si="5"/>
        <v>7.7979266689092077E-3</v>
      </c>
      <c r="F77" s="66">
        <f t="shared" si="5"/>
        <v>7.5916841859378654E-3</v>
      </c>
      <c r="G77" s="66">
        <f t="shared" si="5"/>
        <v>7.5032210797564627E-3</v>
      </c>
      <c r="H77" s="66">
        <f t="shared" si="5"/>
        <v>8.7837487692387414E-3</v>
      </c>
      <c r="I77" s="66">
        <f t="shared" si="5"/>
        <v>2.1824157004327799E-2</v>
      </c>
      <c r="J77" s="66">
        <f t="shared" si="5"/>
        <v>-1.1035409269743786E-3</v>
      </c>
      <c r="K77" s="66">
        <f t="shared" si="5"/>
        <v>6.7612767584097847E-3</v>
      </c>
      <c r="L77" s="66">
        <f t="shared" si="5"/>
        <v>8.1440105144573779E-3</v>
      </c>
      <c r="M77" s="66">
        <f t="shared" si="5"/>
        <v>7.3642786458932635E-3</v>
      </c>
      <c r="O77" s="20">
        <f t="shared" si="6"/>
        <v>7.9626643753523459E-3</v>
      </c>
    </row>
    <row r="78" spans="1:15" x14ac:dyDescent="0.2">
      <c r="A78" s="1" t="s">
        <v>176</v>
      </c>
      <c r="B78" s="66"/>
      <c r="C78" s="66">
        <f t="shared" si="5"/>
        <v>1.1688409622200439E-2</v>
      </c>
      <c r="D78" s="66">
        <f t="shared" si="5"/>
        <v>1.4090177133655394E-3</v>
      </c>
      <c r="E78" s="66">
        <f t="shared" si="5"/>
        <v>9.8162135714504137E-3</v>
      </c>
      <c r="F78" s="66">
        <f t="shared" si="5"/>
        <v>1.594253679046952E-2</v>
      </c>
      <c r="G78" s="66">
        <f t="shared" si="5"/>
        <v>1.0509562185786829E-2</v>
      </c>
      <c r="H78" s="66">
        <f t="shared" si="5"/>
        <v>1.6867906928538116E-2</v>
      </c>
      <c r="I78" s="66">
        <f t="shared" si="5"/>
        <v>2.835057511166655E-2</v>
      </c>
      <c r="J78" s="66">
        <f t="shared" si="5"/>
        <v>1.8448325496593417E-2</v>
      </c>
      <c r="K78" s="66">
        <f t="shared" si="5"/>
        <v>1.2662461773700307E-2</v>
      </c>
      <c r="L78" s="66">
        <f t="shared" si="5"/>
        <v>1.2509387908374013E-2</v>
      </c>
      <c r="M78" s="66">
        <f t="shared" si="5"/>
        <v>1.6638667065565091E-2</v>
      </c>
      <c r="O78" s="20">
        <f t="shared" si="6"/>
        <v>1.407664219706457E-2</v>
      </c>
    </row>
    <row r="79" spans="1:15" ht="15" x14ac:dyDescent="0.25">
      <c r="B79" s="28"/>
      <c r="C79" s="28">
        <f>SUM(C$68:C$78)</f>
        <v>1.0000000000000002</v>
      </c>
      <c r="D79" s="28">
        <f t="shared" ref="D79:O79" si="7">SUM(D$68:D$78)</f>
        <v>1</v>
      </c>
      <c r="E79" s="28">
        <f t="shared" si="7"/>
        <v>1.0000000000000002</v>
      </c>
      <c r="F79" s="28">
        <f t="shared" si="7"/>
        <v>1</v>
      </c>
      <c r="G79" s="28">
        <f t="shared" si="7"/>
        <v>1.0000000000000002</v>
      </c>
      <c r="H79" s="28">
        <f t="shared" si="7"/>
        <v>0.99999999999999989</v>
      </c>
      <c r="I79" s="28">
        <f t="shared" si="7"/>
        <v>0.99999999999999989</v>
      </c>
      <c r="J79" s="28">
        <f t="shared" si="7"/>
        <v>1</v>
      </c>
      <c r="K79" s="28">
        <f t="shared" si="7"/>
        <v>0.99999999999999989</v>
      </c>
      <c r="L79" s="28">
        <f t="shared" si="7"/>
        <v>0.99999999999999989</v>
      </c>
      <c r="M79" s="28">
        <f t="shared" si="7"/>
        <v>0.99999999999999989</v>
      </c>
      <c r="O79" s="28">
        <f t="shared" si="7"/>
        <v>1</v>
      </c>
    </row>
    <row r="82" spans="1:15" x14ac:dyDescent="0.2">
      <c r="A82" s="1" t="s">
        <v>881</v>
      </c>
      <c r="C82" s="7">
        <v>0.44400000000000001</v>
      </c>
      <c r="D82" s="7">
        <v>0.55500000000000005</v>
      </c>
      <c r="E82" s="7">
        <v>0.61699999999999999</v>
      </c>
      <c r="F82" s="7">
        <v>0.86</v>
      </c>
      <c r="G82" s="7">
        <v>1.03</v>
      </c>
      <c r="H82" s="7">
        <v>1.1839999999999999</v>
      </c>
      <c r="I82" s="7">
        <v>1.34</v>
      </c>
      <c r="J82" s="7">
        <v>1.355</v>
      </c>
      <c r="K82" s="7">
        <v>1.4359999999999999</v>
      </c>
      <c r="L82" s="7">
        <v>1.5449999999999999</v>
      </c>
      <c r="M82" s="7">
        <v>1.6439999999999999</v>
      </c>
    </row>
    <row r="83" spans="1:15" x14ac:dyDescent="0.2">
      <c r="A83" s="1" t="s">
        <v>882</v>
      </c>
      <c r="C83" s="7">
        <v>2.1869999999999998</v>
      </c>
      <c r="D83" s="7">
        <v>2.2989999999999999</v>
      </c>
      <c r="E83" s="7">
        <v>2.3919999999999999</v>
      </c>
      <c r="F83" s="7">
        <v>2.5270000000000001</v>
      </c>
      <c r="G83" s="7">
        <v>2.7610000000000001</v>
      </c>
      <c r="H83" s="7">
        <v>2.9039999999999999</v>
      </c>
      <c r="I83" s="7">
        <v>3.0169999999999999</v>
      </c>
      <c r="J83" s="7">
        <v>3.0649999999999999</v>
      </c>
      <c r="K83" s="7">
        <v>3.1440000000000006</v>
      </c>
      <c r="L83" s="7">
        <v>3.1079999999999997</v>
      </c>
      <c r="M83" s="7">
        <v>3.2319999999999998</v>
      </c>
    </row>
    <row r="84" spans="1:15" x14ac:dyDescent="0.2">
      <c r="A84" s="1" t="s">
        <v>883</v>
      </c>
      <c r="C84" s="7">
        <v>1.7470000000000001</v>
      </c>
      <c r="D84" s="7">
        <v>1.8540000000000001</v>
      </c>
      <c r="E84" s="7">
        <v>1.9329999999999998</v>
      </c>
      <c r="F84" s="7">
        <v>2.0249999999999999</v>
      </c>
      <c r="G84" s="7">
        <v>2.1749999999999998</v>
      </c>
      <c r="H84" s="7">
        <v>2.2529999999999997</v>
      </c>
      <c r="I84" s="7">
        <v>2.3370000000000002</v>
      </c>
      <c r="J84" s="7">
        <v>2.3779999999999997</v>
      </c>
      <c r="K84" s="7">
        <v>2.4460000000000002</v>
      </c>
      <c r="L84" s="7">
        <v>2.4419999999999997</v>
      </c>
      <c r="M84" s="7">
        <v>2.5409999999999999</v>
      </c>
    </row>
    <row r="85" spans="1:15" x14ac:dyDescent="0.2">
      <c r="A85" s="1" t="s">
        <v>884</v>
      </c>
      <c r="C85" s="7">
        <v>1.7150000000000001</v>
      </c>
      <c r="D85" s="7">
        <v>1.9750000000000001</v>
      </c>
      <c r="E85" s="7">
        <v>2.3010000000000002</v>
      </c>
      <c r="F85" s="7">
        <v>2.6240000000000001</v>
      </c>
      <c r="G85" s="7">
        <v>2.8090000000000002</v>
      </c>
      <c r="H85" s="7">
        <v>2.887</v>
      </c>
      <c r="I85" s="7">
        <v>2.7829999999999999</v>
      </c>
      <c r="J85" s="7">
        <v>2.7360000000000002</v>
      </c>
      <c r="K85" s="7">
        <v>2.754</v>
      </c>
      <c r="L85" s="7">
        <v>2.8460000000000001</v>
      </c>
      <c r="M85" s="7">
        <v>2.89</v>
      </c>
    </row>
    <row r="86" spans="1:15" x14ac:dyDescent="0.2">
      <c r="A86" s="1" t="s">
        <v>885</v>
      </c>
      <c r="C86" s="7">
        <v>1.056</v>
      </c>
      <c r="D86" s="7">
        <v>1.159</v>
      </c>
      <c r="E86" s="7">
        <v>1.0049999999999999</v>
      </c>
      <c r="F86" s="7">
        <v>0.873</v>
      </c>
      <c r="G86" s="7">
        <v>0.92500000000000004</v>
      </c>
      <c r="H86" s="7">
        <v>0.91800000000000004</v>
      </c>
      <c r="I86" s="7">
        <v>0.96500000000000008</v>
      </c>
      <c r="J86" s="7">
        <v>1.0609999999999999</v>
      </c>
      <c r="K86" s="7">
        <v>1.1079999999999999</v>
      </c>
      <c r="L86" s="7">
        <v>1.1779999999999999</v>
      </c>
      <c r="M86" s="7">
        <v>1.19</v>
      </c>
    </row>
    <row r="87" spans="1:15" ht="15" x14ac:dyDescent="0.25">
      <c r="C87" s="28">
        <f>SUM(C$82:C$86)</f>
        <v>7.149</v>
      </c>
      <c r="D87" s="28">
        <f t="shared" ref="D87:M87" si="8">SUM(D$82:D$86)</f>
        <v>7.8419999999999996</v>
      </c>
      <c r="E87" s="28">
        <f t="shared" si="8"/>
        <v>8.2480000000000011</v>
      </c>
      <c r="F87" s="28">
        <f t="shared" si="8"/>
        <v>8.9089999999999989</v>
      </c>
      <c r="G87" s="28">
        <f t="shared" si="8"/>
        <v>9.7000000000000011</v>
      </c>
      <c r="H87" s="28">
        <f t="shared" si="8"/>
        <v>10.145999999999999</v>
      </c>
      <c r="I87" s="28">
        <f t="shared" si="8"/>
        <v>10.442</v>
      </c>
      <c r="J87" s="28">
        <f t="shared" si="8"/>
        <v>10.595000000000001</v>
      </c>
      <c r="K87" s="28">
        <f t="shared" si="8"/>
        <v>10.888</v>
      </c>
      <c r="L87" s="28">
        <f t="shared" si="8"/>
        <v>11.119</v>
      </c>
      <c r="M87" s="28">
        <f t="shared" si="8"/>
        <v>11.497</v>
      </c>
    </row>
    <row r="88" spans="1:15" x14ac:dyDescent="0.2">
      <c r="O88" s="1" t="s">
        <v>889</v>
      </c>
    </row>
    <row r="89" spans="1:15" x14ac:dyDescent="0.2">
      <c r="A89" s="1" t="s">
        <v>881</v>
      </c>
      <c r="C89" s="66">
        <f>C82/C$87</f>
        <v>6.2106588334032729E-2</v>
      </c>
      <c r="D89" s="66">
        <f t="shared" ref="D89:M89" si="9">D82/D$87</f>
        <v>7.0772762050497331E-2</v>
      </c>
      <c r="E89" s="66">
        <f t="shared" si="9"/>
        <v>7.4806013579049452E-2</v>
      </c>
      <c r="F89" s="66">
        <f t="shared" si="9"/>
        <v>9.6531597261196547E-2</v>
      </c>
      <c r="G89" s="66">
        <f t="shared" si="9"/>
        <v>0.10618556701030928</v>
      </c>
      <c r="H89" s="66">
        <f t="shared" si="9"/>
        <v>0.11669623496944609</v>
      </c>
      <c r="I89" s="66">
        <f t="shared" si="9"/>
        <v>0.12832790653131584</v>
      </c>
      <c r="J89" s="66">
        <f t="shared" si="9"/>
        <v>0.12789051439358187</v>
      </c>
      <c r="K89" s="66">
        <f t="shared" si="9"/>
        <v>0.13188831741366641</v>
      </c>
      <c r="L89" s="66">
        <f t="shared" si="9"/>
        <v>0.13895134454537278</v>
      </c>
      <c r="M89" s="66">
        <f t="shared" si="9"/>
        <v>0.14299382447595024</v>
      </c>
      <c r="O89" s="20">
        <f>AVERAGE($C89:$M89)</f>
        <v>0.10883187914221987</v>
      </c>
    </row>
    <row r="90" spans="1:15" x14ac:dyDescent="0.2">
      <c r="A90" s="1" t="s">
        <v>882</v>
      </c>
      <c r="C90" s="66">
        <f t="shared" ref="C90:M93" si="10">C83/C$87</f>
        <v>0.30591691145614769</v>
      </c>
      <c r="D90" s="66">
        <f t="shared" si="10"/>
        <v>0.29316500892629432</v>
      </c>
      <c r="E90" s="66">
        <f t="shared" si="10"/>
        <v>0.29000969932104748</v>
      </c>
      <c r="F90" s="66">
        <f t="shared" si="10"/>
        <v>0.28364575148726012</v>
      </c>
      <c r="G90" s="66">
        <f t="shared" si="10"/>
        <v>0.28463917525773191</v>
      </c>
      <c r="H90" s="66">
        <f t="shared" si="10"/>
        <v>0.2862211709047901</v>
      </c>
      <c r="I90" s="66">
        <f t="shared" si="10"/>
        <v>0.28892932388431336</v>
      </c>
      <c r="J90" s="66">
        <f t="shared" si="10"/>
        <v>0.28928739971684753</v>
      </c>
      <c r="K90" s="66">
        <f t="shared" si="10"/>
        <v>0.28875826598089643</v>
      </c>
      <c r="L90" s="66">
        <f t="shared" si="10"/>
        <v>0.27952153970680815</v>
      </c>
      <c r="M90" s="66">
        <f t="shared" si="10"/>
        <v>0.28111681308167347</v>
      </c>
      <c r="O90" s="20">
        <f>AVERAGE($C90:$M90)</f>
        <v>0.28829191452034642</v>
      </c>
    </row>
    <row r="91" spans="1:15" x14ac:dyDescent="0.2">
      <c r="A91" s="1" t="s">
        <v>883</v>
      </c>
      <c r="C91" s="66">
        <f t="shared" si="10"/>
        <v>0.24436984193593511</v>
      </c>
      <c r="D91" s="66">
        <f t="shared" si="10"/>
        <v>0.23641928079571539</v>
      </c>
      <c r="E91" s="66">
        <f t="shared" si="10"/>
        <v>0.23435984481086319</v>
      </c>
      <c r="F91" s="66">
        <f t="shared" si="10"/>
        <v>0.2272982377371198</v>
      </c>
      <c r="G91" s="66">
        <f t="shared" si="10"/>
        <v>0.22422680412371129</v>
      </c>
      <c r="H91" s="66">
        <f t="shared" si="10"/>
        <v>0.22205795387344765</v>
      </c>
      <c r="I91" s="66">
        <f t="shared" si="10"/>
        <v>0.2238076996743919</v>
      </c>
      <c r="J91" s="66">
        <f t="shared" si="10"/>
        <v>0.22444549315714957</v>
      </c>
      <c r="K91" s="66">
        <f t="shared" si="10"/>
        <v>0.2246509919177076</v>
      </c>
      <c r="L91" s="66">
        <f t="shared" si="10"/>
        <v>0.21962406691249212</v>
      </c>
      <c r="M91" s="66">
        <f t="shared" si="10"/>
        <v>0.22101417761155084</v>
      </c>
      <c r="O91" s="20">
        <f>AVERAGE($C91:$M91)</f>
        <v>0.2274794902318259</v>
      </c>
    </row>
    <row r="92" spans="1:15" x14ac:dyDescent="0.2">
      <c r="A92" s="1" t="s">
        <v>884</v>
      </c>
      <c r="C92" s="66">
        <f t="shared" si="10"/>
        <v>0.2398936914253742</v>
      </c>
      <c r="D92" s="66">
        <f t="shared" si="10"/>
        <v>0.25184901810762561</v>
      </c>
      <c r="E92" s="66">
        <f t="shared" si="10"/>
        <v>0.27897672162948589</v>
      </c>
      <c r="F92" s="66">
        <f t="shared" si="10"/>
        <v>0.29453361768997649</v>
      </c>
      <c r="G92" s="66">
        <f t="shared" si="10"/>
        <v>0.28958762886597939</v>
      </c>
      <c r="H92" s="66">
        <f t="shared" si="10"/>
        <v>0.28454563374728958</v>
      </c>
      <c r="I92" s="66">
        <f t="shared" si="10"/>
        <v>0.26651982378854622</v>
      </c>
      <c r="J92" s="66">
        <f t="shared" si="10"/>
        <v>0.25823501651722514</v>
      </c>
      <c r="K92" s="66">
        <f t="shared" si="10"/>
        <v>0.25293901542983099</v>
      </c>
      <c r="L92" s="66">
        <f t="shared" si="10"/>
        <v>0.25595826962856372</v>
      </c>
      <c r="M92" s="66">
        <f t="shared" si="10"/>
        <v>0.25136992258850138</v>
      </c>
      <c r="O92" s="20">
        <f>AVERAGE($C92:$M92)</f>
        <v>0.26585530540167257</v>
      </c>
    </row>
    <row r="93" spans="1:15" x14ac:dyDescent="0.2">
      <c r="A93" s="1" t="s">
        <v>885</v>
      </c>
      <c r="C93" s="66">
        <f t="shared" si="10"/>
        <v>0.14771296684851029</v>
      </c>
      <c r="D93" s="66">
        <f t="shared" si="10"/>
        <v>0.14779393011986738</v>
      </c>
      <c r="E93" s="66">
        <f t="shared" si="10"/>
        <v>0.12184772065955381</v>
      </c>
      <c r="F93" s="66">
        <f t="shared" si="10"/>
        <v>9.7990795824447197E-2</v>
      </c>
      <c r="G93" s="66">
        <f t="shared" si="10"/>
        <v>9.5360824742268036E-2</v>
      </c>
      <c r="H93" s="66">
        <f t="shared" si="10"/>
        <v>9.0479006505026618E-2</v>
      </c>
      <c r="I93" s="66">
        <f t="shared" si="10"/>
        <v>9.2415246121432676E-2</v>
      </c>
      <c r="J93" s="66">
        <f t="shared" si="10"/>
        <v>0.10014157621519583</v>
      </c>
      <c r="K93" s="66">
        <f t="shared" si="10"/>
        <v>0.10176340925789859</v>
      </c>
      <c r="L93" s="66">
        <f t="shared" si="10"/>
        <v>0.10594477920676319</v>
      </c>
      <c r="M93" s="66">
        <f t="shared" si="10"/>
        <v>0.10350526224232408</v>
      </c>
      <c r="O93" s="20">
        <f>AVERAGE($C93:$M93)</f>
        <v>0.10954141070393525</v>
      </c>
    </row>
    <row r="94" spans="1:15" ht="15" x14ac:dyDescent="0.25">
      <c r="C94" s="28">
        <f>SUM(C$89:C$93)</f>
        <v>1</v>
      </c>
      <c r="D94" s="28">
        <f t="shared" ref="D94:O94" si="11">SUM(D$89:D$93)</f>
        <v>1</v>
      </c>
      <c r="E94" s="28">
        <f t="shared" si="11"/>
        <v>0.99999999999999978</v>
      </c>
      <c r="F94" s="28">
        <f t="shared" si="11"/>
        <v>1.0000000000000002</v>
      </c>
      <c r="G94" s="28">
        <f t="shared" si="11"/>
        <v>0.99999999999999989</v>
      </c>
      <c r="H94" s="28">
        <f t="shared" si="11"/>
        <v>1</v>
      </c>
      <c r="I94" s="28">
        <f t="shared" si="11"/>
        <v>1</v>
      </c>
      <c r="J94" s="28">
        <f t="shared" si="11"/>
        <v>0.99999999999999989</v>
      </c>
      <c r="K94" s="28">
        <f t="shared" si="11"/>
        <v>1</v>
      </c>
      <c r="L94" s="28">
        <f t="shared" si="11"/>
        <v>0.99999999999999989</v>
      </c>
      <c r="M94" s="28">
        <f t="shared" si="11"/>
        <v>1</v>
      </c>
      <c r="O94" s="28">
        <f t="shared" si="11"/>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Display</vt:lpstr>
      <vt:lpstr>Guide</vt:lpstr>
      <vt:lpstr>Sources</vt:lpstr>
      <vt:lpstr>Population</vt:lpstr>
      <vt:lpstr>Labour Force</vt:lpstr>
      <vt:lpstr>Exogenous</vt:lpstr>
      <vt:lpstr>NZS Fund Adjuster</vt:lpstr>
      <vt:lpstr>Fiscal Forecast Adjuster</vt:lpstr>
      <vt:lpstr>Allocate</vt:lpstr>
      <vt:lpstr>Fiscal Outturns</vt:lpstr>
      <vt:lpstr>Economic Forecasts</vt:lpstr>
      <vt:lpstr>Fiscal Forecasts</vt:lpstr>
      <vt:lpstr>Assumptions</vt:lpstr>
      <vt:lpstr>Pre-Election EFU 2017 FSM</vt:lpstr>
      <vt:lpstr>Option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Fiscal Strategy Model - BEFU 2017 Update - 31 May 2017</dc:title>
  <dc:creator/>
  <cp:lastModifiedBy/>
  <dcterms:created xsi:type="dcterms:W3CDTF">2017-05-22T02:56:25Z</dcterms:created>
  <dcterms:modified xsi:type="dcterms:W3CDTF">2017-08-22T04:37:41Z</dcterms:modified>
</cp:coreProperties>
</file>