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2"/>
  </bookViews>
  <sheets>
    <sheet name="Список профессий" sheetId="7" r:id="rId1"/>
    <sheet name="Форма" sheetId="1" r:id="rId2"/>
    <sheet name="Изготовитель полуфабрикатов" sheetId="13" r:id="rId3"/>
    <sheet name="Оператор машинного доения" sheetId="12" r:id="rId4"/>
    <sheet name="Животновод" sheetId="11" r:id="rId5"/>
    <sheet name="Птицевод" sheetId="10" r:id="rId6"/>
    <sheet name="Водитель-международник" sheetId="9" r:id="rId7"/>
    <sheet name="Водитель" sheetId="8" r:id="rId8"/>
    <sheet name="АНАЛИТИКА" sheetId="2" state="hidden" r:id="rId9"/>
    <sheet name="Диаграмма 1" sheetId="3" state="hidden" r:id="rId10"/>
    <sheet name="СВОД 2017" sheetId="4" state="hidden" r:id="rId11"/>
    <sheet name="СВОД 2018" sheetId="5" state="hidden" r:id="rId12"/>
    <sheet name="Диаграмма 2" sheetId="6" state="hidden" r:id="rId13"/>
  </sheets>
  <definedNames>
    <definedName name="_xlnm._FilterDatabase" localSheetId="10" hidden="1">'СВОД 2017'!$A$1:$AB$339</definedName>
    <definedName name="_xlnm._FilterDatabase" localSheetId="11" hidden="1">'СВОД 2018'!$A$1:$J$464</definedName>
    <definedName name="Z_EFD2F9AD_5C22_48DC_8D06_A753B95ED6AF_.wvu.FilterData" localSheetId="10">'СВОД 2017'!$E$9:$E$79</definedName>
  </definedNames>
  <calcPr calcId="162913" iterateDelta="1E-4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C5" i="13" l="1"/>
  <c r="C6" i="13"/>
  <c r="C7" i="13"/>
  <c r="C8" i="13"/>
  <c r="C9" i="13"/>
  <c r="C10" i="13"/>
  <c r="C11" i="13"/>
  <c r="C12" i="13"/>
  <c r="D51" i="13" l="1"/>
  <c r="D50" i="13"/>
  <c r="D49" i="13"/>
  <c r="D48" i="13"/>
  <c r="D47" i="13"/>
  <c r="F44" i="13"/>
  <c r="D44" i="13"/>
  <c r="F43" i="13"/>
  <c r="D43" i="13"/>
  <c r="F42" i="13"/>
  <c r="D42" i="13"/>
  <c r="F41" i="13"/>
  <c r="D41" i="13"/>
  <c r="F40" i="13"/>
  <c r="D40" i="13"/>
  <c r="E5" i="12" l="1"/>
  <c r="E6" i="12"/>
  <c r="E7" i="12"/>
  <c r="E8" i="12"/>
  <c r="E9" i="12"/>
  <c r="E10" i="12"/>
  <c r="E11" i="12"/>
  <c r="E12" i="12"/>
  <c r="E13" i="12"/>
  <c r="C5" i="12" l="1"/>
  <c r="D51" i="12" l="1"/>
  <c r="D50" i="12"/>
  <c r="D49" i="12"/>
  <c r="D48" i="12"/>
  <c r="D47" i="12"/>
  <c r="F44" i="12"/>
  <c r="D44" i="12"/>
  <c r="F43" i="12"/>
  <c r="D43" i="12"/>
  <c r="F42" i="12"/>
  <c r="D42" i="12"/>
  <c r="F41" i="12"/>
  <c r="D41" i="12"/>
  <c r="F40" i="12"/>
  <c r="D40" i="12"/>
  <c r="E5" i="11" l="1"/>
  <c r="E6" i="11"/>
  <c r="E7" i="11"/>
  <c r="E8" i="11"/>
  <c r="E9" i="11"/>
  <c r="E10" i="11"/>
  <c r="E11" i="11"/>
  <c r="E12" i="11"/>
  <c r="E13" i="11"/>
  <c r="E14" i="11"/>
  <c r="E15" i="11"/>
  <c r="E16" i="11"/>
  <c r="C5" i="11" l="1"/>
  <c r="D51" i="11" l="1"/>
  <c r="D50" i="11"/>
  <c r="D49" i="11"/>
  <c r="D48" i="11"/>
  <c r="D47" i="11"/>
  <c r="F44" i="11"/>
  <c r="D44" i="11"/>
  <c r="F43" i="11"/>
  <c r="D43" i="11"/>
  <c r="F42" i="11"/>
  <c r="D42" i="11"/>
  <c r="F41" i="11"/>
  <c r="D41" i="11"/>
  <c r="F40" i="11"/>
  <c r="D40" i="11"/>
  <c r="E5" i="10" l="1"/>
  <c r="C5" i="10" l="1"/>
  <c r="D51" i="10" l="1"/>
  <c r="D50" i="10"/>
  <c r="D49" i="10"/>
  <c r="D48" i="10"/>
  <c r="D47" i="10"/>
  <c r="F44" i="10"/>
  <c r="D44" i="10"/>
  <c r="F43" i="10"/>
  <c r="D43" i="10"/>
  <c r="F42" i="10"/>
  <c r="D42" i="10"/>
  <c r="F41" i="10"/>
  <c r="D41" i="10"/>
  <c r="F40" i="10"/>
  <c r="D40" i="10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C5" i="9" l="1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D51" i="9" l="1"/>
  <c r="D50" i="9"/>
  <c r="D49" i="9"/>
  <c r="D48" i="9"/>
  <c r="D47" i="9"/>
  <c r="F44" i="9"/>
  <c r="D44" i="9"/>
  <c r="F43" i="9"/>
  <c r="D43" i="9"/>
  <c r="F42" i="9"/>
  <c r="D42" i="9"/>
  <c r="F41" i="9"/>
  <c r="D41" i="9"/>
  <c r="F40" i="9"/>
  <c r="D40" i="9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D51" i="8" l="1"/>
  <c r="D50" i="8"/>
  <c r="D49" i="8"/>
  <c r="D48" i="8"/>
  <c r="D47" i="8"/>
  <c r="F44" i="8"/>
  <c r="D44" i="8"/>
  <c r="F43" i="8"/>
  <c r="D43" i="8"/>
  <c r="F42" i="8"/>
  <c r="D42" i="8"/>
  <c r="F41" i="8"/>
  <c r="D41" i="8"/>
  <c r="F40" i="8"/>
  <c r="D40" i="8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<sst xmlns="http://schemas.openxmlformats.org/spreadsheetml/2006/main" count="3441" uniqueCount="97">
  <si>
    <t>АНАЛИЗ РЫНКА ЗАРАБОТНЫХ ПЛАТ</t>
  </si>
  <si>
    <t>(наименование должности)</t>
  </si>
  <si>
    <t>(регион)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</si>
  <si>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</si>
  <si>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</si>
  <si>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</si>
  <si>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</si>
  <si>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</si>
  <si>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</si>
  <si>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</si>
  <si>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</si>
  <si>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</si>
  <si>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</si>
  <si>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</si>
  <si>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</si>
  <si>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</si>
  <si>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</si>
  <si>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</si>
  <si>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</si>
  <si>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</si>
  <si>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</si>
  <si>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</si>
  <si>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</si>
  <si>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</si>
  <si>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</si>
  <si>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</si>
  <si>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</si>
  <si>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</si>
  <si>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</si>
  <si>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</si>
  <si>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</si>
  <si>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</si>
  <si>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</si>
  <si>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</si>
  <si>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</si>
  <si>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</si>
  <si>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</si>
  <si>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</si>
  <si>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</si>
  <si>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</si>
  <si>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</si>
  <si>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</si>
  <si>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</si>
  <si>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</si>
  <si>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</si>
  <si>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</si>
  <si>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</si>
  <si>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</si>
  <si>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</si>
  <si>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</si>
  <si>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</si>
  <si>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</si>
  <si>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</si>
  <si>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</si>
  <si>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</si>
  <si>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</si>
  <si>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</si>
  <si>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</si>
  <si>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</si>
  <si>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</si>
  <si>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</si>
  <si>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</si>
  <si>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</si>
  <si>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</si>
  <si>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</si>
  <si>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</si>
  <si>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</si>
  <si>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</si>
  <si>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</si>
  <si>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</si>
  <si>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</si>
  <si>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</si>
  <si>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</si>
  <si>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</si>
  <si>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</si>
  <si>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</si>
  <si>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</si>
  <si>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</si>
  <si>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</si>
  <si>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</si>
  <si>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</si>
  <si>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</si>
  <si>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</si>
  <si>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</si>
  <si>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</si>
  <si>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</si>
  <si>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</si>
  <si>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</si>
  <si>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</si>
  <si>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</si>
  <si>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</si>
  <si>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Продавец</t>
  </si>
  <si>
    <t>Бел. руб. NET</t>
  </si>
  <si>
    <t>Обвальщик мяса</t>
  </si>
  <si>
    <t>Водитель</t>
  </si>
  <si>
    <t>Минск/Минская область</t>
  </si>
  <si>
    <t>Водитель-международник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</si>
</sst>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13" fillId="2" borderId="1" xfId="7" applyFill="1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2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3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4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5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6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8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9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0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1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2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3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4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5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8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89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0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1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4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6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9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3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4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5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6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7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8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0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0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1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2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3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4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5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6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8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1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0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1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2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2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4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5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6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7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8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39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0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2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3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4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5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6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7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49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0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5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5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6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7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8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69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0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1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2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4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5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6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7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8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7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0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1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2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4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8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6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7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8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99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0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1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2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3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4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6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7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8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09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0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1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2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3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4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6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1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0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7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8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29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0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1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2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3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4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5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6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8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39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0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1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2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3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4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4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5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0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1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2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3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4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5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6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7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8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0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1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2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3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4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5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6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7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8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7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2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4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8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0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2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3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4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5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6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7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8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99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0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2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3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4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5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6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7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8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09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0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2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4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5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0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2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3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4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5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6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7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2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3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4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5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6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8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89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0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1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2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3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4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5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6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8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99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0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1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2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3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4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5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6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8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0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0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1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3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4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5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6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7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8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1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0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1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2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3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4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5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6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7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8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2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0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1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2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3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4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5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6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7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8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3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4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5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6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7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8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49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0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2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3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4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5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6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7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8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59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0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2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3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4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5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6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7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8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69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0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5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6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7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8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79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0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1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2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4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5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6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7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8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89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0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1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2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4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5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6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7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8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99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0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1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6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7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8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09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0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1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2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3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4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6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7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8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19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0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1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2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3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4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6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7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8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29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0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1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2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7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8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39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0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1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2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3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4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5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6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8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49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0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1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2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3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4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5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6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8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59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0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1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2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3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6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0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1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2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3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4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5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6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7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8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7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0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1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2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3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4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5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6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7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8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0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1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2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3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4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6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7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9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16" sqref="D16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77</v>
      </c>
      <c r="C2" s="98"/>
      <c r="D2" s="98" t="s">
        <v>78</v>
      </c>
    </row>
    <row r="3" spans="1:4" x14ac:dyDescent="0.2">
      <c r="A3">
        <v>1</v>
      </c>
      <c r="B3" t="s">
        <v>79</v>
      </c>
      <c r="D3" t="s">
        <v>79</v>
      </c>
    </row>
    <row r="4" spans="1:4" x14ac:dyDescent="0.2">
      <c r="A4">
        <v>2</v>
      </c>
      <c r="B4" t="s">
        <v>80</v>
      </c>
      <c r="D4" t="s">
        <v>80</v>
      </c>
    </row>
    <row r="5" spans="1:4" x14ac:dyDescent="0.2">
      <c r="A5">
        <v>3</v>
      </c>
      <c r="B5" t="s">
        <v>81</v>
      </c>
      <c r="D5" t="s">
        <v>81</v>
      </c>
    </row>
    <row r="6" spans="1:4" x14ac:dyDescent="0.2">
      <c r="A6">
        <v>4</v>
      </c>
      <c r="B6" t="s">
        <v>82</v>
      </c>
      <c r="D6" t="s">
        <v>82</v>
      </c>
    </row>
    <row r="7" spans="1:4" x14ac:dyDescent="0.2">
      <c r="A7">
        <v>5</v>
      </c>
      <c r="B7" t="s">
        <v>83</v>
      </c>
      <c r="D7" t="s">
        <v>83</v>
      </c>
    </row>
    <row r="8" spans="1:4" x14ac:dyDescent="0.2">
      <c r="A8">
        <v>6</v>
      </c>
      <c r="B8" t="s">
        <v>84</v>
      </c>
      <c r="D8" t="s">
        <v>84</v>
      </c>
    </row>
    <row r="9" spans="1:4" x14ac:dyDescent="0.2">
      <c r="A9">
        <v>7</v>
      </c>
      <c r="D9" t="s">
        <v>85</v>
      </c>
    </row>
    <row r="10" spans="1:4" x14ac:dyDescent="0.2">
      <c r="A10">
        <v>8</v>
      </c>
      <c r="D10" t="s">
        <v>86</v>
      </c>
    </row>
    <row r="11" spans="1:4" x14ac:dyDescent="0.2">
      <c r="A11">
        <v>9</v>
      </c>
      <c r="D11" t="s">
        <v>87</v>
      </c>
    </row>
    <row r="12" spans="1:4" x14ac:dyDescent="0.2">
      <c r="A12">
        <v>10</v>
      </c>
      <c r="D12" t="s">
        <v>88</v>
      </c>
    </row>
    <row r="13" spans="1:4" x14ac:dyDescent="0.2">
      <c r="A13">
        <v>11</v>
      </c>
      <c r="D13" t="s">
        <v>89</v>
      </c>
    </row>
    <row r="14" spans="1:4" x14ac:dyDescent="0.2">
      <c r="A14">
        <v>12</v>
      </c>
      <c r="D14" t="s">
        <v>90</v>
      </c>
    </row>
    <row r="15" spans="1:4" x14ac:dyDescent="0.2">
      <c r="A15">
        <v>13</v>
      </c>
      <c r="D15" t="s">
        <v>93</v>
      </c>
    </row>
    <row r="16" spans="1:4" x14ac:dyDescent="0.2">
      <c r="A16">
        <v>14</v>
      </c>
      <c r="D16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14</v>
      </c>
      <c r="B1" s="54" t="s">
        <v>38</v>
      </c>
      <c r="C1" s="54" t="s">
        <v>39</v>
      </c>
      <c r="D1" s="54" t="s">
        <v>11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hidden="1" x14ac:dyDescent="0.2">
      <c r="A2" s="61" t="s">
        <v>21</v>
      </c>
      <c r="B2" s="61" t="s">
        <v>46</v>
      </c>
      <c r="C2" s="61" t="s">
        <v>47</v>
      </c>
      <c r="D2" s="61" t="s">
        <v>48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22</v>
      </c>
      <c r="B3" s="61" t="s">
        <v>46</v>
      </c>
      <c r="C3" s="61" t="s">
        <v>47</v>
      </c>
      <c r="D3" s="61" t="s">
        <v>48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23</v>
      </c>
      <c r="B4" s="61" t="s">
        <v>46</v>
      </c>
      <c r="C4" s="61" t="s">
        <v>47</v>
      </c>
      <c r="D4" s="61" t="s">
        <v>48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24</v>
      </c>
      <c r="B5" s="61" t="s">
        <v>46</v>
      </c>
      <c r="C5" s="61" t="s">
        <v>47</v>
      </c>
      <c r="D5" s="61" t="s">
        <v>48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25</v>
      </c>
      <c r="B6" s="61" t="s">
        <v>46</v>
      </c>
      <c r="C6" s="61" t="s">
        <v>47</v>
      </c>
      <c r="D6" s="61" t="s">
        <v>48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26</v>
      </c>
      <c r="B7" s="61" t="s">
        <v>46</v>
      </c>
      <c r="C7" s="61" t="s">
        <v>47</v>
      </c>
      <c r="D7" s="61" t="s">
        <v>48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29</v>
      </c>
      <c r="B8" s="61" t="s">
        <v>46</v>
      </c>
      <c r="C8" s="61" t="s">
        <v>47</v>
      </c>
      <c r="D8" s="61" t="s">
        <v>48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30</v>
      </c>
      <c r="B9" s="61" t="s">
        <v>46</v>
      </c>
      <c r="C9" s="61" t="s">
        <v>47</v>
      </c>
      <c r="D9" s="61" t="s">
        <v>48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31</v>
      </c>
      <c r="B10" s="61" t="s">
        <v>46</v>
      </c>
      <c r="C10" s="61" t="s">
        <v>47</v>
      </c>
      <c r="D10" s="61" t="s">
        <v>48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32</v>
      </c>
      <c r="B11" s="61" t="s">
        <v>46</v>
      </c>
      <c r="C11" s="61" t="s">
        <v>47</v>
      </c>
      <c r="D11" s="61" t="s">
        <v>48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33</v>
      </c>
      <c r="B12" s="61" t="s">
        <v>46</v>
      </c>
      <c r="C12" s="61" t="s">
        <v>47</v>
      </c>
      <c r="D12" s="61" t="s">
        <v>48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34</v>
      </c>
      <c r="B13" s="61" t="s">
        <v>46</v>
      </c>
      <c r="C13" s="61" t="s">
        <v>47</v>
      </c>
      <c r="D13" s="61" t="s">
        <v>48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36</v>
      </c>
      <c r="B14" s="61" t="s">
        <v>46</v>
      </c>
      <c r="C14" s="61" t="s">
        <v>47</v>
      </c>
      <c r="D14" s="61" t="s">
        <v>48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21</v>
      </c>
      <c r="B15" s="61" t="s">
        <v>46</v>
      </c>
      <c r="C15" s="61" t="s">
        <v>47</v>
      </c>
      <c r="D15" s="61" t="s">
        <v>49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22</v>
      </c>
      <c r="B16" s="61" t="s">
        <v>46</v>
      </c>
      <c r="C16" s="61" t="s">
        <v>47</v>
      </c>
      <c r="D16" s="61" t="s">
        <v>49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23</v>
      </c>
      <c r="B17" s="61" t="s">
        <v>46</v>
      </c>
      <c r="C17" s="61" t="s">
        <v>47</v>
      </c>
      <c r="D17" s="61" t="s">
        <v>49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24</v>
      </c>
      <c r="B18" s="61" t="s">
        <v>46</v>
      </c>
      <c r="C18" s="61" t="s">
        <v>47</v>
      </c>
      <c r="D18" s="61" t="s">
        <v>49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25</v>
      </c>
      <c r="B19" s="61" t="s">
        <v>46</v>
      </c>
      <c r="C19" s="61" t="s">
        <v>47</v>
      </c>
      <c r="D19" s="61" t="s">
        <v>49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26</v>
      </c>
      <c r="B20" s="61" t="s">
        <v>46</v>
      </c>
      <c r="C20" s="61" t="s">
        <v>47</v>
      </c>
      <c r="D20" s="61" t="s">
        <v>49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29</v>
      </c>
      <c r="B21" s="61" t="s">
        <v>46</v>
      </c>
      <c r="C21" s="61" t="s">
        <v>47</v>
      </c>
      <c r="D21" s="61" t="s">
        <v>49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30</v>
      </c>
      <c r="B22" s="61" t="s">
        <v>46</v>
      </c>
      <c r="C22" s="61" t="s">
        <v>47</v>
      </c>
      <c r="D22" s="61" t="s">
        <v>49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31</v>
      </c>
      <c r="B23" s="61" t="s">
        <v>46</v>
      </c>
      <c r="C23" s="61" t="s">
        <v>47</v>
      </c>
      <c r="D23" s="61" t="s">
        <v>49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32</v>
      </c>
      <c r="B24" s="61" t="s">
        <v>46</v>
      </c>
      <c r="C24" s="61" t="s">
        <v>47</v>
      </c>
      <c r="D24" s="61" t="s">
        <v>49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33</v>
      </c>
      <c r="B25" s="61" t="s">
        <v>46</v>
      </c>
      <c r="C25" s="61" t="s">
        <v>47</v>
      </c>
      <c r="D25" s="61" t="s">
        <v>49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34</v>
      </c>
      <c r="B26" s="61" t="s">
        <v>46</v>
      </c>
      <c r="C26" s="61" t="s">
        <v>47</v>
      </c>
      <c r="D26" s="61" t="s">
        <v>49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36</v>
      </c>
      <c r="B27" s="61" t="s">
        <v>46</v>
      </c>
      <c r="C27" s="61" t="s">
        <v>47</v>
      </c>
      <c r="D27" s="61" t="s">
        <v>49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21</v>
      </c>
      <c r="B28" s="61" t="s">
        <v>46</v>
      </c>
      <c r="C28" s="61" t="s">
        <v>47</v>
      </c>
      <c r="D28" s="61" t="s">
        <v>50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22</v>
      </c>
      <c r="B29" s="61" t="s">
        <v>46</v>
      </c>
      <c r="C29" s="61" t="s">
        <v>47</v>
      </c>
      <c r="D29" s="61" t="s">
        <v>50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23</v>
      </c>
      <c r="B30" s="61" t="s">
        <v>46</v>
      </c>
      <c r="C30" s="61" t="s">
        <v>47</v>
      </c>
      <c r="D30" s="61" t="s">
        <v>50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24</v>
      </c>
      <c r="B31" s="61" t="s">
        <v>46</v>
      </c>
      <c r="C31" s="61" t="s">
        <v>47</v>
      </c>
      <c r="D31" s="61" t="s">
        <v>50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25</v>
      </c>
      <c r="B32" s="61" t="s">
        <v>46</v>
      </c>
      <c r="C32" s="61" t="s">
        <v>47</v>
      </c>
      <c r="D32" s="61" t="s">
        <v>50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26</v>
      </c>
      <c r="B33" s="61" t="s">
        <v>46</v>
      </c>
      <c r="C33" s="61" t="s">
        <v>47</v>
      </c>
      <c r="D33" s="61" t="s">
        <v>50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29</v>
      </c>
      <c r="B34" s="61" t="s">
        <v>46</v>
      </c>
      <c r="C34" s="61" t="s">
        <v>47</v>
      </c>
      <c r="D34" s="61" t="s">
        <v>50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30</v>
      </c>
      <c r="B35" s="61" t="s">
        <v>46</v>
      </c>
      <c r="C35" s="61" t="s">
        <v>47</v>
      </c>
      <c r="D35" s="61" t="s">
        <v>50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31</v>
      </c>
      <c r="B36" s="61" t="s">
        <v>46</v>
      </c>
      <c r="C36" s="61" t="s">
        <v>47</v>
      </c>
      <c r="D36" s="61" t="s">
        <v>50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32</v>
      </c>
      <c r="B37" s="61" t="s">
        <v>46</v>
      </c>
      <c r="C37" s="61" t="s">
        <v>47</v>
      </c>
      <c r="D37" s="61" t="s">
        <v>50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33</v>
      </c>
      <c r="B38" s="61" t="s">
        <v>46</v>
      </c>
      <c r="C38" s="61" t="s">
        <v>47</v>
      </c>
      <c r="D38" s="61" t="s">
        <v>50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34</v>
      </c>
      <c r="B39" s="61" t="s">
        <v>46</v>
      </c>
      <c r="C39" s="61" t="s">
        <v>47</v>
      </c>
      <c r="D39" s="61" t="s">
        <v>50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36</v>
      </c>
      <c r="B40" s="61" t="s">
        <v>46</v>
      </c>
      <c r="C40" s="61" t="s">
        <v>47</v>
      </c>
      <c r="D40" s="61" t="s">
        <v>50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21</v>
      </c>
      <c r="B41" s="61" t="s">
        <v>46</v>
      </c>
      <c r="C41" s="61" t="s">
        <v>47</v>
      </c>
      <c r="D41" s="61" t="s">
        <v>51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22</v>
      </c>
      <c r="B42" s="61" t="s">
        <v>46</v>
      </c>
      <c r="C42" s="61" t="s">
        <v>47</v>
      </c>
      <c r="D42" s="61" t="s">
        <v>51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23</v>
      </c>
      <c r="B43" s="61" t="s">
        <v>46</v>
      </c>
      <c r="C43" s="61" t="s">
        <v>47</v>
      </c>
      <c r="D43" s="61" t="s">
        <v>51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24</v>
      </c>
      <c r="B44" s="61" t="s">
        <v>46</v>
      </c>
      <c r="C44" s="61" t="s">
        <v>47</v>
      </c>
      <c r="D44" s="61" t="s">
        <v>51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25</v>
      </c>
      <c r="B45" s="61" t="s">
        <v>46</v>
      </c>
      <c r="C45" s="61" t="s">
        <v>47</v>
      </c>
      <c r="D45" s="61" t="s">
        <v>51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26</v>
      </c>
      <c r="B46" s="61" t="s">
        <v>46</v>
      </c>
      <c r="C46" s="61" t="s">
        <v>47</v>
      </c>
      <c r="D46" s="61" t="s">
        <v>51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29</v>
      </c>
      <c r="B47" s="61" t="s">
        <v>46</v>
      </c>
      <c r="C47" s="61" t="s">
        <v>47</v>
      </c>
      <c r="D47" s="61" t="s">
        <v>51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30</v>
      </c>
      <c r="B48" s="61" t="s">
        <v>46</v>
      </c>
      <c r="C48" s="61" t="s">
        <v>47</v>
      </c>
      <c r="D48" s="61" t="s">
        <v>51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31</v>
      </c>
      <c r="B49" s="61" t="s">
        <v>46</v>
      </c>
      <c r="C49" s="61" t="s">
        <v>47</v>
      </c>
      <c r="D49" s="61" t="s">
        <v>51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32</v>
      </c>
      <c r="B50" s="61" t="s">
        <v>46</v>
      </c>
      <c r="C50" s="61" t="s">
        <v>47</v>
      </c>
      <c r="D50" s="61" t="s">
        <v>51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33</v>
      </c>
      <c r="B51" s="61" t="s">
        <v>46</v>
      </c>
      <c r="C51" s="61" t="s">
        <v>47</v>
      </c>
      <c r="D51" s="61" t="s">
        <v>51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34</v>
      </c>
      <c r="B52" s="61" t="s">
        <v>46</v>
      </c>
      <c r="C52" s="61" t="s">
        <v>47</v>
      </c>
      <c r="D52" s="61" t="s">
        <v>51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36</v>
      </c>
      <c r="B53" s="61" t="s">
        <v>46</v>
      </c>
      <c r="C53" s="61" t="s">
        <v>47</v>
      </c>
      <c r="D53" s="61" t="s">
        <v>51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21</v>
      </c>
      <c r="B54" s="61" t="s">
        <v>46</v>
      </c>
      <c r="C54" s="61" t="s">
        <v>47</v>
      </c>
      <c r="D54" s="61" t="s">
        <v>52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22</v>
      </c>
      <c r="B55" s="61" t="s">
        <v>46</v>
      </c>
      <c r="C55" s="61" t="s">
        <v>47</v>
      </c>
      <c r="D55" s="61" t="s">
        <v>52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23</v>
      </c>
      <c r="B56" s="61" t="s">
        <v>46</v>
      </c>
      <c r="C56" s="61" t="s">
        <v>47</v>
      </c>
      <c r="D56" s="61" t="s">
        <v>52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24</v>
      </c>
      <c r="B57" s="61" t="s">
        <v>46</v>
      </c>
      <c r="C57" s="61" t="s">
        <v>47</v>
      </c>
      <c r="D57" s="61" t="s">
        <v>52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25</v>
      </c>
      <c r="B58" s="61" t="s">
        <v>46</v>
      </c>
      <c r="C58" s="61" t="s">
        <v>47</v>
      </c>
      <c r="D58" s="61" t="s">
        <v>52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26</v>
      </c>
      <c r="B59" s="61" t="s">
        <v>46</v>
      </c>
      <c r="C59" s="61" t="s">
        <v>47</v>
      </c>
      <c r="D59" s="61" t="s">
        <v>52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29</v>
      </c>
      <c r="B60" s="61" t="s">
        <v>46</v>
      </c>
      <c r="C60" s="61" t="s">
        <v>47</v>
      </c>
      <c r="D60" s="61" t="s">
        <v>52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30</v>
      </c>
      <c r="B61" s="61" t="s">
        <v>46</v>
      </c>
      <c r="C61" s="61" t="s">
        <v>47</v>
      </c>
      <c r="D61" s="61" t="s">
        <v>52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31</v>
      </c>
      <c r="B62" s="61" t="s">
        <v>46</v>
      </c>
      <c r="C62" s="61" t="s">
        <v>47</v>
      </c>
      <c r="D62" s="61" t="s">
        <v>52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32</v>
      </c>
      <c r="B63" s="61" t="s">
        <v>46</v>
      </c>
      <c r="C63" s="61" t="s">
        <v>47</v>
      </c>
      <c r="D63" s="61" t="s">
        <v>52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33</v>
      </c>
      <c r="B64" s="61" t="s">
        <v>46</v>
      </c>
      <c r="C64" s="61" t="s">
        <v>47</v>
      </c>
      <c r="D64" s="61" t="s">
        <v>52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34</v>
      </c>
      <c r="B65" s="61" t="s">
        <v>46</v>
      </c>
      <c r="C65" s="61" t="s">
        <v>47</v>
      </c>
      <c r="D65" s="61" t="s">
        <v>52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36</v>
      </c>
      <c r="B66" s="61" t="s">
        <v>46</v>
      </c>
      <c r="C66" s="61" t="s">
        <v>47</v>
      </c>
      <c r="D66" s="61" t="s">
        <v>52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21</v>
      </c>
      <c r="B67" s="61" t="s">
        <v>46</v>
      </c>
      <c r="C67" s="61" t="s">
        <v>47</v>
      </c>
      <c r="D67" s="61" t="s">
        <v>53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22</v>
      </c>
      <c r="B68" s="61" t="s">
        <v>46</v>
      </c>
      <c r="C68" s="61" t="s">
        <v>47</v>
      </c>
      <c r="D68" s="61" t="s">
        <v>53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23</v>
      </c>
      <c r="B69" s="61" t="s">
        <v>46</v>
      </c>
      <c r="C69" s="61" t="s">
        <v>47</v>
      </c>
      <c r="D69" s="61" t="s">
        <v>53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24</v>
      </c>
      <c r="B70" s="61" t="s">
        <v>46</v>
      </c>
      <c r="C70" s="61" t="s">
        <v>47</v>
      </c>
      <c r="D70" s="61" t="s">
        <v>53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25</v>
      </c>
      <c r="B71" s="61" t="s">
        <v>46</v>
      </c>
      <c r="C71" s="61" t="s">
        <v>47</v>
      </c>
      <c r="D71" s="61" t="s">
        <v>53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26</v>
      </c>
      <c r="B72" s="61" t="s">
        <v>46</v>
      </c>
      <c r="C72" s="61" t="s">
        <v>47</v>
      </c>
      <c r="D72" s="61" t="s">
        <v>53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29</v>
      </c>
      <c r="B73" s="61" t="s">
        <v>46</v>
      </c>
      <c r="C73" s="61" t="s">
        <v>47</v>
      </c>
      <c r="D73" s="61" t="s">
        <v>53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30</v>
      </c>
      <c r="B74" s="61" t="s">
        <v>46</v>
      </c>
      <c r="C74" s="61" t="s">
        <v>47</v>
      </c>
      <c r="D74" s="61" t="s">
        <v>53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31</v>
      </c>
      <c r="B75" s="61" t="s">
        <v>46</v>
      </c>
      <c r="C75" s="61" t="s">
        <v>47</v>
      </c>
      <c r="D75" s="61" t="s">
        <v>53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32</v>
      </c>
      <c r="B76" s="61" t="s">
        <v>46</v>
      </c>
      <c r="C76" s="61" t="s">
        <v>47</v>
      </c>
      <c r="D76" s="61" t="s">
        <v>53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33</v>
      </c>
      <c r="B77" s="61" t="s">
        <v>46</v>
      </c>
      <c r="C77" s="61" t="s">
        <v>47</v>
      </c>
      <c r="D77" s="61" t="s">
        <v>53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34</v>
      </c>
      <c r="B78" s="61" t="s">
        <v>46</v>
      </c>
      <c r="C78" s="61" t="s">
        <v>47</v>
      </c>
      <c r="D78" s="61" t="s">
        <v>53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36</v>
      </c>
      <c r="B79" s="61" t="s">
        <v>46</v>
      </c>
      <c r="C79" s="61" t="s">
        <v>47</v>
      </c>
      <c r="D79" s="61" t="s">
        <v>53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21</v>
      </c>
      <c r="B80" s="62" t="s">
        <v>54</v>
      </c>
      <c r="C80" s="62" t="s">
        <v>55</v>
      </c>
      <c r="D80" s="62" t="s">
        <v>50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22</v>
      </c>
      <c r="B81" s="62" t="s">
        <v>54</v>
      </c>
      <c r="C81" s="62" t="s">
        <v>55</v>
      </c>
      <c r="D81" s="62" t="s">
        <v>50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23</v>
      </c>
      <c r="B82" s="62" t="s">
        <v>54</v>
      </c>
      <c r="C82" s="62" t="s">
        <v>55</v>
      </c>
      <c r="D82" s="62" t="s">
        <v>50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24</v>
      </c>
      <c r="B83" s="62" t="s">
        <v>54</v>
      </c>
      <c r="C83" s="62" t="s">
        <v>55</v>
      </c>
      <c r="D83" s="62" t="s">
        <v>50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25</v>
      </c>
      <c r="B84" s="62" t="s">
        <v>54</v>
      </c>
      <c r="C84" s="62" t="s">
        <v>55</v>
      </c>
      <c r="D84" s="62" t="s">
        <v>50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26</v>
      </c>
      <c r="B85" s="62" t="s">
        <v>54</v>
      </c>
      <c r="C85" s="62" t="s">
        <v>55</v>
      </c>
      <c r="D85" s="62" t="s">
        <v>50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29</v>
      </c>
      <c r="B86" s="62" t="s">
        <v>54</v>
      </c>
      <c r="C86" s="62" t="s">
        <v>55</v>
      </c>
      <c r="D86" s="62" t="s">
        <v>50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30</v>
      </c>
      <c r="B87" s="62" t="s">
        <v>54</v>
      </c>
      <c r="C87" s="62" t="s">
        <v>55</v>
      </c>
      <c r="D87" s="62" t="s">
        <v>50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31</v>
      </c>
      <c r="B88" s="62" t="s">
        <v>54</v>
      </c>
      <c r="C88" s="62" t="s">
        <v>55</v>
      </c>
      <c r="D88" s="62" t="s">
        <v>50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32</v>
      </c>
      <c r="B89" s="62" t="s">
        <v>54</v>
      </c>
      <c r="C89" s="62" t="s">
        <v>55</v>
      </c>
      <c r="D89" s="62" t="s">
        <v>50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33</v>
      </c>
      <c r="B90" s="62" t="s">
        <v>54</v>
      </c>
      <c r="C90" s="62" t="s">
        <v>55</v>
      </c>
      <c r="D90" s="62" t="s">
        <v>50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34</v>
      </c>
      <c r="B91" s="62" t="s">
        <v>54</v>
      </c>
      <c r="C91" s="62" t="s">
        <v>55</v>
      </c>
      <c r="D91" s="62" t="s">
        <v>50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36</v>
      </c>
      <c r="B92" s="62" t="s">
        <v>54</v>
      </c>
      <c r="C92" s="62" t="s">
        <v>55</v>
      </c>
      <c r="D92" s="62" t="s">
        <v>50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21</v>
      </c>
      <c r="B93" s="62" t="s">
        <v>54</v>
      </c>
      <c r="C93" s="62" t="s">
        <v>55</v>
      </c>
      <c r="D93" s="62" t="s">
        <v>51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22</v>
      </c>
      <c r="B94" s="62" t="s">
        <v>54</v>
      </c>
      <c r="C94" s="62" t="s">
        <v>55</v>
      </c>
      <c r="D94" s="62" t="s">
        <v>51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23</v>
      </c>
      <c r="B95" s="62" t="s">
        <v>54</v>
      </c>
      <c r="C95" s="62" t="s">
        <v>55</v>
      </c>
      <c r="D95" s="62" t="s">
        <v>51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24</v>
      </c>
      <c r="B96" s="62" t="s">
        <v>54</v>
      </c>
      <c r="C96" s="62" t="s">
        <v>55</v>
      </c>
      <c r="D96" s="62" t="s">
        <v>51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25</v>
      </c>
      <c r="B97" s="62" t="s">
        <v>54</v>
      </c>
      <c r="C97" s="62" t="s">
        <v>55</v>
      </c>
      <c r="D97" s="62" t="s">
        <v>51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26</v>
      </c>
      <c r="B98" s="62" t="s">
        <v>54</v>
      </c>
      <c r="C98" s="62" t="s">
        <v>55</v>
      </c>
      <c r="D98" s="62" t="s">
        <v>51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29</v>
      </c>
      <c r="B99" s="62" t="s">
        <v>54</v>
      </c>
      <c r="C99" s="62" t="s">
        <v>55</v>
      </c>
      <c r="D99" s="62" t="s">
        <v>51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30</v>
      </c>
      <c r="B100" s="62" t="s">
        <v>54</v>
      </c>
      <c r="C100" s="62" t="s">
        <v>55</v>
      </c>
      <c r="D100" s="62" t="s">
        <v>51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31</v>
      </c>
      <c r="B101" s="62" t="s">
        <v>54</v>
      </c>
      <c r="C101" s="62" t="s">
        <v>55</v>
      </c>
      <c r="D101" s="62" t="s">
        <v>51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32</v>
      </c>
      <c r="B102" s="62" t="s">
        <v>54</v>
      </c>
      <c r="C102" s="62" t="s">
        <v>55</v>
      </c>
      <c r="D102" s="62" t="s">
        <v>51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33</v>
      </c>
      <c r="B103" s="62" t="s">
        <v>54</v>
      </c>
      <c r="C103" s="62" t="s">
        <v>55</v>
      </c>
      <c r="D103" s="62" t="s">
        <v>51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34</v>
      </c>
      <c r="B104" s="62" t="s">
        <v>54</v>
      </c>
      <c r="C104" s="62" t="s">
        <v>55</v>
      </c>
      <c r="D104" s="62" t="s">
        <v>51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36</v>
      </c>
      <c r="B105" s="62" t="s">
        <v>54</v>
      </c>
      <c r="C105" s="62" t="s">
        <v>55</v>
      </c>
      <c r="D105" s="62" t="s">
        <v>51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21</v>
      </c>
      <c r="B106" s="62" t="s">
        <v>54</v>
      </c>
      <c r="C106" s="62" t="s">
        <v>55</v>
      </c>
      <c r="D106" s="62" t="s">
        <v>52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22</v>
      </c>
      <c r="B107" s="62" t="s">
        <v>54</v>
      </c>
      <c r="C107" s="62" t="s">
        <v>55</v>
      </c>
      <c r="D107" s="62" t="s">
        <v>52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23</v>
      </c>
      <c r="B108" s="62" t="s">
        <v>54</v>
      </c>
      <c r="C108" s="62" t="s">
        <v>55</v>
      </c>
      <c r="D108" s="62" t="s">
        <v>52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24</v>
      </c>
      <c r="B109" s="62" t="s">
        <v>54</v>
      </c>
      <c r="C109" s="62" t="s">
        <v>55</v>
      </c>
      <c r="D109" s="62" t="s">
        <v>52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25</v>
      </c>
      <c r="B110" s="62" t="s">
        <v>54</v>
      </c>
      <c r="C110" s="62" t="s">
        <v>55</v>
      </c>
      <c r="D110" s="62" t="s">
        <v>52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26</v>
      </c>
      <c r="B111" s="62" t="s">
        <v>54</v>
      </c>
      <c r="C111" s="62" t="s">
        <v>55</v>
      </c>
      <c r="D111" s="62" t="s">
        <v>52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29</v>
      </c>
      <c r="B112" s="62" t="s">
        <v>54</v>
      </c>
      <c r="C112" s="62" t="s">
        <v>55</v>
      </c>
      <c r="D112" s="62" t="s">
        <v>52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30</v>
      </c>
      <c r="B113" s="62" t="s">
        <v>54</v>
      </c>
      <c r="C113" s="62" t="s">
        <v>55</v>
      </c>
      <c r="D113" s="62" t="s">
        <v>52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31</v>
      </c>
      <c r="B114" s="62" t="s">
        <v>54</v>
      </c>
      <c r="C114" s="62" t="s">
        <v>55</v>
      </c>
      <c r="D114" s="62" t="s">
        <v>52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32</v>
      </c>
      <c r="B115" s="62" t="s">
        <v>54</v>
      </c>
      <c r="C115" s="62" t="s">
        <v>55</v>
      </c>
      <c r="D115" s="62" t="s">
        <v>52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33</v>
      </c>
      <c r="B116" s="62" t="s">
        <v>54</v>
      </c>
      <c r="C116" s="62" t="s">
        <v>55</v>
      </c>
      <c r="D116" s="62" t="s">
        <v>52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34</v>
      </c>
      <c r="B117" s="62" t="s">
        <v>54</v>
      </c>
      <c r="C117" s="62" t="s">
        <v>55</v>
      </c>
      <c r="D117" s="62" t="s">
        <v>52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36</v>
      </c>
      <c r="B118" s="62" t="s">
        <v>54</v>
      </c>
      <c r="C118" s="62" t="s">
        <v>55</v>
      </c>
      <c r="D118" s="62" t="s">
        <v>52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21</v>
      </c>
      <c r="B119" s="62" t="s">
        <v>54</v>
      </c>
      <c r="C119" s="62" t="s">
        <v>55</v>
      </c>
      <c r="D119" s="62" t="s">
        <v>53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22</v>
      </c>
      <c r="B120" s="62" t="s">
        <v>54</v>
      </c>
      <c r="C120" s="62" t="s">
        <v>55</v>
      </c>
      <c r="D120" s="62" t="s">
        <v>53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23</v>
      </c>
      <c r="B121" s="62" t="s">
        <v>54</v>
      </c>
      <c r="C121" s="62" t="s">
        <v>55</v>
      </c>
      <c r="D121" s="62" t="s">
        <v>53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24</v>
      </c>
      <c r="B122" s="62" t="s">
        <v>54</v>
      </c>
      <c r="C122" s="62" t="s">
        <v>55</v>
      </c>
      <c r="D122" s="62" t="s">
        <v>53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25</v>
      </c>
      <c r="B123" s="62" t="s">
        <v>54</v>
      </c>
      <c r="C123" s="62" t="s">
        <v>55</v>
      </c>
      <c r="D123" s="62" t="s">
        <v>53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26</v>
      </c>
      <c r="B124" s="62" t="s">
        <v>54</v>
      </c>
      <c r="C124" s="62" t="s">
        <v>55</v>
      </c>
      <c r="D124" s="62" t="s">
        <v>53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29</v>
      </c>
      <c r="B125" s="62" t="s">
        <v>54</v>
      </c>
      <c r="C125" s="62" t="s">
        <v>55</v>
      </c>
      <c r="D125" s="62" t="s">
        <v>53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30</v>
      </c>
      <c r="B126" s="62" t="s">
        <v>54</v>
      </c>
      <c r="C126" s="62" t="s">
        <v>55</v>
      </c>
      <c r="D126" s="62" t="s">
        <v>53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31</v>
      </c>
      <c r="B127" s="62" t="s">
        <v>54</v>
      </c>
      <c r="C127" s="62" t="s">
        <v>55</v>
      </c>
      <c r="D127" s="62" t="s">
        <v>53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32</v>
      </c>
      <c r="B128" s="62" t="s">
        <v>54</v>
      </c>
      <c r="C128" s="62" t="s">
        <v>55</v>
      </c>
      <c r="D128" s="62" t="s">
        <v>53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33</v>
      </c>
      <c r="B129" s="62" t="s">
        <v>54</v>
      </c>
      <c r="C129" s="62" t="s">
        <v>55</v>
      </c>
      <c r="D129" s="62" t="s">
        <v>53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34</v>
      </c>
      <c r="B130" s="62" t="s">
        <v>54</v>
      </c>
      <c r="C130" s="62" t="s">
        <v>55</v>
      </c>
      <c r="D130" s="62" t="s">
        <v>53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36</v>
      </c>
      <c r="B131" s="62" t="s">
        <v>54</v>
      </c>
      <c r="C131" s="62" t="s">
        <v>55</v>
      </c>
      <c r="D131" s="62" t="s">
        <v>53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21</v>
      </c>
      <c r="B132" s="62" t="s">
        <v>54</v>
      </c>
      <c r="C132" s="62" t="s">
        <v>55</v>
      </c>
      <c r="D132" s="62" t="s">
        <v>56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22</v>
      </c>
      <c r="B133" s="62" t="s">
        <v>54</v>
      </c>
      <c r="C133" s="62" t="s">
        <v>55</v>
      </c>
      <c r="D133" s="62" t="s">
        <v>56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23</v>
      </c>
      <c r="B134" s="62" t="s">
        <v>54</v>
      </c>
      <c r="C134" s="62" t="s">
        <v>55</v>
      </c>
      <c r="D134" s="62" t="s">
        <v>56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24</v>
      </c>
      <c r="B135" s="62" t="s">
        <v>54</v>
      </c>
      <c r="C135" s="62" t="s">
        <v>55</v>
      </c>
      <c r="D135" s="62" t="s">
        <v>56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25</v>
      </c>
      <c r="B136" s="62" t="s">
        <v>54</v>
      </c>
      <c r="C136" s="62" t="s">
        <v>55</v>
      </c>
      <c r="D136" s="62" t="s">
        <v>56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26</v>
      </c>
      <c r="B137" s="62" t="s">
        <v>54</v>
      </c>
      <c r="C137" s="62" t="s">
        <v>55</v>
      </c>
      <c r="D137" s="62" t="s">
        <v>56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29</v>
      </c>
      <c r="B138" s="62" t="s">
        <v>54</v>
      </c>
      <c r="C138" s="62" t="s">
        <v>55</v>
      </c>
      <c r="D138" s="62" t="s">
        <v>56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30</v>
      </c>
      <c r="B139" s="62" t="s">
        <v>54</v>
      </c>
      <c r="C139" s="62" t="s">
        <v>55</v>
      </c>
      <c r="D139" s="62" t="s">
        <v>56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31</v>
      </c>
      <c r="B140" s="62" t="s">
        <v>54</v>
      </c>
      <c r="C140" s="62" t="s">
        <v>55</v>
      </c>
      <c r="D140" s="62" t="s">
        <v>56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32</v>
      </c>
      <c r="B141" s="62" t="s">
        <v>54</v>
      </c>
      <c r="C141" s="62" t="s">
        <v>55</v>
      </c>
      <c r="D141" s="62" t="s">
        <v>56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33</v>
      </c>
      <c r="B142" s="62" t="s">
        <v>54</v>
      </c>
      <c r="C142" s="62" t="s">
        <v>55</v>
      </c>
      <c r="D142" s="62" t="s">
        <v>56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34</v>
      </c>
      <c r="B143" s="62" t="s">
        <v>54</v>
      </c>
      <c r="C143" s="62" t="s">
        <v>55</v>
      </c>
      <c r="D143" s="62" t="s">
        <v>56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36</v>
      </c>
      <c r="B144" s="62" t="s">
        <v>54</v>
      </c>
      <c r="C144" s="62" t="s">
        <v>55</v>
      </c>
      <c r="D144" s="62" t="s">
        <v>56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21</v>
      </c>
      <c r="B145" s="62" t="s">
        <v>54</v>
      </c>
      <c r="C145" s="62" t="s">
        <v>55</v>
      </c>
      <c r="D145" s="62" t="s">
        <v>57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22</v>
      </c>
      <c r="B146" s="62" t="s">
        <v>54</v>
      </c>
      <c r="C146" s="62" t="s">
        <v>55</v>
      </c>
      <c r="D146" s="62" t="s">
        <v>57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23</v>
      </c>
      <c r="B147" s="62" t="s">
        <v>54</v>
      </c>
      <c r="C147" s="62" t="s">
        <v>55</v>
      </c>
      <c r="D147" s="62" t="s">
        <v>57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24</v>
      </c>
      <c r="B148" s="62" t="s">
        <v>54</v>
      </c>
      <c r="C148" s="62" t="s">
        <v>55</v>
      </c>
      <c r="D148" s="62" t="s">
        <v>57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25</v>
      </c>
      <c r="B149" s="62" t="s">
        <v>54</v>
      </c>
      <c r="C149" s="62" t="s">
        <v>55</v>
      </c>
      <c r="D149" s="62" t="s">
        <v>57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26</v>
      </c>
      <c r="B150" s="62" t="s">
        <v>54</v>
      </c>
      <c r="C150" s="62" t="s">
        <v>55</v>
      </c>
      <c r="D150" s="62" t="s">
        <v>57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29</v>
      </c>
      <c r="B151" s="62" t="s">
        <v>54</v>
      </c>
      <c r="C151" s="62" t="s">
        <v>55</v>
      </c>
      <c r="D151" s="62" t="s">
        <v>57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30</v>
      </c>
      <c r="B152" s="62" t="s">
        <v>54</v>
      </c>
      <c r="C152" s="62" t="s">
        <v>55</v>
      </c>
      <c r="D152" s="62" t="s">
        <v>57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31</v>
      </c>
      <c r="B153" s="62" t="s">
        <v>54</v>
      </c>
      <c r="C153" s="62" t="s">
        <v>55</v>
      </c>
      <c r="D153" s="62" t="s">
        <v>57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32</v>
      </c>
      <c r="B154" s="62" t="s">
        <v>54</v>
      </c>
      <c r="C154" s="62" t="s">
        <v>55</v>
      </c>
      <c r="D154" s="62" t="s">
        <v>57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33</v>
      </c>
      <c r="B155" s="62" t="s">
        <v>54</v>
      </c>
      <c r="C155" s="62" t="s">
        <v>55</v>
      </c>
      <c r="D155" s="62" t="s">
        <v>57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34</v>
      </c>
      <c r="B156" s="62" t="s">
        <v>54</v>
      </c>
      <c r="C156" s="62" t="s">
        <v>55</v>
      </c>
      <c r="D156" s="62" t="s">
        <v>57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36</v>
      </c>
      <c r="B157" s="62" t="s">
        <v>54</v>
      </c>
      <c r="C157" s="62" t="s">
        <v>55</v>
      </c>
      <c r="D157" s="62" t="s">
        <v>57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21</v>
      </c>
      <c r="B158" s="67" t="s">
        <v>54</v>
      </c>
      <c r="C158" s="67" t="s">
        <v>55</v>
      </c>
      <c r="D158" s="67" t="s">
        <v>58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22</v>
      </c>
      <c r="B159" s="70" t="s">
        <v>54</v>
      </c>
      <c r="C159" s="70" t="s">
        <v>55</v>
      </c>
      <c r="D159" s="70" t="s">
        <v>58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23</v>
      </c>
      <c r="B160" s="70" t="s">
        <v>54</v>
      </c>
      <c r="C160" s="70" t="s">
        <v>55</v>
      </c>
      <c r="D160" s="70" t="s">
        <v>58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24</v>
      </c>
      <c r="B161" s="70" t="s">
        <v>54</v>
      </c>
      <c r="C161" s="70" t="s">
        <v>55</v>
      </c>
      <c r="D161" s="70" t="s">
        <v>58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25</v>
      </c>
      <c r="B162" s="70" t="s">
        <v>54</v>
      </c>
      <c r="C162" s="70" t="s">
        <v>55</v>
      </c>
      <c r="D162" s="70" t="s">
        <v>58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26</v>
      </c>
      <c r="B163" s="70" t="s">
        <v>54</v>
      </c>
      <c r="C163" s="70" t="s">
        <v>55</v>
      </c>
      <c r="D163" s="70" t="s">
        <v>58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29</v>
      </c>
      <c r="B164" s="70" t="s">
        <v>54</v>
      </c>
      <c r="C164" s="70" t="s">
        <v>55</v>
      </c>
      <c r="D164" s="70" t="s">
        <v>58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30</v>
      </c>
      <c r="B165" s="70" t="s">
        <v>54</v>
      </c>
      <c r="C165" s="70" t="s">
        <v>55</v>
      </c>
      <c r="D165" s="70" t="s">
        <v>58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31</v>
      </c>
      <c r="B166" s="70" t="s">
        <v>54</v>
      </c>
      <c r="C166" s="70" t="s">
        <v>55</v>
      </c>
      <c r="D166" s="70" t="s">
        <v>58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32</v>
      </c>
      <c r="B167" s="70" t="s">
        <v>54</v>
      </c>
      <c r="C167" s="70" t="s">
        <v>55</v>
      </c>
      <c r="D167" s="70" t="s">
        <v>58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33</v>
      </c>
      <c r="B168" s="70" t="s">
        <v>54</v>
      </c>
      <c r="C168" s="70" t="s">
        <v>55</v>
      </c>
      <c r="D168" s="70" t="s">
        <v>58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34</v>
      </c>
      <c r="B169" s="70" t="s">
        <v>54</v>
      </c>
      <c r="C169" s="70" t="s">
        <v>55</v>
      </c>
      <c r="D169" s="70" t="s">
        <v>58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36</v>
      </c>
      <c r="B170" s="70" t="s">
        <v>54</v>
      </c>
      <c r="C170" s="70" t="s">
        <v>55</v>
      </c>
      <c r="D170" s="70" t="s">
        <v>58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21</v>
      </c>
      <c r="B171" s="67" t="s">
        <v>54</v>
      </c>
      <c r="C171" s="67" t="s">
        <v>55</v>
      </c>
      <c r="D171" s="67" t="s">
        <v>59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22</v>
      </c>
      <c r="B172" s="70" t="s">
        <v>54</v>
      </c>
      <c r="C172" s="70" t="s">
        <v>55</v>
      </c>
      <c r="D172" s="70" t="s">
        <v>59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23</v>
      </c>
      <c r="B173" s="70" t="s">
        <v>54</v>
      </c>
      <c r="C173" s="70" t="s">
        <v>55</v>
      </c>
      <c r="D173" s="70" t="s">
        <v>59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24</v>
      </c>
      <c r="B174" s="70" t="s">
        <v>54</v>
      </c>
      <c r="C174" s="70" t="s">
        <v>55</v>
      </c>
      <c r="D174" s="70" t="s">
        <v>59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25</v>
      </c>
      <c r="B175" s="70" t="s">
        <v>54</v>
      </c>
      <c r="C175" s="70" t="s">
        <v>55</v>
      </c>
      <c r="D175" s="70" t="s">
        <v>59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26</v>
      </c>
      <c r="B176" s="70" t="s">
        <v>54</v>
      </c>
      <c r="C176" s="70" t="s">
        <v>55</v>
      </c>
      <c r="D176" s="70" t="s">
        <v>59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29</v>
      </c>
      <c r="B177" s="70" t="s">
        <v>54</v>
      </c>
      <c r="C177" s="70" t="s">
        <v>55</v>
      </c>
      <c r="D177" s="70" t="s">
        <v>59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30</v>
      </c>
      <c r="B178" s="70" t="s">
        <v>54</v>
      </c>
      <c r="C178" s="70" t="s">
        <v>55</v>
      </c>
      <c r="D178" s="70" t="s">
        <v>59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31</v>
      </c>
      <c r="B179" s="70" t="s">
        <v>54</v>
      </c>
      <c r="C179" s="70" t="s">
        <v>55</v>
      </c>
      <c r="D179" s="70" t="s">
        <v>59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32</v>
      </c>
      <c r="B180" s="70" t="s">
        <v>54</v>
      </c>
      <c r="C180" s="70" t="s">
        <v>55</v>
      </c>
      <c r="D180" s="70" t="s">
        <v>59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33</v>
      </c>
      <c r="B181" s="70" t="s">
        <v>54</v>
      </c>
      <c r="C181" s="70" t="s">
        <v>55</v>
      </c>
      <c r="D181" s="70" t="s">
        <v>59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34</v>
      </c>
      <c r="B182" s="70" t="s">
        <v>54</v>
      </c>
      <c r="C182" s="70" t="s">
        <v>55</v>
      </c>
      <c r="D182" s="70" t="s">
        <v>59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36</v>
      </c>
      <c r="B183" s="70" t="s">
        <v>54</v>
      </c>
      <c r="C183" s="70" t="s">
        <v>55</v>
      </c>
      <c r="D183" s="70" t="s">
        <v>59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21</v>
      </c>
      <c r="B184" s="67" t="s">
        <v>54</v>
      </c>
      <c r="C184" s="67" t="s">
        <v>55</v>
      </c>
      <c r="D184" s="67" t="s">
        <v>60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22</v>
      </c>
      <c r="B185" s="70" t="s">
        <v>54</v>
      </c>
      <c r="C185" s="70" t="s">
        <v>55</v>
      </c>
      <c r="D185" s="70" t="s">
        <v>60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23</v>
      </c>
      <c r="B186" s="70" t="s">
        <v>54</v>
      </c>
      <c r="C186" s="70" t="s">
        <v>55</v>
      </c>
      <c r="D186" s="70" t="s">
        <v>60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24</v>
      </c>
      <c r="B187" s="70" t="s">
        <v>54</v>
      </c>
      <c r="C187" s="70" t="s">
        <v>55</v>
      </c>
      <c r="D187" s="70" t="s">
        <v>60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25</v>
      </c>
      <c r="B188" s="70" t="s">
        <v>54</v>
      </c>
      <c r="C188" s="70" t="s">
        <v>55</v>
      </c>
      <c r="D188" s="70" t="s">
        <v>60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26</v>
      </c>
      <c r="B189" s="70" t="s">
        <v>54</v>
      </c>
      <c r="C189" s="70" t="s">
        <v>55</v>
      </c>
      <c r="D189" s="70" t="s">
        <v>60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29</v>
      </c>
      <c r="B190" s="70" t="s">
        <v>54</v>
      </c>
      <c r="C190" s="70" t="s">
        <v>55</v>
      </c>
      <c r="D190" s="70" t="s">
        <v>60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30</v>
      </c>
      <c r="B191" s="70" t="s">
        <v>54</v>
      </c>
      <c r="C191" s="70" t="s">
        <v>55</v>
      </c>
      <c r="D191" s="70" t="s">
        <v>60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31</v>
      </c>
      <c r="B192" s="70" t="s">
        <v>54</v>
      </c>
      <c r="C192" s="70" t="s">
        <v>55</v>
      </c>
      <c r="D192" s="70" t="s">
        <v>60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32</v>
      </c>
      <c r="B193" s="70" t="s">
        <v>54</v>
      </c>
      <c r="C193" s="70" t="s">
        <v>55</v>
      </c>
      <c r="D193" s="70" t="s">
        <v>60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33</v>
      </c>
      <c r="B194" s="70" t="s">
        <v>54</v>
      </c>
      <c r="C194" s="70" t="s">
        <v>55</v>
      </c>
      <c r="D194" s="70" t="s">
        <v>60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34</v>
      </c>
      <c r="B195" s="70" t="s">
        <v>54</v>
      </c>
      <c r="C195" s="70" t="s">
        <v>55</v>
      </c>
      <c r="D195" s="70" t="s">
        <v>60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36</v>
      </c>
      <c r="B196" s="70" t="s">
        <v>54</v>
      </c>
      <c r="C196" s="70" t="s">
        <v>55</v>
      </c>
      <c r="D196" s="70" t="s">
        <v>60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23</v>
      </c>
      <c r="B197" s="74" t="s">
        <v>61</v>
      </c>
      <c r="C197" s="74" t="s">
        <v>47</v>
      </c>
      <c r="D197" s="74" t="s">
        <v>48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24</v>
      </c>
      <c r="B198" s="74" t="s">
        <v>61</v>
      </c>
      <c r="C198" s="74" t="s">
        <v>47</v>
      </c>
      <c r="D198" s="74" t="s">
        <v>48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25</v>
      </c>
      <c r="B199" s="74" t="s">
        <v>61</v>
      </c>
      <c r="C199" s="74" t="s">
        <v>47</v>
      </c>
      <c r="D199" s="74" t="s">
        <v>48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27</v>
      </c>
      <c r="B200" s="74" t="s">
        <v>61</v>
      </c>
      <c r="C200" s="74" t="s">
        <v>47</v>
      </c>
      <c r="D200" s="74" t="s">
        <v>48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27</v>
      </c>
      <c r="B201" s="74" t="s">
        <v>61</v>
      </c>
      <c r="C201" s="74" t="s">
        <v>55</v>
      </c>
      <c r="D201" s="74" t="s">
        <v>48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28</v>
      </c>
      <c r="B202" s="74" t="s">
        <v>61</v>
      </c>
      <c r="C202" s="74" t="s">
        <v>47</v>
      </c>
      <c r="D202" s="74" t="s">
        <v>48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28</v>
      </c>
      <c r="B203" s="74" t="s">
        <v>61</v>
      </c>
      <c r="C203" s="74" t="s">
        <v>55</v>
      </c>
      <c r="D203" s="74" t="s">
        <v>48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31</v>
      </c>
      <c r="B204" s="74" t="s">
        <v>61</v>
      </c>
      <c r="C204" s="74" t="s">
        <v>47</v>
      </c>
      <c r="D204" s="74" t="s">
        <v>48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31</v>
      </c>
      <c r="B205" s="74" t="s">
        <v>61</v>
      </c>
      <c r="C205" s="74" t="s">
        <v>55</v>
      </c>
      <c r="D205" s="74" t="s">
        <v>48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33</v>
      </c>
      <c r="B206" s="74" t="s">
        <v>61</v>
      </c>
      <c r="C206" s="74" t="s">
        <v>47</v>
      </c>
      <c r="D206" s="74" t="s">
        <v>48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33</v>
      </c>
      <c r="B207" s="74" t="s">
        <v>61</v>
      </c>
      <c r="C207" s="74" t="s">
        <v>55</v>
      </c>
      <c r="D207" s="74" t="s">
        <v>48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35</v>
      </c>
      <c r="B208" s="74" t="s">
        <v>61</v>
      </c>
      <c r="C208" s="74" t="s">
        <v>47</v>
      </c>
      <c r="D208" s="74" t="s">
        <v>48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35</v>
      </c>
      <c r="B209" s="74" t="s">
        <v>61</v>
      </c>
      <c r="C209" s="74" t="s">
        <v>55</v>
      </c>
      <c r="D209" s="74" t="s">
        <v>48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23</v>
      </c>
      <c r="B210" s="74" t="s">
        <v>61</v>
      </c>
      <c r="C210" s="74" t="s">
        <v>47</v>
      </c>
      <c r="D210" s="74" t="s">
        <v>49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24</v>
      </c>
      <c r="B211" s="74" t="s">
        <v>61</v>
      </c>
      <c r="C211" s="74" t="s">
        <v>47</v>
      </c>
      <c r="D211" s="74" t="s">
        <v>49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25</v>
      </c>
      <c r="B212" s="74" t="s">
        <v>61</v>
      </c>
      <c r="C212" s="74" t="s">
        <v>47</v>
      </c>
      <c r="D212" s="74" t="s">
        <v>49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27</v>
      </c>
      <c r="B213" s="74" t="s">
        <v>61</v>
      </c>
      <c r="C213" s="74" t="s">
        <v>47</v>
      </c>
      <c r="D213" s="74" t="s">
        <v>49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27</v>
      </c>
      <c r="B214" s="74" t="s">
        <v>61</v>
      </c>
      <c r="C214" s="74" t="s">
        <v>55</v>
      </c>
      <c r="D214" s="74" t="s">
        <v>49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28</v>
      </c>
      <c r="B215" s="74" t="s">
        <v>61</v>
      </c>
      <c r="C215" s="74" t="s">
        <v>47</v>
      </c>
      <c r="D215" s="74" t="s">
        <v>49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28</v>
      </c>
      <c r="B216" s="74" t="s">
        <v>61</v>
      </c>
      <c r="C216" s="74" t="s">
        <v>55</v>
      </c>
      <c r="D216" s="74" t="s">
        <v>49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31</v>
      </c>
      <c r="B217" s="74" t="s">
        <v>61</v>
      </c>
      <c r="C217" s="74" t="s">
        <v>47</v>
      </c>
      <c r="D217" s="74" t="s">
        <v>49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31</v>
      </c>
      <c r="B218" s="74" t="s">
        <v>61</v>
      </c>
      <c r="C218" s="74" t="s">
        <v>55</v>
      </c>
      <c r="D218" s="74" t="s">
        <v>49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33</v>
      </c>
      <c r="B219" s="74" t="s">
        <v>61</v>
      </c>
      <c r="C219" s="74" t="s">
        <v>47</v>
      </c>
      <c r="D219" s="74" t="s">
        <v>49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33</v>
      </c>
      <c r="B220" s="74" t="s">
        <v>61</v>
      </c>
      <c r="C220" s="74" t="s">
        <v>55</v>
      </c>
      <c r="D220" s="74" t="s">
        <v>49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35</v>
      </c>
      <c r="B221" s="74" t="s">
        <v>61</v>
      </c>
      <c r="C221" s="74" t="s">
        <v>47</v>
      </c>
      <c r="D221" s="74" t="s">
        <v>49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35</v>
      </c>
      <c r="B222" s="74" t="s">
        <v>61</v>
      </c>
      <c r="C222" s="74" t="s">
        <v>55</v>
      </c>
      <c r="D222" s="74" t="s">
        <v>49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23</v>
      </c>
      <c r="B223" s="74" t="s">
        <v>61</v>
      </c>
      <c r="C223" s="74" t="s">
        <v>47</v>
      </c>
      <c r="D223" s="75" t="s">
        <v>50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24</v>
      </c>
      <c r="B224" s="74" t="s">
        <v>61</v>
      </c>
      <c r="C224" s="74" t="s">
        <v>47</v>
      </c>
      <c r="D224" s="75" t="s">
        <v>50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25</v>
      </c>
      <c r="B225" s="74" t="s">
        <v>61</v>
      </c>
      <c r="C225" s="74" t="s">
        <v>47</v>
      </c>
      <c r="D225" s="75" t="s">
        <v>50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27</v>
      </c>
      <c r="B226" s="74" t="s">
        <v>61</v>
      </c>
      <c r="C226" s="74" t="s">
        <v>47</v>
      </c>
      <c r="D226" s="75" t="s">
        <v>50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27</v>
      </c>
      <c r="B227" s="74" t="s">
        <v>61</v>
      </c>
      <c r="C227" s="74" t="s">
        <v>55</v>
      </c>
      <c r="D227" s="75" t="s">
        <v>50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28</v>
      </c>
      <c r="B228" s="74" t="s">
        <v>61</v>
      </c>
      <c r="C228" s="74" t="s">
        <v>47</v>
      </c>
      <c r="D228" s="75" t="s">
        <v>50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28</v>
      </c>
      <c r="B229" s="74" t="s">
        <v>61</v>
      </c>
      <c r="C229" s="74" t="s">
        <v>55</v>
      </c>
      <c r="D229" s="75" t="s">
        <v>50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31</v>
      </c>
      <c r="B230" s="74" t="s">
        <v>61</v>
      </c>
      <c r="C230" s="74" t="s">
        <v>47</v>
      </c>
      <c r="D230" s="75" t="s">
        <v>50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31</v>
      </c>
      <c r="B231" s="74" t="s">
        <v>61</v>
      </c>
      <c r="C231" s="74" t="s">
        <v>55</v>
      </c>
      <c r="D231" s="75" t="s">
        <v>50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33</v>
      </c>
      <c r="B232" s="74" t="s">
        <v>61</v>
      </c>
      <c r="C232" s="74" t="s">
        <v>47</v>
      </c>
      <c r="D232" s="75" t="s">
        <v>50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33</v>
      </c>
      <c r="B233" s="74" t="s">
        <v>61</v>
      </c>
      <c r="C233" s="74" t="s">
        <v>55</v>
      </c>
      <c r="D233" s="75" t="s">
        <v>50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35</v>
      </c>
      <c r="B234" s="74" t="s">
        <v>61</v>
      </c>
      <c r="C234" s="74" t="s">
        <v>47</v>
      </c>
      <c r="D234" s="75" t="s">
        <v>50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35</v>
      </c>
      <c r="B235" s="74" t="s">
        <v>61</v>
      </c>
      <c r="C235" s="74" t="s">
        <v>47</v>
      </c>
      <c r="D235" s="75" t="s">
        <v>50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23</v>
      </c>
      <c r="B236" s="74" t="s">
        <v>61</v>
      </c>
      <c r="C236" s="74" t="s">
        <v>47</v>
      </c>
      <c r="D236" s="75" t="s">
        <v>51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24</v>
      </c>
      <c r="B237" s="74" t="s">
        <v>61</v>
      </c>
      <c r="C237" s="74" t="s">
        <v>47</v>
      </c>
      <c r="D237" s="75" t="s">
        <v>51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25</v>
      </c>
      <c r="B238" s="74" t="s">
        <v>61</v>
      </c>
      <c r="C238" s="74" t="s">
        <v>47</v>
      </c>
      <c r="D238" s="75" t="s">
        <v>51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27</v>
      </c>
      <c r="B239" s="74" t="s">
        <v>61</v>
      </c>
      <c r="C239" s="74" t="s">
        <v>47</v>
      </c>
      <c r="D239" s="75" t="s">
        <v>51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27</v>
      </c>
      <c r="B240" s="74" t="s">
        <v>61</v>
      </c>
      <c r="C240" s="74" t="s">
        <v>55</v>
      </c>
      <c r="D240" s="75" t="s">
        <v>51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28</v>
      </c>
      <c r="B241" s="74" t="s">
        <v>61</v>
      </c>
      <c r="C241" s="74" t="s">
        <v>47</v>
      </c>
      <c r="D241" s="75" t="s">
        <v>51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28</v>
      </c>
      <c r="B242" s="74" t="s">
        <v>61</v>
      </c>
      <c r="C242" s="74" t="s">
        <v>55</v>
      </c>
      <c r="D242" s="75" t="s">
        <v>51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31</v>
      </c>
      <c r="B243" s="74" t="s">
        <v>61</v>
      </c>
      <c r="C243" s="74" t="s">
        <v>47</v>
      </c>
      <c r="D243" s="75" t="s">
        <v>51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31</v>
      </c>
      <c r="B244" s="74" t="s">
        <v>61</v>
      </c>
      <c r="C244" s="74" t="s">
        <v>55</v>
      </c>
      <c r="D244" s="75" t="s">
        <v>51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33</v>
      </c>
      <c r="B245" s="74" t="s">
        <v>61</v>
      </c>
      <c r="C245" s="74" t="s">
        <v>47</v>
      </c>
      <c r="D245" s="75" t="s">
        <v>51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33</v>
      </c>
      <c r="B246" s="74" t="s">
        <v>61</v>
      </c>
      <c r="C246" s="74" t="s">
        <v>55</v>
      </c>
      <c r="D246" s="75" t="s">
        <v>51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35</v>
      </c>
      <c r="B247" s="74" t="s">
        <v>61</v>
      </c>
      <c r="C247" s="74" t="s">
        <v>47</v>
      </c>
      <c r="D247" s="75" t="s">
        <v>51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35</v>
      </c>
      <c r="B248" s="74" t="s">
        <v>61</v>
      </c>
      <c r="C248" s="74" t="s">
        <v>55</v>
      </c>
      <c r="D248" s="75" t="s">
        <v>51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23</v>
      </c>
      <c r="B249" s="74" t="s">
        <v>61</v>
      </c>
      <c r="C249" s="74" t="s">
        <v>47</v>
      </c>
      <c r="D249" s="75" t="s">
        <v>52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24</v>
      </c>
      <c r="B250" s="74" t="s">
        <v>61</v>
      </c>
      <c r="C250" s="74" t="s">
        <v>47</v>
      </c>
      <c r="D250" s="75" t="s">
        <v>52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25</v>
      </c>
      <c r="B251" s="74" t="s">
        <v>61</v>
      </c>
      <c r="C251" s="74" t="s">
        <v>47</v>
      </c>
      <c r="D251" s="75" t="s">
        <v>52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27</v>
      </c>
      <c r="B252" s="74" t="s">
        <v>61</v>
      </c>
      <c r="C252" s="74" t="s">
        <v>47</v>
      </c>
      <c r="D252" s="75" t="s">
        <v>52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27</v>
      </c>
      <c r="B253" s="74" t="s">
        <v>61</v>
      </c>
      <c r="C253" s="74" t="s">
        <v>55</v>
      </c>
      <c r="D253" s="75" t="s">
        <v>52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28</v>
      </c>
      <c r="B254" s="74" t="s">
        <v>61</v>
      </c>
      <c r="C254" s="74" t="s">
        <v>47</v>
      </c>
      <c r="D254" s="75" t="s">
        <v>52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28</v>
      </c>
      <c r="B255" s="74" t="s">
        <v>61</v>
      </c>
      <c r="C255" s="74" t="s">
        <v>55</v>
      </c>
      <c r="D255" s="75" t="s">
        <v>52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31</v>
      </c>
      <c r="B256" s="74" t="s">
        <v>61</v>
      </c>
      <c r="C256" s="74" t="s">
        <v>47</v>
      </c>
      <c r="D256" s="75" t="s">
        <v>52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31</v>
      </c>
      <c r="B257" s="74" t="s">
        <v>61</v>
      </c>
      <c r="C257" s="74" t="s">
        <v>55</v>
      </c>
      <c r="D257" s="75" t="s">
        <v>52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33</v>
      </c>
      <c r="B258" s="74" t="s">
        <v>61</v>
      </c>
      <c r="C258" s="74" t="s">
        <v>47</v>
      </c>
      <c r="D258" s="75" t="s">
        <v>52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33</v>
      </c>
      <c r="B259" s="74" t="s">
        <v>61</v>
      </c>
      <c r="C259" s="74" t="s">
        <v>55</v>
      </c>
      <c r="D259" s="75" t="s">
        <v>52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35</v>
      </c>
      <c r="B260" s="74" t="s">
        <v>61</v>
      </c>
      <c r="C260" s="74" t="s">
        <v>47</v>
      </c>
      <c r="D260" s="75" t="s">
        <v>52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35</v>
      </c>
      <c r="B261" s="74" t="s">
        <v>61</v>
      </c>
      <c r="C261" s="74" t="s">
        <v>55</v>
      </c>
      <c r="D261" s="75" t="s">
        <v>52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23</v>
      </c>
      <c r="B262" s="74" t="s">
        <v>61</v>
      </c>
      <c r="C262" s="74" t="s">
        <v>47</v>
      </c>
      <c r="D262" s="75" t="s">
        <v>53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24</v>
      </c>
      <c r="B263" s="74" t="s">
        <v>61</v>
      </c>
      <c r="C263" s="74" t="s">
        <v>47</v>
      </c>
      <c r="D263" s="75" t="s">
        <v>53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25</v>
      </c>
      <c r="B264" s="74" t="s">
        <v>61</v>
      </c>
      <c r="C264" s="74" t="s">
        <v>47</v>
      </c>
      <c r="D264" s="75" t="s">
        <v>53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27</v>
      </c>
      <c r="B265" s="74" t="s">
        <v>61</v>
      </c>
      <c r="C265" s="74" t="s">
        <v>47</v>
      </c>
      <c r="D265" s="75" t="s">
        <v>53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27</v>
      </c>
      <c r="B266" s="74" t="s">
        <v>61</v>
      </c>
      <c r="C266" s="74" t="s">
        <v>55</v>
      </c>
      <c r="D266" s="75" t="s">
        <v>53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28</v>
      </c>
      <c r="B267" s="74" t="s">
        <v>61</v>
      </c>
      <c r="C267" s="74" t="s">
        <v>47</v>
      </c>
      <c r="D267" s="75" t="s">
        <v>53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28</v>
      </c>
      <c r="B268" s="74" t="s">
        <v>61</v>
      </c>
      <c r="C268" s="74" t="s">
        <v>55</v>
      </c>
      <c r="D268" s="75" t="s">
        <v>53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31</v>
      </c>
      <c r="B269" s="74" t="s">
        <v>61</v>
      </c>
      <c r="C269" s="74" t="s">
        <v>47</v>
      </c>
      <c r="D269" s="75" t="s">
        <v>53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31</v>
      </c>
      <c r="B270" s="74" t="s">
        <v>61</v>
      </c>
      <c r="C270" s="74" t="s">
        <v>55</v>
      </c>
      <c r="D270" s="75" t="s">
        <v>53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33</v>
      </c>
      <c r="B271" s="74" t="s">
        <v>61</v>
      </c>
      <c r="C271" s="74" t="s">
        <v>47</v>
      </c>
      <c r="D271" s="75" t="s">
        <v>53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33</v>
      </c>
      <c r="B272" s="74" t="s">
        <v>61</v>
      </c>
      <c r="C272" s="74" t="s">
        <v>55</v>
      </c>
      <c r="D272" s="75" t="s">
        <v>53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35</v>
      </c>
      <c r="B273" s="74" t="s">
        <v>61</v>
      </c>
      <c r="C273" s="74" t="s">
        <v>47</v>
      </c>
      <c r="D273" s="75" t="s">
        <v>53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35</v>
      </c>
      <c r="B274" s="74" t="s">
        <v>61</v>
      </c>
      <c r="C274" s="74" t="s">
        <v>55</v>
      </c>
      <c r="D274" s="75" t="s">
        <v>53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23</v>
      </c>
      <c r="B275" s="74" t="s">
        <v>61</v>
      </c>
      <c r="C275" s="74" t="s">
        <v>47</v>
      </c>
      <c r="D275" s="75" t="s">
        <v>56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24</v>
      </c>
      <c r="B276" s="74" t="s">
        <v>61</v>
      </c>
      <c r="C276" s="74" t="s">
        <v>47</v>
      </c>
      <c r="D276" s="75" t="s">
        <v>56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25</v>
      </c>
      <c r="B277" s="74" t="s">
        <v>61</v>
      </c>
      <c r="C277" s="74" t="s">
        <v>47</v>
      </c>
      <c r="D277" s="75" t="s">
        <v>56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27</v>
      </c>
      <c r="B278" s="74" t="s">
        <v>61</v>
      </c>
      <c r="C278" s="74" t="s">
        <v>47</v>
      </c>
      <c r="D278" s="75" t="s">
        <v>56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27</v>
      </c>
      <c r="B279" s="74" t="s">
        <v>61</v>
      </c>
      <c r="C279" s="74" t="s">
        <v>55</v>
      </c>
      <c r="D279" s="75" t="s">
        <v>56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28</v>
      </c>
      <c r="B280" s="74" t="s">
        <v>61</v>
      </c>
      <c r="C280" s="74" t="s">
        <v>47</v>
      </c>
      <c r="D280" s="75" t="s">
        <v>56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28</v>
      </c>
      <c r="B281" s="74" t="s">
        <v>61</v>
      </c>
      <c r="C281" s="74" t="s">
        <v>55</v>
      </c>
      <c r="D281" s="75" t="s">
        <v>56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31</v>
      </c>
      <c r="B282" s="74" t="s">
        <v>61</v>
      </c>
      <c r="C282" s="74" t="s">
        <v>47</v>
      </c>
      <c r="D282" s="75" t="s">
        <v>56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31</v>
      </c>
      <c r="B283" s="74" t="s">
        <v>61</v>
      </c>
      <c r="C283" s="74" t="s">
        <v>55</v>
      </c>
      <c r="D283" s="75" t="s">
        <v>56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33</v>
      </c>
      <c r="B284" s="74" t="s">
        <v>61</v>
      </c>
      <c r="C284" s="74" t="s">
        <v>47</v>
      </c>
      <c r="D284" s="75" t="s">
        <v>56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33</v>
      </c>
      <c r="B285" s="74" t="s">
        <v>61</v>
      </c>
      <c r="C285" s="74" t="s">
        <v>55</v>
      </c>
      <c r="D285" s="75" t="s">
        <v>56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35</v>
      </c>
      <c r="B286" s="74" t="s">
        <v>61</v>
      </c>
      <c r="C286" s="74" t="s">
        <v>47</v>
      </c>
      <c r="D286" s="75" t="s">
        <v>56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35</v>
      </c>
      <c r="B287" s="74" t="s">
        <v>61</v>
      </c>
      <c r="C287" s="74" t="s">
        <v>55</v>
      </c>
      <c r="D287" s="75" t="s">
        <v>56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23</v>
      </c>
      <c r="B288" s="74" t="s">
        <v>61</v>
      </c>
      <c r="C288" s="74" t="s">
        <v>47</v>
      </c>
      <c r="D288" s="75" t="s">
        <v>57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24</v>
      </c>
      <c r="B289" s="74" t="s">
        <v>61</v>
      </c>
      <c r="C289" s="74" t="s">
        <v>47</v>
      </c>
      <c r="D289" s="75" t="s">
        <v>57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25</v>
      </c>
      <c r="B290" s="74" t="s">
        <v>61</v>
      </c>
      <c r="C290" s="74" t="s">
        <v>47</v>
      </c>
      <c r="D290" s="75" t="s">
        <v>57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27</v>
      </c>
      <c r="B291" s="74" t="s">
        <v>61</v>
      </c>
      <c r="C291" s="74" t="s">
        <v>47</v>
      </c>
      <c r="D291" s="75" t="s">
        <v>57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27</v>
      </c>
      <c r="B292" s="74" t="s">
        <v>61</v>
      </c>
      <c r="C292" s="74" t="s">
        <v>55</v>
      </c>
      <c r="D292" s="75" t="s">
        <v>57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28</v>
      </c>
      <c r="B293" s="74" t="s">
        <v>61</v>
      </c>
      <c r="C293" s="74" t="s">
        <v>47</v>
      </c>
      <c r="D293" s="75" t="s">
        <v>57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28</v>
      </c>
      <c r="B294" s="74" t="s">
        <v>61</v>
      </c>
      <c r="C294" s="74" t="s">
        <v>55</v>
      </c>
      <c r="D294" s="75" t="s">
        <v>57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31</v>
      </c>
      <c r="B295" s="74" t="s">
        <v>61</v>
      </c>
      <c r="C295" s="74" t="s">
        <v>47</v>
      </c>
      <c r="D295" s="75" t="s">
        <v>57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31</v>
      </c>
      <c r="B296" s="74" t="s">
        <v>61</v>
      </c>
      <c r="C296" s="74" t="s">
        <v>55</v>
      </c>
      <c r="D296" s="75" t="s">
        <v>57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33</v>
      </c>
      <c r="B297" s="74" t="s">
        <v>61</v>
      </c>
      <c r="C297" s="74" t="s">
        <v>47</v>
      </c>
      <c r="D297" s="75" t="s">
        <v>57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33</v>
      </c>
      <c r="B298" s="74" t="s">
        <v>61</v>
      </c>
      <c r="C298" s="74" t="s">
        <v>55</v>
      </c>
      <c r="D298" s="75" t="s">
        <v>57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35</v>
      </c>
      <c r="B299" s="74" t="s">
        <v>61</v>
      </c>
      <c r="C299" s="74" t="s">
        <v>47</v>
      </c>
      <c r="D299" s="75" t="s">
        <v>57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35</v>
      </c>
      <c r="B300" s="74" t="s">
        <v>61</v>
      </c>
      <c r="C300" s="74" t="s">
        <v>55</v>
      </c>
      <c r="D300" s="75" t="s">
        <v>57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23</v>
      </c>
      <c r="B301" s="74" t="s">
        <v>61</v>
      </c>
      <c r="C301" s="74" t="s">
        <v>47</v>
      </c>
      <c r="D301" s="75" t="s">
        <v>58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24</v>
      </c>
      <c r="B302" s="74" t="s">
        <v>61</v>
      </c>
      <c r="C302" s="74" t="s">
        <v>47</v>
      </c>
      <c r="D302" s="75" t="s">
        <v>58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25</v>
      </c>
      <c r="B303" s="74" t="s">
        <v>61</v>
      </c>
      <c r="C303" s="74" t="s">
        <v>47</v>
      </c>
      <c r="D303" s="75" t="s">
        <v>58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27</v>
      </c>
      <c r="B304" s="74" t="s">
        <v>61</v>
      </c>
      <c r="C304" s="74" t="s">
        <v>47</v>
      </c>
      <c r="D304" s="75" t="s">
        <v>58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27</v>
      </c>
      <c r="B305" s="74" t="s">
        <v>61</v>
      </c>
      <c r="C305" s="74" t="s">
        <v>55</v>
      </c>
      <c r="D305" s="75" t="s">
        <v>58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28</v>
      </c>
      <c r="B306" s="74" t="s">
        <v>61</v>
      </c>
      <c r="C306" s="74" t="s">
        <v>47</v>
      </c>
      <c r="D306" s="75" t="s">
        <v>58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28</v>
      </c>
      <c r="B307" s="74" t="s">
        <v>61</v>
      </c>
      <c r="C307" s="74" t="s">
        <v>55</v>
      </c>
      <c r="D307" s="75" t="s">
        <v>58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31</v>
      </c>
      <c r="B308" s="74" t="s">
        <v>61</v>
      </c>
      <c r="C308" s="74" t="s">
        <v>47</v>
      </c>
      <c r="D308" s="75" t="s">
        <v>58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31</v>
      </c>
      <c r="B309" s="74" t="s">
        <v>61</v>
      </c>
      <c r="C309" s="74" t="s">
        <v>55</v>
      </c>
      <c r="D309" s="75" t="s">
        <v>58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33</v>
      </c>
      <c r="B310" s="74" t="s">
        <v>61</v>
      </c>
      <c r="C310" s="74" t="s">
        <v>47</v>
      </c>
      <c r="D310" s="75" t="s">
        <v>58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33</v>
      </c>
      <c r="B311" s="74" t="s">
        <v>61</v>
      </c>
      <c r="C311" s="74" t="s">
        <v>55</v>
      </c>
      <c r="D311" s="75" t="s">
        <v>58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35</v>
      </c>
      <c r="B312" s="74" t="s">
        <v>61</v>
      </c>
      <c r="C312" s="74" t="s">
        <v>47</v>
      </c>
      <c r="D312" s="75" t="s">
        <v>58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35</v>
      </c>
      <c r="B313" s="74" t="s">
        <v>61</v>
      </c>
      <c r="C313" s="74" t="s">
        <v>55</v>
      </c>
      <c r="D313" s="75" t="s">
        <v>58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23</v>
      </c>
      <c r="B314" s="74" t="s">
        <v>61</v>
      </c>
      <c r="C314" s="74" t="s">
        <v>47</v>
      </c>
      <c r="D314" s="75" t="s">
        <v>59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24</v>
      </c>
      <c r="B315" s="74" t="s">
        <v>61</v>
      </c>
      <c r="C315" s="74" t="s">
        <v>47</v>
      </c>
      <c r="D315" s="75" t="s">
        <v>59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25</v>
      </c>
      <c r="B316" s="74" t="s">
        <v>61</v>
      </c>
      <c r="C316" s="74" t="s">
        <v>47</v>
      </c>
      <c r="D316" s="75" t="s">
        <v>59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27</v>
      </c>
      <c r="B317" s="74" t="s">
        <v>61</v>
      </c>
      <c r="C317" s="74" t="s">
        <v>47</v>
      </c>
      <c r="D317" s="75" t="s">
        <v>59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27</v>
      </c>
      <c r="B318" s="74" t="s">
        <v>61</v>
      </c>
      <c r="C318" s="74" t="s">
        <v>55</v>
      </c>
      <c r="D318" s="75" t="s">
        <v>59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28</v>
      </c>
      <c r="B319" s="74" t="s">
        <v>61</v>
      </c>
      <c r="C319" s="74" t="s">
        <v>47</v>
      </c>
      <c r="D319" s="75" t="s">
        <v>59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28</v>
      </c>
      <c r="B320" s="74" t="s">
        <v>61</v>
      </c>
      <c r="C320" s="74" t="s">
        <v>55</v>
      </c>
      <c r="D320" s="75" t="s">
        <v>59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31</v>
      </c>
      <c r="B321" s="74" t="s">
        <v>61</v>
      </c>
      <c r="C321" s="74" t="s">
        <v>47</v>
      </c>
      <c r="D321" s="75" t="s">
        <v>59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31</v>
      </c>
      <c r="B322" s="74" t="s">
        <v>61</v>
      </c>
      <c r="C322" s="74" t="s">
        <v>55</v>
      </c>
      <c r="D322" s="75" t="s">
        <v>59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33</v>
      </c>
      <c r="B323" s="74" t="s">
        <v>61</v>
      </c>
      <c r="C323" s="74" t="s">
        <v>47</v>
      </c>
      <c r="D323" s="75" t="s">
        <v>59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33</v>
      </c>
      <c r="B324" s="74" t="s">
        <v>61</v>
      </c>
      <c r="C324" s="74" t="s">
        <v>55</v>
      </c>
      <c r="D324" s="75" t="s">
        <v>59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35</v>
      </c>
      <c r="B325" s="74" t="s">
        <v>61</v>
      </c>
      <c r="C325" s="74" t="s">
        <v>47</v>
      </c>
      <c r="D325" s="75" t="s">
        <v>59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35</v>
      </c>
      <c r="B326" s="74" t="s">
        <v>61</v>
      </c>
      <c r="C326" s="74" t="s">
        <v>55</v>
      </c>
      <c r="D326" s="75" t="s">
        <v>59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23</v>
      </c>
      <c r="B327" s="76" t="s">
        <v>61</v>
      </c>
      <c r="C327" s="76" t="s">
        <v>47</v>
      </c>
      <c r="D327" s="77" t="s">
        <v>60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24</v>
      </c>
      <c r="B328" s="78" t="s">
        <v>61</v>
      </c>
      <c r="C328" s="78" t="s">
        <v>47</v>
      </c>
      <c r="D328" s="79" t="s">
        <v>60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25</v>
      </c>
      <c r="B329" s="76" t="s">
        <v>61</v>
      </c>
      <c r="C329" s="76" t="s">
        <v>47</v>
      </c>
      <c r="D329" s="77" t="s">
        <v>60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27</v>
      </c>
      <c r="B330" s="78" t="s">
        <v>61</v>
      </c>
      <c r="C330" s="78" t="s">
        <v>47</v>
      </c>
      <c r="D330" s="79" t="s">
        <v>60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27</v>
      </c>
      <c r="B331" s="76" t="s">
        <v>61</v>
      </c>
      <c r="C331" s="76" t="s">
        <v>55</v>
      </c>
      <c r="D331" s="77" t="s">
        <v>60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28</v>
      </c>
      <c r="B332" s="78" t="s">
        <v>61</v>
      </c>
      <c r="C332" s="78" t="s">
        <v>47</v>
      </c>
      <c r="D332" s="79" t="s">
        <v>60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28</v>
      </c>
      <c r="B333" s="76" t="s">
        <v>61</v>
      </c>
      <c r="C333" s="76" t="s">
        <v>55</v>
      </c>
      <c r="D333" s="77" t="s">
        <v>60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31</v>
      </c>
      <c r="B334" s="78" t="s">
        <v>61</v>
      </c>
      <c r="C334" s="78" t="s">
        <v>47</v>
      </c>
      <c r="D334" s="79" t="s">
        <v>60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31</v>
      </c>
      <c r="B335" s="76" t="s">
        <v>61</v>
      </c>
      <c r="C335" s="76" t="s">
        <v>55</v>
      </c>
      <c r="D335" s="77" t="s">
        <v>60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33</v>
      </c>
      <c r="B336" s="78" t="s">
        <v>61</v>
      </c>
      <c r="C336" s="78" t="s">
        <v>47</v>
      </c>
      <c r="D336" s="79" t="s">
        <v>60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33</v>
      </c>
      <c r="B337" s="76" t="s">
        <v>61</v>
      </c>
      <c r="C337" s="76" t="s">
        <v>55</v>
      </c>
      <c r="D337" s="77" t="s">
        <v>60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35</v>
      </c>
      <c r="B338" s="78" t="s">
        <v>61</v>
      </c>
      <c r="C338" s="78" t="s">
        <v>47</v>
      </c>
      <c r="D338" s="79" t="s">
        <v>60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35</v>
      </c>
      <c r="B339" s="76" t="s">
        <v>61</v>
      </c>
      <c r="C339" s="76" t="s">
        <v>55</v>
      </c>
      <c r="D339" s="77" t="s">
        <v>60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62</v>
      </c>
      <c r="B1" s="54" t="s">
        <v>38</v>
      </c>
      <c r="C1" s="54" t="s">
        <v>39</v>
      </c>
      <c r="D1" s="54" t="s">
        <v>63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x14ac:dyDescent="0.2">
      <c r="A2" s="61" t="s">
        <v>21</v>
      </c>
      <c r="B2" s="61" t="s">
        <v>46</v>
      </c>
      <c r="C2" s="61" t="s">
        <v>47</v>
      </c>
      <c r="D2" s="61" t="s">
        <v>64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22</v>
      </c>
      <c r="B3" s="61" t="s">
        <v>46</v>
      </c>
      <c r="C3" s="61" t="s">
        <v>47</v>
      </c>
      <c r="D3" s="61" t="s">
        <v>64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23</v>
      </c>
      <c r="B4" s="61" t="s">
        <v>46</v>
      </c>
      <c r="C4" s="61" t="s">
        <v>47</v>
      </c>
      <c r="D4" s="61" t="s">
        <v>64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24</v>
      </c>
      <c r="B5" s="61" t="s">
        <v>46</v>
      </c>
      <c r="C5" s="61" t="s">
        <v>47</v>
      </c>
      <c r="D5" s="61" t="s">
        <v>64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25</v>
      </c>
      <c r="B6" s="61" t="s">
        <v>46</v>
      </c>
      <c r="C6" s="61" t="s">
        <v>47</v>
      </c>
      <c r="D6" s="61" t="s">
        <v>64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26</v>
      </c>
      <c r="B7" s="61" t="s">
        <v>46</v>
      </c>
      <c r="C7" s="61" t="s">
        <v>47</v>
      </c>
      <c r="D7" s="61" t="s">
        <v>64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29</v>
      </c>
      <c r="B8" s="61" t="s">
        <v>46</v>
      </c>
      <c r="C8" s="61" t="s">
        <v>47</v>
      </c>
      <c r="D8" s="61" t="s">
        <v>64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30</v>
      </c>
      <c r="B9" s="61" t="s">
        <v>46</v>
      </c>
      <c r="C9" s="61" t="s">
        <v>47</v>
      </c>
      <c r="D9" s="61" t="s">
        <v>64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31</v>
      </c>
      <c r="B10" s="61" t="s">
        <v>46</v>
      </c>
      <c r="C10" s="61" t="s">
        <v>47</v>
      </c>
      <c r="D10" s="61" t="s">
        <v>64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32</v>
      </c>
      <c r="B11" s="61" t="s">
        <v>46</v>
      </c>
      <c r="C11" s="61" t="s">
        <v>47</v>
      </c>
      <c r="D11" s="61" t="s">
        <v>64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33</v>
      </c>
      <c r="B12" s="61" t="s">
        <v>46</v>
      </c>
      <c r="C12" s="61" t="s">
        <v>47</v>
      </c>
      <c r="D12" s="61" t="s">
        <v>64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34</v>
      </c>
      <c r="B13" s="61" t="s">
        <v>46</v>
      </c>
      <c r="C13" s="61" t="s">
        <v>47</v>
      </c>
      <c r="D13" s="61" t="s">
        <v>64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36</v>
      </c>
      <c r="B14" s="61" t="s">
        <v>46</v>
      </c>
      <c r="C14" s="61" t="s">
        <v>47</v>
      </c>
      <c r="D14" s="61" t="s">
        <v>64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21</v>
      </c>
      <c r="B15" s="61" t="s">
        <v>46</v>
      </c>
      <c r="C15" s="61" t="s">
        <v>47</v>
      </c>
      <c r="D15" s="61" t="s">
        <v>65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22</v>
      </c>
      <c r="B16" s="61" t="s">
        <v>46</v>
      </c>
      <c r="C16" s="61" t="s">
        <v>47</v>
      </c>
      <c r="D16" s="61" t="s">
        <v>65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23</v>
      </c>
      <c r="B17" s="61" t="s">
        <v>46</v>
      </c>
      <c r="C17" s="61" t="s">
        <v>47</v>
      </c>
      <c r="D17" s="61" t="s">
        <v>65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24</v>
      </c>
      <c r="B18" s="61" t="s">
        <v>46</v>
      </c>
      <c r="C18" s="61" t="s">
        <v>47</v>
      </c>
      <c r="D18" s="61" t="s">
        <v>65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25</v>
      </c>
      <c r="B19" s="61" t="s">
        <v>46</v>
      </c>
      <c r="C19" s="61" t="s">
        <v>47</v>
      </c>
      <c r="D19" s="61" t="s">
        <v>65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26</v>
      </c>
      <c r="B20" s="61" t="s">
        <v>46</v>
      </c>
      <c r="C20" s="61" t="s">
        <v>47</v>
      </c>
      <c r="D20" s="61" t="s">
        <v>65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29</v>
      </c>
      <c r="B21" s="61" t="s">
        <v>46</v>
      </c>
      <c r="C21" s="61" t="s">
        <v>47</v>
      </c>
      <c r="D21" s="61" t="s">
        <v>65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30</v>
      </c>
      <c r="B22" s="61" t="s">
        <v>46</v>
      </c>
      <c r="C22" s="61" t="s">
        <v>47</v>
      </c>
      <c r="D22" s="61" t="s">
        <v>65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31</v>
      </c>
      <c r="B23" s="61" t="s">
        <v>46</v>
      </c>
      <c r="C23" s="61" t="s">
        <v>47</v>
      </c>
      <c r="D23" s="61" t="s">
        <v>65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32</v>
      </c>
      <c r="B24" s="61" t="s">
        <v>46</v>
      </c>
      <c r="C24" s="61" t="s">
        <v>47</v>
      </c>
      <c r="D24" s="61" t="s">
        <v>65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33</v>
      </c>
      <c r="B25" s="61" t="s">
        <v>46</v>
      </c>
      <c r="C25" s="61" t="s">
        <v>47</v>
      </c>
      <c r="D25" s="61" t="s">
        <v>65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34</v>
      </c>
      <c r="B26" s="61" t="s">
        <v>46</v>
      </c>
      <c r="C26" s="61" t="s">
        <v>47</v>
      </c>
      <c r="D26" s="61" t="s">
        <v>65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36</v>
      </c>
      <c r="B27" s="61" t="s">
        <v>46</v>
      </c>
      <c r="C27" s="61" t="s">
        <v>47</v>
      </c>
      <c r="D27" s="61" t="s">
        <v>65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21</v>
      </c>
      <c r="B28" s="61" t="s">
        <v>46</v>
      </c>
      <c r="C28" s="61" t="s">
        <v>47</v>
      </c>
      <c r="D28" s="61" t="s">
        <v>66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22</v>
      </c>
      <c r="B29" s="61" t="s">
        <v>46</v>
      </c>
      <c r="C29" s="61" t="s">
        <v>47</v>
      </c>
      <c r="D29" s="61" t="s">
        <v>66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23</v>
      </c>
      <c r="B30" s="61" t="s">
        <v>46</v>
      </c>
      <c r="C30" s="61" t="s">
        <v>47</v>
      </c>
      <c r="D30" s="61" t="s">
        <v>66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24</v>
      </c>
      <c r="B31" s="61" t="s">
        <v>46</v>
      </c>
      <c r="C31" s="61" t="s">
        <v>47</v>
      </c>
      <c r="D31" s="61" t="s">
        <v>66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25</v>
      </c>
      <c r="B32" s="61" t="s">
        <v>46</v>
      </c>
      <c r="C32" s="61" t="s">
        <v>47</v>
      </c>
      <c r="D32" s="61" t="s">
        <v>66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26</v>
      </c>
      <c r="B33" s="61" t="s">
        <v>46</v>
      </c>
      <c r="C33" s="61" t="s">
        <v>47</v>
      </c>
      <c r="D33" s="61" t="s">
        <v>66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29</v>
      </c>
      <c r="B34" s="61" t="s">
        <v>46</v>
      </c>
      <c r="C34" s="61" t="s">
        <v>47</v>
      </c>
      <c r="D34" s="61" t="s">
        <v>66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30</v>
      </c>
      <c r="B35" s="61" t="s">
        <v>46</v>
      </c>
      <c r="C35" s="61" t="s">
        <v>47</v>
      </c>
      <c r="D35" s="61" t="s">
        <v>66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31</v>
      </c>
      <c r="B36" s="61" t="s">
        <v>46</v>
      </c>
      <c r="C36" s="61" t="s">
        <v>47</v>
      </c>
      <c r="D36" s="61" t="s">
        <v>66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32</v>
      </c>
      <c r="B37" s="61" t="s">
        <v>46</v>
      </c>
      <c r="C37" s="61" t="s">
        <v>47</v>
      </c>
      <c r="D37" s="61" t="s">
        <v>66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33</v>
      </c>
      <c r="B38" s="61" t="s">
        <v>46</v>
      </c>
      <c r="C38" s="61" t="s">
        <v>47</v>
      </c>
      <c r="D38" s="61" t="s">
        <v>66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34</v>
      </c>
      <c r="B39" s="61" t="s">
        <v>46</v>
      </c>
      <c r="C39" s="61" t="s">
        <v>47</v>
      </c>
      <c r="D39" s="61" t="s">
        <v>66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36</v>
      </c>
      <c r="B40" s="61" t="s">
        <v>46</v>
      </c>
      <c r="C40" s="61" t="s">
        <v>47</v>
      </c>
      <c r="D40" s="61" t="s">
        <v>66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21</v>
      </c>
      <c r="B41" s="61" t="s">
        <v>46</v>
      </c>
      <c r="C41" s="61" t="s">
        <v>47</v>
      </c>
      <c r="D41" s="61" t="s">
        <v>67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22</v>
      </c>
      <c r="B42" s="61" t="s">
        <v>46</v>
      </c>
      <c r="C42" s="61" t="s">
        <v>47</v>
      </c>
      <c r="D42" s="61" t="s">
        <v>67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23</v>
      </c>
      <c r="B43" s="61" t="s">
        <v>46</v>
      </c>
      <c r="C43" s="61" t="s">
        <v>47</v>
      </c>
      <c r="D43" s="61" t="s">
        <v>67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24</v>
      </c>
      <c r="B44" s="61" t="s">
        <v>46</v>
      </c>
      <c r="C44" s="61" t="s">
        <v>47</v>
      </c>
      <c r="D44" s="61" t="s">
        <v>67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25</v>
      </c>
      <c r="B45" s="61" t="s">
        <v>46</v>
      </c>
      <c r="C45" s="61" t="s">
        <v>47</v>
      </c>
      <c r="D45" s="61" t="s">
        <v>67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26</v>
      </c>
      <c r="B46" s="61" t="s">
        <v>46</v>
      </c>
      <c r="C46" s="61" t="s">
        <v>47</v>
      </c>
      <c r="D46" s="61" t="s">
        <v>67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29</v>
      </c>
      <c r="B47" s="61" t="s">
        <v>46</v>
      </c>
      <c r="C47" s="61" t="s">
        <v>47</v>
      </c>
      <c r="D47" s="61" t="s">
        <v>67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30</v>
      </c>
      <c r="B48" s="61" t="s">
        <v>46</v>
      </c>
      <c r="C48" s="61" t="s">
        <v>47</v>
      </c>
      <c r="D48" s="61" t="s">
        <v>67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31</v>
      </c>
      <c r="B49" s="61" t="s">
        <v>46</v>
      </c>
      <c r="C49" s="61" t="s">
        <v>47</v>
      </c>
      <c r="D49" s="61" t="s">
        <v>67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32</v>
      </c>
      <c r="B50" s="61" t="s">
        <v>46</v>
      </c>
      <c r="C50" s="61" t="s">
        <v>47</v>
      </c>
      <c r="D50" s="61" t="s">
        <v>67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33</v>
      </c>
      <c r="B51" s="61" t="s">
        <v>46</v>
      </c>
      <c r="C51" s="61" t="s">
        <v>47</v>
      </c>
      <c r="D51" s="61" t="s">
        <v>67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34</v>
      </c>
      <c r="B52" s="61" t="s">
        <v>46</v>
      </c>
      <c r="C52" s="61" t="s">
        <v>47</v>
      </c>
      <c r="D52" s="61" t="s">
        <v>67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36</v>
      </c>
      <c r="B53" s="61" t="s">
        <v>46</v>
      </c>
      <c r="C53" s="61" t="s">
        <v>47</v>
      </c>
      <c r="D53" s="61" t="s">
        <v>67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21</v>
      </c>
      <c r="B54" s="61" t="s">
        <v>46</v>
      </c>
      <c r="C54" s="61" t="s">
        <v>47</v>
      </c>
      <c r="D54" s="61" t="s">
        <v>68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22</v>
      </c>
      <c r="B55" s="61" t="s">
        <v>46</v>
      </c>
      <c r="C55" s="61" t="s">
        <v>47</v>
      </c>
      <c r="D55" s="61" t="s">
        <v>68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23</v>
      </c>
      <c r="B56" s="61" t="s">
        <v>46</v>
      </c>
      <c r="C56" s="61" t="s">
        <v>47</v>
      </c>
      <c r="D56" s="61" t="s">
        <v>68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24</v>
      </c>
      <c r="B57" s="61" t="s">
        <v>46</v>
      </c>
      <c r="C57" s="61" t="s">
        <v>47</v>
      </c>
      <c r="D57" s="61" t="s">
        <v>68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25</v>
      </c>
      <c r="B58" s="61" t="s">
        <v>46</v>
      </c>
      <c r="C58" s="61" t="s">
        <v>47</v>
      </c>
      <c r="D58" s="61" t="s">
        <v>68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26</v>
      </c>
      <c r="B59" s="61" t="s">
        <v>46</v>
      </c>
      <c r="C59" s="61" t="s">
        <v>47</v>
      </c>
      <c r="D59" s="61" t="s">
        <v>68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29</v>
      </c>
      <c r="B60" s="61" t="s">
        <v>46</v>
      </c>
      <c r="C60" s="61" t="s">
        <v>47</v>
      </c>
      <c r="D60" s="61" t="s">
        <v>68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30</v>
      </c>
      <c r="B61" s="61" t="s">
        <v>46</v>
      </c>
      <c r="C61" s="61" t="s">
        <v>47</v>
      </c>
      <c r="D61" s="61" t="s">
        <v>68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31</v>
      </c>
      <c r="B62" s="61" t="s">
        <v>46</v>
      </c>
      <c r="C62" s="61" t="s">
        <v>47</v>
      </c>
      <c r="D62" s="61" t="s">
        <v>68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32</v>
      </c>
      <c r="B63" s="61" t="s">
        <v>46</v>
      </c>
      <c r="C63" s="61" t="s">
        <v>47</v>
      </c>
      <c r="D63" s="61" t="s">
        <v>68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33</v>
      </c>
      <c r="B64" s="61" t="s">
        <v>46</v>
      </c>
      <c r="C64" s="61" t="s">
        <v>47</v>
      </c>
      <c r="D64" s="61" t="s">
        <v>68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34</v>
      </c>
      <c r="B65" s="61" t="s">
        <v>46</v>
      </c>
      <c r="C65" s="61" t="s">
        <v>47</v>
      </c>
      <c r="D65" s="61" t="s">
        <v>68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36</v>
      </c>
      <c r="B66" s="61" t="s">
        <v>46</v>
      </c>
      <c r="C66" s="61" t="s">
        <v>47</v>
      </c>
      <c r="D66" s="61" t="s">
        <v>68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21</v>
      </c>
      <c r="B67" s="61" t="s">
        <v>46</v>
      </c>
      <c r="C67" s="61" t="s">
        <v>47</v>
      </c>
      <c r="D67" s="61" t="s">
        <v>69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22</v>
      </c>
      <c r="B68" s="61" t="s">
        <v>46</v>
      </c>
      <c r="C68" s="61" t="s">
        <v>47</v>
      </c>
      <c r="D68" s="61" t="s">
        <v>69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23</v>
      </c>
      <c r="B69" s="61" t="s">
        <v>46</v>
      </c>
      <c r="C69" s="61" t="s">
        <v>47</v>
      </c>
      <c r="D69" s="61" t="s">
        <v>69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24</v>
      </c>
      <c r="B70" s="61" t="s">
        <v>46</v>
      </c>
      <c r="C70" s="61" t="s">
        <v>47</v>
      </c>
      <c r="D70" s="61" t="s">
        <v>69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25</v>
      </c>
      <c r="B71" s="61" t="s">
        <v>46</v>
      </c>
      <c r="C71" s="61" t="s">
        <v>47</v>
      </c>
      <c r="D71" s="61" t="s">
        <v>69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26</v>
      </c>
      <c r="B72" s="61" t="s">
        <v>46</v>
      </c>
      <c r="C72" s="61" t="s">
        <v>47</v>
      </c>
      <c r="D72" s="61" t="s">
        <v>69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29</v>
      </c>
      <c r="B73" s="61" t="s">
        <v>46</v>
      </c>
      <c r="C73" s="61" t="s">
        <v>47</v>
      </c>
      <c r="D73" s="61" t="s">
        <v>69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30</v>
      </c>
      <c r="B74" s="61" t="s">
        <v>46</v>
      </c>
      <c r="C74" s="61" t="s">
        <v>47</v>
      </c>
      <c r="D74" s="61" t="s">
        <v>69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31</v>
      </c>
      <c r="B75" s="61" t="s">
        <v>46</v>
      </c>
      <c r="C75" s="61" t="s">
        <v>47</v>
      </c>
      <c r="D75" s="61" t="s">
        <v>69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32</v>
      </c>
      <c r="B76" s="61" t="s">
        <v>46</v>
      </c>
      <c r="C76" s="61" t="s">
        <v>47</v>
      </c>
      <c r="D76" s="61" t="s">
        <v>69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33</v>
      </c>
      <c r="B77" s="61" t="s">
        <v>46</v>
      </c>
      <c r="C77" s="61" t="s">
        <v>47</v>
      </c>
      <c r="D77" s="61" t="s">
        <v>69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34</v>
      </c>
      <c r="B78" s="61" t="s">
        <v>46</v>
      </c>
      <c r="C78" s="61" t="s">
        <v>47</v>
      </c>
      <c r="D78" s="61" t="s">
        <v>69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36</v>
      </c>
      <c r="B79" s="61" t="s">
        <v>46</v>
      </c>
      <c r="C79" s="61" t="s">
        <v>47</v>
      </c>
      <c r="D79" s="61" t="s">
        <v>69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21</v>
      </c>
      <c r="B80" s="61" t="s">
        <v>46</v>
      </c>
      <c r="C80" s="61" t="s">
        <v>47</v>
      </c>
      <c r="D80" s="61" t="s">
        <v>70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22</v>
      </c>
      <c r="B81" s="61" t="s">
        <v>46</v>
      </c>
      <c r="C81" s="61" t="s">
        <v>47</v>
      </c>
      <c r="D81" s="61" t="s">
        <v>70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23</v>
      </c>
      <c r="B82" s="61" t="s">
        <v>46</v>
      </c>
      <c r="C82" s="61" t="s">
        <v>47</v>
      </c>
      <c r="D82" s="61" t="s">
        <v>70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24</v>
      </c>
      <c r="B83" s="61" t="s">
        <v>46</v>
      </c>
      <c r="C83" s="61" t="s">
        <v>47</v>
      </c>
      <c r="D83" s="61" t="s">
        <v>70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25</v>
      </c>
      <c r="B84" s="61" t="s">
        <v>46</v>
      </c>
      <c r="C84" s="61" t="s">
        <v>47</v>
      </c>
      <c r="D84" s="61" t="s">
        <v>70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26</v>
      </c>
      <c r="B85" s="61" t="s">
        <v>46</v>
      </c>
      <c r="C85" s="61" t="s">
        <v>47</v>
      </c>
      <c r="D85" s="61" t="s">
        <v>70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29</v>
      </c>
      <c r="B86" s="61" t="s">
        <v>46</v>
      </c>
      <c r="C86" s="61" t="s">
        <v>47</v>
      </c>
      <c r="D86" s="61" t="s">
        <v>70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30</v>
      </c>
      <c r="B87" s="61" t="s">
        <v>46</v>
      </c>
      <c r="C87" s="61" t="s">
        <v>47</v>
      </c>
      <c r="D87" s="61" t="s">
        <v>70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31</v>
      </c>
      <c r="B88" s="61" t="s">
        <v>46</v>
      </c>
      <c r="C88" s="61" t="s">
        <v>47</v>
      </c>
      <c r="D88" s="61" t="s">
        <v>70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32</v>
      </c>
      <c r="B89" s="61" t="s">
        <v>46</v>
      </c>
      <c r="C89" s="61" t="s">
        <v>47</v>
      </c>
      <c r="D89" s="61" t="s">
        <v>70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33</v>
      </c>
      <c r="B90" s="61" t="s">
        <v>46</v>
      </c>
      <c r="C90" s="61" t="s">
        <v>47</v>
      </c>
      <c r="D90" s="61" t="s">
        <v>70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34</v>
      </c>
      <c r="B91" s="61" t="s">
        <v>46</v>
      </c>
      <c r="C91" s="61" t="s">
        <v>47</v>
      </c>
      <c r="D91" s="61" t="s">
        <v>70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36</v>
      </c>
      <c r="B92" s="61" t="s">
        <v>46</v>
      </c>
      <c r="C92" s="61" t="s">
        <v>47</v>
      </c>
      <c r="D92" s="61" t="s">
        <v>70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21</v>
      </c>
      <c r="B93" s="61" t="s">
        <v>46</v>
      </c>
      <c r="C93" s="61" t="s">
        <v>47</v>
      </c>
      <c r="D93" s="61" t="s">
        <v>71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22</v>
      </c>
      <c r="B94" s="61" t="s">
        <v>46</v>
      </c>
      <c r="C94" s="61" t="s">
        <v>47</v>
      </c>
      <c r="D94" s="61" t="s">
        <v>71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23</v>
      </c>
      <c r="B95" s="61" t="s">
        <v>46</v>
      </c>
      <c r="C95" s="61" t="s">
        <v>47</v>
      </c>
      <c r="D95" s="61" t="s">
        <v>71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24</v>
      </c>
      <c r="B96" s="61" t="s">
        <v>46</v>
      </c>
      <c r="C96" s="61" t="s">
        <v>47</v>
      </c>
      <c r="D96" s="61" t="s">
        <v>71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25</v>
      </c>
      <c r="B97" s="61" t="s">
        <v>46</v>
      </c>
      <c r="C97" s="61" t="s">
        <v>47</v>
      </c>
      <c r="D97" s="61" t="s">
        <v>71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26</v>
      </c>
      <c r="B98" s="61" t="s">
        <v>46</v>
      </c>
      <c r="C98" s="61" t="s">
        <v>47</v>
      </c>
      <c r="D98" s="61" t="s">
        <v>71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29</v>
      </c>
      <c r="B99" s="61" t="s">
        <v>46</v>
      </c>
      <c r="C99" s="61" t="s">
        <v>47</v>
      </c>
      <c r="D99" s="61" t="s">
        <v>71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30</v>
      </c>
      <c r="B100" s="61" t="s">
        <v>46</v>
      </c>
      <c r="C100" s="61" t="s">
        <v>47</v>
      </c>
      <c r="D100" s="61" t="s">
        <v>71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31</v>
      </c>
      <c r="B101" s="61" t="s">
        <v>46</v>
      </c>
      <c r="C101" s="61" t="s">
        <v>47</v>
      </c>
      <c r="D101" s="61" t="s">
        <v>71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32</v>
      </c>
      <c r="B102" s="61" t="s">
        <v>46</v>
      </c>
      <c r="C102" s="61" t="s">
        <v>47</v>
      </c>
      <c r="D102" s="61" t="s">
        <v>71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33</v>
      </c>
      <c r="B103" s="61" t="s">
        <v>46</v>
      </c>
      <c r="C103" s="61" t="s">
        <v>47</v>
      </c>
      <c r="D103" s="61" t="s">
        <v>71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34</v>
      </c>
      <c r="B104" s="61" t="s">
        <v>46</v>
      </c>
      <c r="C104" s="61" t="s">
        <v>47</v>
      </c>
      <c r="D104" s="61" t="s">
        <v>71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36</v>
      </c>
      <c r="B105" s="61" t="s">
        <v>46</v>
      </c>
      <c r="C105" s="61" t="s">
        <v>47</v>
      </c>
      <c r="D105" s="61" t="s">
        <v>71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21</v>
      </c>
      <c r="B106" s="61" t="s">
        <v>46</v>
      </c>
      <c r="C106" s="61" t="s">
        <v>47</v>
      </c>
      <c r="D106" s="61" t="s">
        <v>72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22</v>
      </c>
      <c r="B107" s="61" t="s">
        <v>46</v>
      </c>
      <c r="C107" s="61" t="s">
        <v>47</v>
      </c>
      <c r="D107" s="61" t="s">
        <v>72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23</v>
      </c>
      <c r="B108" s="61" t="s">
        <v>46</v>
      </c>
      <c r="C108" s="61" t="s">
        <v>47</v>
      </c>
      <c r="D108" s="61" t="s">
        <v>72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24</v>
      </c>
      <c r="B109" s="61" t="s">
        <v>46</v>
      </c>
      <c r="C109" s="61" t="s">
        <v>47</v>
      </c>
      <c r="D109" s="61" t="s">
        <v>72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25</v>
      </c>
      <c r="B110" s="61" t="s">
        <v>46</v>
      </c>
      <c r="C110" s="61" t="s">
        <v>47</v>
      </c>
      <c r="D110" s="61" t="s">
        <v>72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26</v>
      </c>
      <c r="B111" s="61" t="s">
        <v>46</v>
      </c>
      <c r="C111" s="61" t="s">
        <v>47</v>
      </c>
      <c r="D111" s="61" t="s">
        <v>72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29</v>
      </c>
      <c r="B112" s="61" t="s">
        <v>46</v>
      </c>
      <c r="C112" s="61" t="s">
        <v>47</v>
      </c>
      <c r="D112" s="61" t="s">
        <v>72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30</v>
      </c>
      <c r="B113" s="61" t="s">
        <v>46</v>
      </c>
      <c r="C113" s="61" t="s">
        <v>47</v>
      </c>
      <c r="D113" s="61" t="s">
        <v>72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31</v>
      </c>
      <c r="B114" s="61" t="s">
        <v>46</v>
      </c>
      <c r="C114" s="61" t="s">
        <v>47</v>
      </c>
      <c r="D114" s="61" t="s">
        <v>72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32</v>
      </c>
      <c r="B115" s="61" t="s">
        <v>46</v>
      </c>
      <c r="C115" s="61" t="s">
        <v>47</v>
      </c>
      <c r="D115" s="61" t="s">
        <v>72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33</v>
      </c>
      <c r="B116" s="61" t="s">
        <v>46</v>
      </c>
      <c r="C116" s="61" t="s">
        <v>47</v>
      </c>
      <c r="D116" s="61" t="s">
        <v>72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34</v>
      </c>
      <c r="B117" s="61" t="s">
        <v>46</v>
      </c>
      <c r="C117" s="61" t="s">
        <v>47</v>
      </c>
      <c r="D117" s="61" t="s">
        <v>72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36</v>
      </c>
      <c r="B118" s="61" t="s">
        <v>46</v>
      </c>
      <c r="C118" s="61" t="s">
        <v>47</v>
      </c>
      <c r="D118" s="61" t="s">
        <v>72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21</v>
      </c>
      <c r="B119" s="61" t="s">
        <v>46</v>
      </c>
      <c r="C119" s="61" t="s">
        <v>47</v>
      </c>
      <c r="D119" s="61" t="s">
        <v>73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22</v>
      </c>
      <c r="B120" s="61" t="s">
        <v>46</v>
      </c>
      <c r="C120" s="61" t="s">
        <v>47</v>
      </c>
      <c r="D120" s="61" t="s">
        <v>73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23</v>
      </c>
      <c r="B121" s="61" t="s">
        <v>46</v>
      </c>
      <c r="C121" s="61" t="s">
        <v>47</v>
      </c>
      <c r="D121" s="61" t="s">
        <v>73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24</v>
      </c>
      <c r="B122" s="61" t="s">
        <v>46</v>
      </c>
      <c r="C122" s="61" t="s">
        <v>47</v>
      </c>
      <c r="D122" s="61" t="s">
        <v>73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25</v>
      </c>
      <c r="B123" s="61" t="s">
        <v>46</v>
      </c>
      <c r="C123" s="61" t="s">
        <v>47</v>
      </c>
      <c r="D123" s="61" t="s">
        <v>73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26</v>
      </c>
      <c r="B124" s="61" t="s">
        <v>46</v>
      </c>
      <c r="C124" s="61" t="s">
        <v>47</v>
      </c>
      <c r="D124" s="61" t="s">
        <v>73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29</v>
      </c>
      <c r="B125" s="61" t="s">
        <v>46</v>
      </c>
      <c r="C125" s="61" t="s">
        <v>47</v>
      </c>
      <c r="D125" s="61" t="s">
        <v>73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30</v>
      </c>
      <c r="B126" s="61" t="s">
        <v>46</v>
      </c>
      <c r="C126" s="61" t="s">
        <v>47</v>
      </c>
      <c r="D126" s="61" t="s">
        <v>73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31</v>
      </c>
      <c r="B127" s="61" t="s">
        <v>46</v>
      </c>
      <c r="C127" s="61" t="s">
        <v>47</v>
      </c>
      <c r="D127" s="61" t="s">
        <v>73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32</v>
      </c>
      <c r="B128" s="61" t="s">
        <v>46</v>
      </c>
      <c r="C128" s="61" t="s">
        <v>47</v>
      </c>
      <c r="D128" s="61" t="s">
        <v>73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33</v>
      </c>
      <c r="B129" s="61" t="s">
        <v>46</v>
      </c>
      <c r="C129" s="61" t="s">
        <v>47</v>
      </c>
      <c r="D129" s="61" t="s">
        <v>73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34</v>
      </c>
      <c r="B130" s="61" t="s">
        <v>46</v>
      </c>
      <c r="C130" s="61" t="s">
        <v>47</v>
      </c>
      <c r="D130" s="61" t="s">
        <v>73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36</v>
      </c>
      <c r="B131" s="61" t="s">
        <v>46</v>
      </c>
      <c r="C131" s="61" t="s">
        <v>47</v>
      </c>
      <c r="D131" s="61" t="s">
        <v>73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21</v>
      </c>
      <c r="B132" s="61" t="s">
        <v>46</v>
      </c>
      <c r="C132" s="61" t="s">
        <v>47</v>
      </c>
      <c r="D132" s="61" t="s">
        <v>74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22</v>
      </c>
      <c r="B133" s="61" t="s">
        <v>46</v>
      </c>
      <c r="C133" s="61" t="s">
        <v>47</v>
      </c>
      <c r="D133" s="61" t="s">
        <v>74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23</v>
      </c>
      <c r="B134" s="61" t="s">
        <v>46</v>
      </c>
      <c r="C134" s="61" t="s">
        <v>47</v>
      </c>
      <c r="D134" s="61" t="s">
        <v>74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24</v>
      </c>
      <c r="B135" s="61" t="s">
        <v>46</v>
      </c>
      <c r="C135" s="61" t="s">
        <v>47</v>
      </c>
      <c r="D135" s="61" t="s">
        <v>74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25</v>
      </c>
      <c r="B136" s="61" t="s">
        <v>46</v>
      </c>
      <c r="C136" s="61" t="s">
        <v>47</v>
      </c>
      <c r="D136" s="61" t="s">
        <v>74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26</v>
      </c>
      <c r="B137" s="61" t="s">
        <v>46</v>
      </c>
      <c r="C137" s="61" t="s">
        <v>47</v>
      </c>
      <c r="D137" s="61" t="s">
        <v>74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29</v>
      </c>
      <c r="B138" s="61" t="s">
        <v>46</v>
      </c>
      <c r="C138" s="61" t="s">
        <v>47</v>
      </c>
      <c r="D138" s="61" t="s">
        <v>74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30</v>
      </c>
      <c r="B139" s="61" t="s">
        <v>46</v>
      </c>
      <c r="C139" s="61" t="s">
        <v>47</v>
      </c>
      <c r="D139" s="61" t="s">
        <v>74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31</v>
      </c>
      <c r="B140" s="61" t="s">
        <v>46</v>
      </c>
      <c r="C140" s="61" t="s">
        <v>47</v>
      </c>
      <c r="D140" s="61" t="s">
        <v>74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32</v>
      </c>
      <c r="B141" s="61" t="s">
        <v>46</v>
      </c>
      <c r="C141" s="61" t="s">
        <v>47</v>
      </c>
      <c r="D141" s="61" t="s">
        <v>74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33</v>
      </c>
      <c r="B142" s="61" t="s">
        <v>46</v>
      </c>
      <c r="C142" s="61" t="s">
        <v>47</v>
      </c>
      <c r="D142" s="61" t="s">
        <v>74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34</v>
      </c>
      <c r="B143" s="61" t="s">
        <v>46</v>
      </c>
      <c r="C143" s="61" t="s">
        <v>47</v>
      </c>
      <c r="D143" s="61" t="s">
        <v>74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36</v>
      </c>
      <c r="B144" s="61" t="s">
        <v>46</v>
      </c>
      <c r="C144" s="61" t="s">
        <v>47</v>
      </c>
      <c r="D144" s="61" t="s">
        <v>74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21</v>
      </c>
      <c r="B145" s="61" t="s">
        <v>46</v>
      </c>
      <c r="C145" s="61" t="s">
        <v>47</v>
      </c>
      <c r="D145" s="61" t="s">
        <v>75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22</v>
      </c>
      <c r="B146" s="61" t="s">
        <v>46</v>
      </c>
      <c r="C146" s="61" t="s">
        <v>47</v>
      </c>
      <c r="D146" s="61" t="s">
        <v>75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23</v>
      </c>
      <c r="B147" s="61" t="s">
        <v>46</v>
      </c>
      <c r="C147" s="61" t="s">
        <v>47</v>
      </c>
      <c r="D147" s="61" t="s">
        <v>75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24</v>
      </c>
      <c r="B148" s="61" t="s">
        <v>46</v>
      </c>
      <c r="C148" s="61" t="s">
        <v>47</v>
      </c>
      <c r="D148" s="61" t="s">
        <v>75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25</v>
      </c>
      <c r="B149" s="61" t="s">
        <v>46</v>
      </c>
      <c r="C149" s="61" t="s">
        <v>47</v>
      </c>
      <c r="D149" s="61" t="s">
        <v>75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26</v>
      </c>
      <c r="B150" s="61" t="s">
        <v>46</v>
      </c>
      <c r="C150" s="61" t="s">
        <v>47</v>
      </c>
      <c r="D150" s="61" t="s">
        <v>75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29</v>
      </c>
      <c r="B151" s="61" t="s">
        <v>46</v>
      </c>
      <c r="C151" s="61" t="s">
        <v>47</v>
      </c>
      <c r="D151" s="61" t="s">
        <v>75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30</v>
      </c>
      <c r="B152" s="61" t="s">
        <v>46</v>
      </c>
      <c r="C152" s="61" t="s">
        <v>47</v>
      </c>
      <c r="D152" s="61" t="s">
        <v>75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31</v>
      </c>
      <c r="B153" s="61" t="s">
        <v>46</v>
      </c>
      <c r="C153" s="61" t="s">
        <v>47</v>
      </c>
      <c r="D153" s="61" t="s">
        <v>75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32</v>
      </c>
      <c r="B154" s="61" t="s">
        <v>46</v>
      </c>
      <c r="C154" s="61" t="s">
        <v>47</v>
      </c>
      <c r="D154" s="61" t="s">
        <v>75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33</v>
      </c>
      <c r="B155" s="61" t="s">
        <v>46</v>
      </c>
      <c r="C155" s="61" t="s">
        <v>47</v>
      </c>
      <c r="D155" s="61" t="s">
        <v>75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34</v>
      </c>
      <c r="B156" s="61" t="s">
        <v>46</v>
      </c>
      <c r="C156" s="61" t="s">
        <v>47</v>
      </c>
      <c r="D156" s="61" t="s">
        <v>75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36</v>
      </c>
      <c r="B157" s="61" t="s">
        <v>46</v>
      </c>
      <c r="C157" s="61" t="s">
        <v>47</v>
      </c>
      <c r="D157" s="61" t="s">
        <v>75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21</v>
      </c>
      <c r="B158" s="80" t="s">
        <v>54</v>
      </c>
      <c r="C158" s="80" t="s">
        <v>55</v>
      </c>
      <c r="D158" s="80" t="s">
        <v>64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22</v>
      </c>
      <c r="B159" s="80" t="s">
        <v>54</v>
      </c>
      <c r="C159" s="80" t="s">
        <v>55</v>
      </c>
      <c r="D159" s="80" t="s">
        <v>64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23</v>
      </c>
      <c r="B160" s="80" t="s">
        <v>54</v>
      </c>
      <c r="C160" s="80" t="s">
        <v>55</v>
      </c>
      <c r="D160" s="80" t="s">
        <v>64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24</v>
      </c>
      <c r="B161" s="80" t="s">
        <v>54</v>
      </c>
      <c r="C161" s="80" t="s">
        <v>55</v>
      </c>
      <c r="D161" s="80" t="s">
        <v>64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25</v>
      </c>
      <c r="B162" s="80" t="s">
        <v>54</v>
      </c>
      <c r="C162" s="80" t="s">
        <v>55</v>
      </c>
      <c r="D162" s="80" t="s">
        <v>64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26</v>
      </c>
      <c r="B163" s="80" t="s">
        <v>54</v>
      </c>
      <c r="C163" s="80" t="s">
        <v>55</v>
      </c>
      <c r="D163" s="80" t="s">
        <v>64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29</v>
      </c>
      <c r="B164" s="80" t="s">
        <v>54</v>
      </c>
      <c r="C164" s="80" t="s">
        <v>55</v>
      </c>
      <c r="D164" s="80" t="s">
        <v>64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30</v>
      </c>
      <c r="B165" s="80" t="s">
        <v>54</v>
      </c>
      <c r="C165" s="80" t="s">
        <v>55</v>
      </c>
      <c r="D165" s="80" t="s">
        <v>64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31</v>
      </c>
      <c r="B166" s="80" t="s">
        <v>54</v>
      </c>
      <c r="C166" s="80" t="s">
        <v>55</v>
      </c>
      <c r="D166" s="80" t="s">
        <v>64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32</v>
      </c>
      <c r="B167" s="80" t="s">
        <v>54</v>
      </c>
      <c r="C167" s="80" t="s">
        <v>55</v>
      </c>
      <c r="D167" s="80" t="s">
        <v>64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33</v>
      </c>
      <c r="B168" s="80" t="s">
        <v>54</v>
      </c>
      <c r="C168" s="80" t="s">
        <v>55</v>
      </c>
      <c r="D168" s="80" t="s">
        <v>64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34</v>
      </c>
      <c r="B169" s="80" t="s">
        <v>54</v>
      </c>
      <c r="C169" s="80" t="s">
        <v>55</v>
      </c>
      <c r="D169" s="80" t="s">
        <v>64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36</v>
      </c>
      <c r="B170" s="80" t="s">
        <v>54</v>
      </c>
      <c r="C170" s="80" t="s">
        <v>55</v>
      </c>
      <c r="D170" s="80" t="s">
        <v>64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21</v>
      </c>
      <c r="B171" s="80" t="s">
        <v>54</v>
      </c>
      <c r="C171" s="80" t="s">
        <v>55</v>
      </c>
      <c r="D171" s="80" t="s">
        <v>65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22</v>
      </c>
      <c r="B172" s="80" t="s">
        <v>54</v>
      </c>
      <c r="C172" s="80" t="s">
        <v>55</v>
      </c>
      <c r="D172" s="80" t="s">
        <v>65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23</v>
      </c>
      <c r="B173" s="80" t="s">
        <v>54</v>
      </c>
      <c r="C173" s="80" t="s">
        <v>55</v>
      </c>
      <c r="D173" s="80" t="s">
        <v>65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24</v>
      </c>
      <c r="B174" s="80" t="s">
        <v>54</v>
      </c>
      <c r="C174" s="80" t="s">
        <v>55</v>
      </c>
      <c r="D174" s="80" t="s">
        <v>65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25</v>
      </c>
      <c r="B175" s="80" t="s">
        <v>54</v>
      </c>
      <c r="C175" s="80" t="s">
        <v>55</v>
      </c>
      <c r="D175" s="80" t="s">
        <v>65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26</v>
      </c>
      <c r="B176" s="80" t="s">
        <v>54</v>
      </c>
      <c r="C176" s="80" t="s">
        <v>55</v>
      </c>
      <c r="D176" s="80" t="s">
        <v>65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29</v>
      </c>
      <c r="B177" s="80" t="s">
        <v>54</v>
      </c>
      <c r="C177" s="80" t="s">
        <v>55</v>
      </c>
      <c r="D177" s="80" t="s">
        <v>65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30</v>
      </c>
      <c r="B178" s="80" t="s">
        <v>54</v>
      </c>
      <c r="C178" s="80" t="s">
        <v>55</v>
      </c>
      <c r="D178" s="80" t="s">
        <v>65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31</v>
      </c>
      <c r="B179" s="80" t="s">
        <v>54</v>
      </c>
      <c r="C179" s="80" t="s">
        <v>55</v>
      </c>
      <c r="D179" s="80" t="s">
        <v>65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32</v>
      </c>
      <c r="B180" s="80" t="s">
        <v>54</v>
      </c>
      <c r="C180" s="80" t="s">
        <v>55</v>
      </c>
      <c r="D180" s="80" t="s">
        <v>65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33</v>
      </c>
      <c r="B181" s="80" t="s">
        <v>54</v>
      </c>
      <c r="C181" s="80" t="s">
        <v>55</v>
      </c>
      <c r="D181" s="80" t="s">
        <v>65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34</v>
      </c>
      <c r="B182" s="80" t="s">
        <v>54</v>
      </c>
      <c r="C182" s="80" t="s">
        <v>55</v>
      </c>
      <c r="D182" s="80" t="s">
        <v>65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36</v>
      </c>
      <c r="B183" s="80" t="s">
        <v>54</v>
      </c>
      <c r="C183" s="80" t="s">
        <v>55</v>
      </c>
      <c r="D183" s="80" t="s">
        <v>65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21</v>
      </c>
      <c r="B184" s="80" t="s">
        <v>54</v>
      </c>
      <c r="C184" s="80" t="s">
        <v>55</v>
      </c>
      <c r="D184" s="80" t="s">
        <v>66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22</v>
      </c>
      <c r="B185" s="80" t="s">
        <v>54</v>
      </c>
      <c r="C185" s="80" t="s">
        <v>55</v>
      </c>
      <c r="D185" s="80" t="s">
        <v>66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23</v>
      </c>
      <c r="B186" s="80" t="s">
        <v>54</v>
      </c>
      <c r="C186" s="80" t="s">
        <v>55</v>
      </c>
      <c r="D186" s="80" t="s">
        <v>66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24</v>
      </c>
      <c r="B187" s="80" t="s">
        <v>54</v>
      </c>
      <c r="C187" s="80" t="s">
        <v>55</v>
      </c>
      <c r="D187" s="80" t="s">
        <v>66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25</v>
      </c>
      <c r="B188" s="80" t="s">
        <v>54</v>
      </c>
      <c r="C188" s="80" t="s">
        <v>55</v>
      </c>
      <c r="D188" s="80" t="s">
        <v>66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26</v>
      </c>
      <c r="B189" s="80" t="s">
        <v>54</v>
      </c>
      <c r="C189" s="80" t="s">
        <v>55</v>
      </c>
      <c r="D189" s="80" t="s">
        <v>66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29</v>
      </c>
      <c r="B190" s="80" t="s">
        <v>54</v>
      </c>
      <c r="C190" s="80" t="s">
        <v>55</v>
      </c>
      <c r="D190" s="80" t="s">
        <v>66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30</v>
      </c>
      <c r="B191" s="80" t="s">
        <v>54</v>
      </c>
      <c r="C191" s="80" t="s">
        <v>55</v>
      </c>
      <c r="D191" s="80" t="s">
        <v>66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31</v>
      </c>
      <c r="B192" s="80" t="s">
        <v>54</v>
      </c>
      <c r="C192" s="80" t="s">
        <v>55</v>
      </c>
      <c r="D192" s="80" t="s">
        <v>66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32</v>
      </c>
      <c r="B193" s="80" t="s">
        <v>54</v>
      </c>
      <c r="C193" s="80" t="s">
        <v>55</v>
      </c>
      <c r="D193" s="80" t="s">
        <v>66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33</v>
      </c>
      <c r="B194" s="80" t="s">
        <v>54</v>
      </c>
      <c r="C194" s="80" t="s">
        <v>55</v>
      </c>
      <c r="D194" s="80" t="s">
        <v>66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34</v>
      </c>
      <c r="B195" s="80" t="s">
        <v>54</v>
      </c>
      <c r="C195" s="80" t="s">
        <v>55</v>
      </c>
      <c r="D195" s="80" t="s">
        <v>66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36</v>
      </c>
      <c r="B196" s="80" t="s">
        <v>54</v>
      </c>
      <c r="C196" s="80" t="s">
        <v>55</v>
      </c>
      <c r="D196" s="80" t="s">
        <v>66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21</v>
      </c>
      <c r="B197" s="80" t="s">
        <v>54</v>
      </c>
      <c r="C197" s="80" t="s">
        <v>55</v>
      </c>
      <c r="D197" s="80" t="s">
        <v>67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22</v>
      </c>
      <c r="B198" s="80" t="s">
        <v>54</v>
      </c>
      <c r="C198" s="80" t="s">
        <v>55</v>
      </c>
      <c r="D198" s="80" t="s">
        <v>67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23</v>
      </c>
      <c r="B199" s="80" t="s">
        <v>54</v>
      </c>
      <c r="C199" s="80" t="s">
        <v>55</v>
      </c>
      <c r="D199" s="80" t="s">
        <v>67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24</v>
      </c>
      <c r="B200" s="80" t="s">
        <v>54</v>
      </c>
      <c r="C200" s="80" t="s">
        <v>55</v>
      </c>
      <c r="D200" s="80" t="s">
        <v>67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25</v>
      </c>
      <c r="B201" s="80" t="s">
        <v>54</v>
      </c>
      <c r="C201" s="80" t="s">
        <v>55</v>
      </c>
      <c r="D201" s="80" t="s">
        <v>67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26</v>
      </c>
      <c r="B202" s="80" t="s">
        <v>54</v>
      </c>
      <c r="C202" s="80" t="s">
        <v>55</v>
      </c>
      <c r="D202" s="80" t="s">
        <v>67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29</v>
      </c>
      <c r="B203" s="80" t="s">
        <v>54</v>
      </c>
      <c r="C203" s="80" t="s">
        <v>55</v>
      </c>
      <c r="D203" s="80" t="s">
        <v>67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30</v>
      </c>
      <c r="B204" s="80" t="s">
        <v>54</v>
      </c>
      <c r="C204" s="80" t="s">
        <v>55</v>
      </c>
      <c r="D204" s="80" t="s">
        <v>67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31</v>
      </c>
      <c r="B205" s="80" t="s">
        <v>54</v>
      </c>
      <c r="C205" s="80" t="s">
        <v>55</v>
      </c>
      <c r="D205" s="80" t="s">
        <v>67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32</v>
      </c>
      <c r="B206" s="80" t="s">
        <v>54</v>
      </c>
      <c r="C206" s="80" t="s">
        <v>55</v>
      </c>
      <c r="D206" s="80" t="s">
        <v>67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33</v>
      </c>
      <c r="B207" s="80" t="s">
        <v>54</v>
      </c>
      <c r="C207" s="80" t="s">
        <v>55</v>
      </c>
      <c r="D207" s="80" t="s">
        <v>67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34</v>
      </c>
      <c r="B208" s="80" t="s">
        <v>54</v>
      </c>
      <c r="C208" s="80" t="s">
        <v>55</v>
      </c>
      <c r="D208" s="80" t="s">
        <v>67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36</v>
      </c>
      <c r="B209" s="80" t="s">
        <v>54</v>
      </c>
      <c r="C209" s="80" t="s">
        <v>55</v>
      </c>
      <c r="D209" s="80" t="s">
        <v>67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21</v>
      </c>
      <c r="B210" s="80" t="s">
        <v>54</v>
      </c>
      <c r="C210" s="80" t="s">
        <v>55</v>
      </c>
      <c r="D210" s="80" t="s">
        <v>68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22</v>
      </c>
      <c r="B211" s="80" t="s">
        <v>54</v>
      </c>
      <c r="C211" s="80" t="s">
        <v>55</v>
      </c>
      <c r="D211" s="80" t="s">
        <v>68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23</v>
      </c>
      <c r="B212" s="80" t="s">
        <v>54</v>
      </c>
      <c r="C212" s="80" t="s">
        <v>55</v>
      </c>
      <c r="D212" s="80" t="s">
        <v>68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24</v>
      </c>
      <c r="B213" s="80" t="s">
        <v>54</v>
      </c>
      <c r="C213" s="80" t="s">
        <v>55</v>
      </c>
      <c r="D213" s="80" t="s">
        <v>68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25</v>
      </c>
      <c r="B214" s="80" t="s">
        <v>54</v>
      </c>
      <c r="C214" s="80" t="s">
        <v>55</v>
      </c>
      <c r="D214" s="80" t="s">
        <v>68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26</v>
      </c>
      <c r="B215" s="80" t="s">
        <v>54</v>
      </c>
      <c r="C215" s="80" t="s">
        <v>55</v>
      </c>
      <c r="D215" s="80" t="s">
        <v>68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29</v>
      </c>
      <c r="B216" s="80" t="s">
        <v>54</v>
      </c>
      <c r="C216" s="80" t="s">
        <v>55</v>
      </c>
      <c r="D216" s="80" t="s">
        <v>68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30</v>
      </c>
      <c r="B217" s="80" t="s">
        <v>54</v>
      </c>
      <c r="C217" s="80" t="s">
        <v>55</v>
      </c>
      <c r="D217" s="80" t="s">
        <v>68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31</v>
      </c>
      <c r="B218" s="80" t="s">
        <v>54</v>
      </c>
      <c r="C218" s="80" t="s">
        <v>55</v>
      </c>
      <c r="D218" s="80" t="s">
        <v>68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32</v>
      </c>
      <c r="B219" s="80" t="s">
        <v>54</v>
      </c>
      <c r="C219" s="80" t="s">
        <v>55</v>
      </c>
      <c r="D219" s="80" t="s">
        <v>68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33</v>
      </c>
      <c r="B220" s="80" t="s">
        <v>54</v>
      </c>
      <c r="C220" s="80" t="s">
        <v>55</v>
      </c>
      <c r="D220" s="80" t="s">
        <v>68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34</v>
      </c>
      <c r="B221" s="80" t="s">
        <v>54</v>
      </c>
      <c r="C221" s="80" t="s">
        <v>55</v>
      </c>
      <c r="D221" s="80" t="s">
        <v>68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36</v>
      </c>
      <c r="B222" s="80" t="s">
        <v>54</v>
      </c>
      <c r="C222" s="80" t="s">
        <v>55</v>
      </c>
      <c r="D222" s="80" t="s">
        <v>68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21</v>
      </c>
      <c r="B223" s="80" t="s">
        <v>54</v>
      </c>
      <c r="C223" s="80" t="s">
        <v>55</v>
      </c>
      <c r="D223" s="80" t="s">
        <v>69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22</v>
      </c>
      <c r="B224" s="80" t="s">
        <v>54</v>
      </c>
      <c r="C224" s="80" t="s">
        <v>55</v>
      </c>
      <c r="D224" s="80" t="s">
        <v>69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23</v>
      </c>
      <c r="B225" s="80" t="s">
        <v>54</v>
      </c>
      <c r="C225" s="80" t="s">
        <v>55</v>
      </c>
      <c r="D225" s="80" t="s">
        <v>69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24</v>
      </c>
      <c r="B226" s="80" t="s">
        <v>54</v>
      </c>
      <c r="C226" s="80" t="s">
        <v>55</v>
      </c>
      <c r="D226" s="80" t="s">
        <v>69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25</v>
      </c>
      <c r="B227" s="80" t="s">
        <v>54</v>
      </c>
      <c r="C227" s="80" t="s">
        <v>55</v>
      </c>
      <c r="D227" s="80" t="s">
        <v>69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26</v>
      </c>
      <c r="B228" s="80" t="s">
        <v>54</v>
      </c>
      <c r="C228" s="80" t="s">
        <v>55</v>
      </c>
      <c r="D228" s="80" t="s">
        <v>69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29</v>
      </c>
      <c r="B229" s="80" t="s">
        <v>54</v>
      </c>
      <c r="C229" s="80" t="s">
        <v>55</v>
      </c>
      <c r="D229" s="80" t="s">
        <v>69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30</v>
      </c>
      <c r="B230" s="80" t="s">
        <v>54</v>
      </c>
      <c r="C230" s="80" t="s">
        <v>55</v>
      </c>
      <c r="D230" s="80" t="s">
        <v>69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31</v>
      </c>
      <c r="B231" s="80" t="s">
        <v>54</v>
      </c>
      <c r="C231" s="80" t="s">
        <v>55</v>
      </c>
      <c r="D231" s="80" t="s">
        <v>69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32</v>
      </c>
      <c r="B232" s="80" t="s">
        <v>54</v>
      </c>
      <c r="C232" s="80" t="s">
        <v>55</v>
      </c>
      <c r="D232" s="80" t="s">
        <v>69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33</v>
      </c>
      <c r="B233" s="80" t="s">
        <v>54</v>
      </c>
      <c r="C233" s="80" t="s">
        <v>55</v>
      </c>
      <c r="D233" s="80" t="s">
        <v>69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34</v>
      </c>
      <c r="B234" s="80" t="s">
        <v>54</v>
      </c>
      <c r="C234" s="80" t="s">
        <v>55</v>
      </c>
      <c r="D234" s="80" t="s">
        <v>69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36</v>
      </c>
      <c r="B235" s="80" t="s">
        <v>54</v>
      </c>
      <c r="C235" s="80" t="s">
        <v>55</v>
      </c>
      <c r="D235" s="80" t="s">
        <v>69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21</v>
      </c>
      <c r="B236" s="80" t="s">
        <v>54</v>
      </c>
      <c r="C236" s="80" t="s">
        <v>55</v>
      </c>
      <c r="D236" s="80" t="s">
        <v>70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22</v>
      </c>
      <c r="B237" s="80" t="s">
        <v>54</v>
      </c>
      <c r="C237" s="80" t="s">
        <v>55</v>
      </c>
      <c r="D237" s="80" t="s">
        <v>70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23</v>
      </c>
      <c r="B238" s="80" t="s">
        <v>54</v>
      </c>
      <c r="C238" s="80" t="s">
        <v>55</v>
      </c>
      <c r="D238" s="80" t="s">
        <v>70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24</v>
      </c>
      <c r="B239" s="80" t="s">
        <v>54</v>
      </c>
      <c r="C239" s="80" t="s">
        <v>55</v>
      </c>
      <c r="D239" s="80" t="s">
        <v>70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25</v>
      </c>
      <c r="B240" s="80" t="s">
        <v>54</v>
      </c>
      <c r="C240" s="80" t="s">
        <v>55</v>
      </c>
      <c r="D240" s="80" t="s">
        <v>70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26</v>
      </c>
      <c r="B241" s="80" t="s">
        <v>54</v>
      </c>
      <c r="C241" s="80" t="s">
        <v>55</v>
      </c>
      <c r="D241" s="80" t="s">
        <v>70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29</v>
      </c>
      <c r="B242" s="80" t="s">
        <v>54</v>
      </c>
      <c r="C242" s="80" t="s">
        <v>55</v>
      </c>
      <c r="D242" s="80" t="s">
        <v>70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30</v>
      </c>
      <c r="B243" s="80" t="s">
        <v>54</v>
      </c>
      <c r="C243" s="80" t="s">
        <v>55</v>
      </c>
      <c r="D243" s="80" t="s">
        <v>70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31</v>
      </c>
      <c r="B244" s="80" t="s">
        <v>54</v>
      </c>
      <c r="C244" s="80" t="s">
        <v>55</v>
      </c>
      <c r="D244" s="80" t="s">
        <v>70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32</v>
      </c>
      <c r="B245" s="80" t="s">
        <v>54</v>
      </c>
      <c r="C245" s="80" t="s">
        <v>55</v>
      </c>
      <c r="D245" s="80" t="s">
        <v>70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33</v>
      </c>
      <c r="B246" s="80" t="s">
        <v>54</v>
      </c>
      <c r="C246" s="80" t="s">
        <v>55</v>
      </c>
      <c r="D246" s="80" t="s">
        <v>70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34</v>
      </c>
      <c r="B247" s="80" t="s">
        <v>54</v>
      </c>
      <c r="C247" s="80" t="s">
        <v>55</v>
      </c>
      <c r="D247" s="80" t="s">
        <v>70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36</v>
      </c>
      <c r="B248" s="80" t="s">
        <v>54</v>
      </c>
      <c r="C248" s="80" t="s">
        <v>55</v>
      </c>
      <c r="D248" s="80" t="s">
        <v>70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21</v>
      </c>
      <c r="B249" s="80" t="s">
        <v>54</v>
      </c>
      <c r="C249" s="80" t="s">
        <v>55</v>
      </c>
      <c r="D249" s="80" t="s">
        <v>71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22</v>
      </c>
      <c r="B250" s="80" t="s">
        <v>54</v>
      </c>
      <c r="C250" s="80" t="s">
        <v>55</v>
      </c>
      <c r="D250" s="80" t="s">
        <v>71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23</v>
      </c>
      <c r="B251" s="80" t="s">
        <v>54</v>
      </c>
      <c r="C251" s="80" t="s">
        <v>55</v>
      </c>
      <c r="D251" s="80" t="s">
        <v>71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24</v>
      </c>
      <c r="B252" s="80" t="s">
        <v>54</v>
      </c>
      <c r="C252" s="80" t="s">
        <v>55</v>
      </c>
      <c r="D252" s="80" t="s">
        <v>71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25</v>
      </c>
      <c r="B253" s="80" t="s">
        <v>54</v>
      </c>
      <c r="C253" s="80" t="s">
        <v>55</v>
      </c>
      <c r="D253" s="80" t="s">
        <v>71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26</v>
      </c>
      <c r="B254" s="80" t="s">
        <v>54</v>
      </c>
      <c r="C254" s="80" t="s">
        <v>55</v>
      </c>
      <c r="D254" s="80" t="s">
        <v>71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29</v>
      </c>
      <c r="B255" s="80" t="s">
        <v>54</v>
      </c>
      <c r="C255" s="80" t="s">
        <v>55</v>
      </c>
      <c r="D255" s="80" t="s">
        <v>71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30</v>
      </c>
      <c r="B256" s="80" t="s">
        <v>54</v>
      </c>
      <c r="C256" s="80" t="s">
        <v>55</v>
      </c>
      <c r="D256" s="80" t="s">
        <v>71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31</v>
      </c>
      <c r="B257" s="80" t="s">
        <v>54</v>
      </c>
      <c r="C257" s="80" t="s">
        <v>55</v>
      </c>
      <c r="D257" s="80" t="s">
        <v>71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32</v>
      </c>
      <c r="B258" s="80" t="s">
        <v>54</v>
      </c>
      <c r="C258" s="80" t="s">
        <v>55</v>
      </c>
      <c r="D258" s="80" t="s">
        <v>71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33</v>
      </c>
      <c r="B259" s="80" t="s">
        <v>54</v>
      </c>
      <c r="C259" s="80" t="s">
        <v>55</v>
      </c>
      <c r="D259" s="80" t="s">
        <v>71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34</v>
      </c>
      <c r="B260" s="80" t="s">
        <v>54</v>
      </c>
      <c r="C260" s="80" t="s">
        <v>55</v>
      </c>
      <c r="D260" s="80" t="s">
        <v>71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36</v>
      </c>
      <c r="B261" s="80" t="s">
        <v>54</v>
      </c>
      <c r="C261" s="80" t="s">
        <v>55</v>
      </c>
      <c r="D261" s="80" t="s">
        <v>71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21</v>
      </c>
      <c r="B262" s="80" t="s">
        <v>54</v>
      </c>
      <c r="C262" s="80" t="s">
        <v>55</v>
      </c>
      <c r="D262" s="80" t="s">
        <v>72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22</v>
      </c>
      <c r="B263" s="80" t="s">
        <v>54</v>
      </c>
      <c r="C263" s="80" t="s">
        <v>55</v>
      </c>
      <c r="D263" s="80" t="s">
        <v>72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23</v>
      </c>
      <c r="B264" s="80" t="s">
        <v>54</v>
      </c>
      <c r="C264" s="80" t="s">
        <v>55</v>
      </c>
      <c r="D264" s="80" t="s">
        <v>72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24</v>
      </c>
      <c r="B265" s="80" t="s">
        <v>54</v>
      </c>
      <c r="C265" s="80" t="s">
        <v>55</v>
      </c>
      <c r="D265" s="80" t="s">
        <v>72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25</v>
      </c>
      <c r="B266" s="80" t="s">
        <v>54</v>
      </c>
      <c r="C266" s="80" t="s">
        <v>55</v>
      </c>
      <c r="D266" s="80" t="s">
        <v>72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26</v>
      </c>
      <c r="B267" s="80" t="s">
        <v>54</v>
      </c>
      <c r="C267" s="80" t="s">
        <v>55</v>
      </c>
      <c r="D267" s="80" t="s">
        <v>72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29</v>
      </c>
      <c r="B268" s="80" t="s">
        <v>54</v>
      </c>
      <c r="C268" s="80" t="s">
        <v>55</v>
      </c>
      <c r="D268" s="80" t="s">
        <v>72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30</v>
      </c>
      <c r="B269" s="80" t="s">
        <v>54</v>
      </c>
      <c r="C269" s="80" t="s">
        <v>55</v>
      </c>
      <c r="D269" s="80" t="s">
        <v>72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31</v>
      </c>
      <c r="B270" s="80" t="s">
        <v>54</v>
      </c>
      <c r="C270" s="80" t="s">
        <v>55</v>
      </c>
      <c r="D270" s="80" t="s">
        <v>72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32</v>
      </c>
      <c r="B271" s="80" t="s">
        <v>54</v>
      </c>
      <c r="C271" s="80" t="s">
        <v>55</v>
      </c>
      <c r="D271" s="80" t="s">
        <v>72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33</v>
      </c>
      <c r="B272" s="80" t="s">
        <v>54</v>
      </c>
      <c r="C272" s="80" t="s">
        <v>55</v>
      </c>
      <c r="D272" s="80" t="s">
        <v>72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34</v>
      </c>
      <c r="B273" s="80" t="s">
        <v>54</v>
      </c>
      <c r="C273" s="80" t="s">
        <v>55</v>
      </c>
      <c r="D273" s="80" t="s">
        <v>72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36</v>
      </c>
      <c r="B274" s="80" t="s">
        <v>54</v>
      </c>
      <c r="C274" s="80" t="s">
        <v>55</v>
      </c>
      <c r="D274" s="80" t="s">
        <v>72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21</v>
      </c>
      <c r="B275" s="80" t="s">
        <v>54</v>
      </c>
      <c r="C275" s="80" t="s">
        <v>55</v>
      </c>
      <c r="D275" s="80" t="s">
        <v>73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22</v>
      </c>
      <c r="B276" s="80" t="s">
        <v>54</v>
      </c>
      <c r="C276" s="80" t="s">
        <v>55</v>
      </c>
      <c r="D276" s="80" t="s">
        <v>73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23</v>
      </c>
      <c r="B277" s="80" t="s">
        <v>54</v>
      </c>
      <c r="C277" s="80" t="s">
        <v>55</v>
      </c>
      <c r="D277" s="80" t="s">
        <v>73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24</v>
      </c>
      <c r="B278" s="80" t="s">
        <v>54</v>
      </c>
      <c r="C278" s="80" t="s">
        <v>55</v>
      </c>
      <c r="D278" s="80" t="s">
        <v>73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25</v>
      </c>
      <c r="B279" s="80" t="s">
        <v>54</v>
      </c>
      <c r="C279" s="80" t="s">
        <v>55</v>
      </c>
      <c r="D279" s="80" t="s">
        <v>73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26</v>
      </c>
      <c r="B280" s="80" t="s">
        <v>54</v>
      </c>
      <c r="C280" s="80" t="s">
        <v>55</v>
      </c>
      <c r="D280" s="80" t="s">
        <v>73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29</v>
      </c>
      <c r="B281" s="80" t="s">
        <v>54</v>
      </c>
      <c r="C281" s="80" t="s">
        <v>55</v>
      </c>
      <c r="D281" s="80" t="s">
        <v>73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30</v>
      </c>
      <c r="B282" s="80" t="s">
        <v>54</v>
      </c>
      <c r="C282" s="80" t="s">
        <v>55</v>
      </c>
      <c r="D282" s="80" t="s">
        <v>73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31</v>
      </c>
      <c r="B283" s="80" t="s">
        <v>54</v>
      </c>
      <c r="C283" s="80" t="s">
        <v>55</v>
      </c>
      <c r="D283" s="80" t="s">
        <v>73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32</v>
      </c>
      <c r="B284" s="80" t="s">
        <v>54</v>
      </c>
      <c r="C284" s="80" t="s">
        <v>55</v>
      </c>
      <c r="D284" s="80" t="s">
        <v>73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33</v>
      </c>
      <c r="B285" s="80" t="s">
        <v>54</v>
      </c>
      <c r="C285" s="80" t="s">
        <v>55</v>
      </c>
      <c r="D285" s="80" t="s">
        <v>73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34</v>
      </c>
      <c r="B286" s="80" t="s">
        <v>54</v>
      </c>
      <c r="C286" s="80" t="s">
        <v>55</v>
      </c>
      <c r="D286" s="80" t="s">
        <v>73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36</v>
      </c>
      <c r="B287" s="80" t="s">
        <v>54</v>
      </c>
      <c r="C287" s="80" t="s">
        <v>55</v>
      </c>
      <c r="D287" s="80" t="s">
        <v>73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21</v>
      </c>
      <c r="B288" s="80" t="s">
        <v>54</v>
      </c>
      <c r="C288" s="80" t="s">
        <v>55</v>
      </c>
      <c r="D288" s="80" t="s">
        <v>74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22</v>
      </c>
      <c r="B289" s="80" t="s">
        <v>54</v>
      </c>
      <c r="C289" s="80" t="s">
        <v>55</v>
      </c>
      <c r="D289" s="80" t="s">
        <v>74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23</v>
      </c>
      <c r="B290" s="80" t="s">
        <v>54</v>
      </c>
      <c r="C290" s="80" t="s">
        <v>55</v>
      </c>
      <c r="D290" s="80" t="s">
        <v>74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24</v>
      </c>
      <c r="B291" s="80" t="s">
        <v>54</v>
      </c>
      <c r="C291" s="80" t="s">
        <v>55</v>
      </c>
      <c r="D291" s="80" t="s">
        <v>74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25</v>
      </c>
      <c r="B292" s="80" t="s">
        <v>54</v>
      </c>
      <c r="C292" s="80" t="s">
        <v>55</v>
      </c>
      <c r="D292" s="80" t="s">
        <v>74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26</v>
      </c>
      <c r="B293" s="80" t="s">
        <v>54</v>
      </c>
      <c r="C293" s="80" t="s">
        <v>55</v>
      </c>
      <c r="D293" s="80" t="s">
        <v>74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29</v>
      </c>
      <c r="B294" s="80" t="s">
        <v>54</v>
      </c>
      <c r="C294" s="80" t="s">
        <v>55</v>
      </c>
      <c r="D294" s="80" t="s">
        <v>74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30</v>
      </c>
      <c r="B295" s="80" t="s">
        <v>54</v>
      </c>
      <c r="C295" s="80" t="s">
        <v>55</v>
      </c>
      <c r="D295" s="80" t="s">
        <v>74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31</v>
      </c>
      <c r="B296" s="80" t="s">
        <v>54</v>
      </c>
      <c r="C296" s="80" t="s">
        <v>55</v>
      </c>
      <c r="D296" s="80" t="s">
        <v>74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32</v>
      </c>
      <c r="B297" s="80" t="s">
        <v>54</v>
      </c>
      <c r="C297" s="80" t="s">
        <v>55</v>
      </c>
      <c r="D297" s="80" t="s">
        <v>74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33</v>
      </c>
      <c r="B298" s="80" t="s">
        <v>54</v>
      </c>
      <c r="C298" s="80" t="s">
        <v>55</v>
      </c>
      <c r="D298" s="80" t="s">
        <v>74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34</v>
      </c>
      <c r="B299" s="80" t="s">
        <v>54</v>
      </c>
      <c r="C299" s="80" t="s">
        <v>55</v>
      </c>
      <c r="D299" s="80" t="s">
        <v>74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36</v>
      </c>
      <c r="B300" s="80" t="s">
        <v>54</v>
      </c>
      <c r="C300" s="80" t="s">
        <v>55</v>
      </c>
      <c r="D300" s="80" t="s">
        <v>74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21</v>
      </c>
      <c r="B301" s="80" t="s">
        <v>54</v>
      </c>
      <c r="C301" s="80" t="s">
        <v>55</v>
      </c>
      <c r="D301" s="80" t="s">
        <v>75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22</v>
      </c>
      <c r="B302" s="80" t="s">
        <v>54</v>
      </c>
      <c r="C302" s="80" t="s">
        <v>55</v>
      </c>
      <c r="D302" s="80" t="s">
        <v>75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23</v>
      </c>
      <c r="B303" s="80" t="s">
        <v>54</v>
      </c>
      <c r="C303" s="80" t="s">
        <v>55</v>
      </c>
      <c r="D303" s="80" t="s">
        <v>75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24</v>
      </c>
      <c r="B304" s="80" t="s">
        <v>54</v>
      </c>
      <c r="C304" s="80" t="s">
        <v>55</v>
      </c>
      <c r="D304" s="80" t="s">
        <v>75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25</v>
      </c>
      <c r="B305" s="80" t="s">
        <v>54</v>
      </c>
      <c r="C305" s="80" t="s">
        <v>55</v>
      </c>
      <c r="D305" s="80" t="s">
        <v>75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26</v>
      </c>
      <c r="B306" s="80" t="s">
        <v>54</v>
      </c>
      <c r="C306" s="80" t="s">
        <v>55</v>
      </c>
      <c r="D306" s="80" t="s">
        <v>75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29</v>
      </c>
      <c r="B307" s="80" t="s">
        <v>54</v>
      </c>
      <c r="C307" s="80" t="s">
        <v>55</v>
      </c>
      <c r="D307" s="80" t="s">
        <v>75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30</v>
      </c>
      <c r="B308" s="80" t="s">
        <v>54</v>
      </c>
      <c r="C308" s="80" t="s">
        <v>55</v>
      </c>
      <c r="D308" s="80" t="s">
        <v>75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31</v>
      </c>
      <c r="B309" s="80" t="s">
        <v>54</v>
      </c>
      <c r="C309" s="80" t="s">
        <v>55</v>
      </c>
      <c r="D309" s="80" t="s">
        <v>75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32</v>
      </c>
      <c r="B310" s="80" t="s">
        <v>54</v>
      </c>
      <c r="C310" s="80" t="s">
        <v>55</v>
      </c>
      <c r="D310" s="80" t="s">
        <v>75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33</v>
      </c>
      <c r="B311" s="80" t="s">
        <v>54</v>
      </c>
      <c r="C311" s="80" t="s">
        <v>55</v>
      </c>
      <c r="D311" s="80" t="s">
        <v>75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34</v>
      </c>
      <c r="B312" s="80" t="s">
        <v>54</v>
      </c>
      <c r="C312" s="80" t="s">
        <v>55</v>
      </c>
      <c r="D312" s="80" t="s">
        <v>75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36</v>
      </c>
      <c r="B313" s="80" t="s">
        <v>54</v>
      </c>
      <c r="C313" s="80" t="s">
        <v>55</v>
      </c>
      <c r="D313" s="80" t="s">
        <v>75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28</v>
      </c>
      <c r="B314" s="86" t="s">
        <v>61</v>
      </c>
      <c r="C314" s="86" t="s">
        <v>47</v>
      </c>
      <c r="D314" s="86" t="s">
        <v>64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28</v>
      </c>
      <c r="B315" s="86" t="s">
        <v>61</v>
      </c>
      <c r="C315" s="86" t="s">
        <v>55</v>
      </c>
      <c r="D315" s="86" t="s">
        <v>64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31</v>
      </c>
      <c r="B316" s="86" t="s">
        <v>61</v>
      </c>
      <c r="C316" s="86" t="s">
        <v>47</v>
      </c>
      <c r="D316" s="86" t="s">
        <v>64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31</v>
      </c>
      <c r="B317" s="86" t="s">
        <v>61</v>
      </c>
      <c r="C317" s="86" t="s">
        <v>55</v>
      </c>
      <c r="D317" s="86" t="s">
        <v>64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33</v>
      </c>
      <c r="B318" s="86" t="s">
        <v>61</v>
      </c>
      <c r="C318" s="86" t="s">
        <v>47</v>
      </c>
      <c r="D318" s="86" t="s">
        <v>64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33</v>
      </c>
      <c r="B319" s="86" t="s">
        <v>61</v>
      </c>
      <c r="C319" s="86" t="s">
        <v>55</v>
      </c>
      <c r="D319" s="86" t="s">
        <v>64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35</v>
      </c>
      <c r="B320" s="86" t="s">
        <v>61</v>
      </c>
      <c r="C320" s="86" t="s">
        <v>47</v>
      </c>
      <c r="D320" s="86" t="s">
        <v>64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35</v>
      </c>
      <c r="B321" s="86" t="s">
        <v>61</v>
      </c>
      <c r="C321" s="86" t="s">
        <v>55</v>
      </c>
      <c r="D321" s="86" t="s">
        <v>64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23</v>
      </c>
      <c r="B322" s="86" t="s">
        <v>61</v>
      </c>
      <c r="C322" s="86" t="s">
        <v>47</v>
      </c>
      <c r="D322" s="86" t="s">
        <v>65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24</v>
      </c>
      <c r="B323" s="86" t="s">
        <v>61</v>
      </c>
      <c r="C323" s="86" t="s">
        <v>47</v>
      </c>
      <c r="D323" s="86" t="s">
        <v>65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25</v>
      </c>
      <c r="B324" s="86" t="s">
        <v>61</v>
      </c>
      <c r="C324" s="86" t="s">
        <v>47</v>
      </c>
      <c r="D324" s="86" t="s">
        <v>65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27</v>
      </c>
      <c r="B325" s="86" t="s">
        <v>61</v>
      </c>
      <c r="C325" s="86" t="s">
        <v>47</v>
      </c>
      <c r="D325" s="86" t="s">
        <v>65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27</v>
      </c>
      <c r="B326" s="86" t="s">
        <v>61</v>
      </c>
      <c r="C326" s="86" t="s">
        <v>55</v>
      </c>
      <c r="D326" s="86" t="s">
        <v>65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28</v>
      </c>
      <c r="B327" s="86" t="s">
        <v>61</v>
      </c>
      <c r="C327" s="86" t="s">
        <v>47</v>
      </c>
      <c r="D327" s="86" t="s">
        <v>65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28</v>
      </c>
      <c r="B328" s="86" t="s">
        <v>61</v>
      </c>
      <c r="C328" s="86" t="s">
        <v>55</v>
      </c>
      <c r="D328" s="86" t="s">
        <v>65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31</v>
      </c>
      <c r="B329" s="86" t="s">
        <v>61</v>
      </c>
      <c r="C329" s="86" t="s">
        <v>47</v>
      </c>
      <c r="D329" s="86" t="s">
        <v>65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31</v>
      </c>
      <c r="B330" s="86" t="s">
        <v>61</v>
      </c>
      <c r="C330" s="86" t="s">
        <v>55</v>
      </c>
      <c r="D330" s="86" t="s">
        <v>65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33</v>
      </c>
      <c r="B331" s="86" t="s">
        <v>61</v>
      </c>
      <c r="C331" s="86" t="s">
        <v>47</v>
      </c>
      <c r="D331" s="86" t="s">
        <v>65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33</v>
      </c>
      <c r="B332" s="86" t="s">
        <v>61</v>
      </c>
      <c r="C332" s="86" t="s">
        <v>55</v>
      </c>
      <c r="D332" s="86" t="s">
        <v>65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35</v>
      </c>
      <c r="B333" s="86" t="s">
        <v>61</v>
      </c>
      <c r="C333" s="86" t="s">
        <v>47</v>
      </c>
      <c r="D333" s="86" t="s">
        <v>65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35</v>
      </c>
      <c r="B334" s="86" t="s">
        <v>61</v>
      </c>
      <c r="C334" s="86" t="s">
        <v>55</v>
      </c>
      <c r="D334" s="86" t="s">
        <v>65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23</v>
      </c>
      <c r="B335" s="86" t="s">
        <v>61</v>
      </c>
      <c r="C335" s="86" t="s">
        <v>47</v>
      </c>
      <c r="D335" s="86" t="s">
        <v>66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24</v>
      </c>
      <c r="B336" s="86" t="s">
        <v>61</v>
      </c>
      <c r="C336" s="86" t="s">
        <v>47</v>
      </c>
      <c r="D336" s="86" t="s">
        <v>66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25</v>
      </c>
      <c r="B337" s="86" t="s">
        <v>61</v>
      </c>
      <c r="C337" s="86" t="s">
        <v>47</v>
      </c>
      <c r="D337" s="86" t="s">
        <v>66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27</v>
      </c>
      <c r="B338" s="86" t="s">
        <v>61</v>
      </c>
      <c r="C338" s="86" t="s">
        <v>47</v>
      </c>
      <c r="D338" s="86" t="s">
        <v>66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27</v>
      </c>
      <c r="B339" s="86" t="s">
        <v>61</v>
      </c>
      <c r="C339" s="86" t="s">
        <v>55</v>
      </c>
      <c r="D339" s="86" t="s">
        <v>66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28</v>
      </c>
      <c r="B340" s="86" t="s">
        <v>61</v>
      </c>
      <c r="C340" s="86" t="s">
        <v>47</v>
      </c>
      <c r="D340" s="86" t="s">
        <v>66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28</v>
      </c>
      <c r="B341" s="86" t="s">
        <v>61</v>
      </c>
      <c r="C341" s="86" t="s">
        <v>55</v>
      </c>
      <c r="D341" s="86" t="s">
        <v>66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31</v>
      </c>
      <c r="B342" s="86" t="s">
        <v>61</v>
      </c>
      <c r="C342" s="86" t="s">
        <v>47</v>
      </c>
      <c r="D342" s="86" t="s">
        <v>66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31</v>
      </c>
      <c r="B343" s="86" t="s">
        <v>61</v>
      </c>
      <c r="C343" s="86" t="s">
        <v>55</v>
      </c>
      <c r="D343" s="86" t="s">
        <v>66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33</v>
      </c>
      <c r="B344" s="86" t="s">
        <v>61</v>
      </c>
      <c r="C344" s="86" t="s">
        <v>47</v>
      </c>
      <c r="D344" s="86" t="s">
        <v>66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33</v>
      </c>
      <c r="B345" s="86" t="s">
        <v>61</v>
      </c>
      <c r="C345" s="86" t="s">
        <v>55</v>
      </c>
      <c r="D345" s="86" t="s">
        <v>66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35</v>
      </c>
      <c r="B346" s="86" t="s">
        <v>61</v>
      </c>
      <c r="C346" s="86" t="s">
        <v>47</v>
      </c>
      <c r="D346" s="86" t="s">
        <v>66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35</v>
      </c>
      <c r="B347" s="86" t="s">
        <v>61</v>
      </c>
      <c r="C347" s="86" t="s">
        <v>55</v>
      </c>
      <c r="D347" s="86" t="s">
        <v>66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23</v>
      </c>
      <c r="B348" s="86" t="s">
        <v>61</v>
      </c>
      <c r="C348" s="86" t="s">
        <v>47</v>
      </c>
      <c r="D348" s="86" t="s">
        <v>67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24</v>
      </c>
      <c r="B349" s="86" t="s">
        <v>61</v>
      </c>
      <c r="C349" s="86" t="s">
        <v>47</v>
      </c>
      <c r="D349" s="86" t="s">
        <v>67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25</v>
      </c>
      <c r="B350" s="86" t="s">
        <v>61</v>
      </c>
      <c r="C350" s="86" t="s">
        <v>47</v>
      </c>
      <c r="D350" s="86" t="s">
        <v>67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27</v>
      </c>
      <c r="B351" s="86" t="s">
        <v>61</v>
      </c>
      <c r="C351" s="86" t="s">
        <v>47</v>
      </c>
      <c r="D351" s="86" t="s">
        <v>67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27</v>
      </c>
      <c r="B352" s="86" t="s">
        <v>61</v>
      </c>
      <c r="C352" s="86" t="s">
        <v>55</v>
      </c>
      <c r="D352" s="86" t="s">
        <v>67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28</v>
      </c>
      <c r="B353" s="86" t="s">
        <v>61</v>
      </c>
      <c r="C353" s="86" t="s">
        <v>47</v>
      </c>
      <c r="D353" s="86" t="s">
        <v>67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28</v>
      </c>
      <c r="B354" s="86" t="s">
        <v>61</v>
      </c>
      <c r="C354" s="86" t="s">
        <v>55</v>
      </c>
      <c r="D354" s="86" t="s">
        <v>67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31</v>
      </c>
      <c r="B355" s="86" t="s">
        <v>61</v>
      </c>
      <c r="C355" s="86" t="s">
        <v>47</v>
      </c>
      <c r="D355" s="86" t="s">
        <v>67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31</v>
      </c>
      <c r="B356" s="86" t="s">
        <v>61</v>
      </c>
      <c r="C356" s="86" t="s">
        <v>55</v>
      </c>
      <c r="D356" s="86" t="s">
        <v>67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33</v>
      </c>
      <c r="B357" s="86" t="s">
        <v>61</v>
      </c>
      <c r="C357" s="86" t="s">
        <v>47</v>
      </c>
      <c r="D357" s="86" t="s">
        <v>67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33</v>
      </c>
      <c r="B358" s="86" t="s">
        <v>61</v>
      </c>
      <c r="C358" s="86" t="s">
        <v>55</v>
      </c>
      <c r="D358" s="86" t="s">
        <v>67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35</v>
      </c>
      <c r="B359" s="86" t="s">
        <v>61</v>
      </c>
      <c r="C359" s="86" t="s">
        <v>47</v>
      </c>
      <c r="D359" s="86" t="s">
        <v>67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35</v>
      </c>
      <c r="B360" s="86" t="s">
        <v>61</v>
      </c>
      <c r="C360" s="86" t="s">
        <v>55</v>
      </c>
      <c r="D360" s="86" t="s">
        <v>67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23</v>
      </c>
      <c r="B361" s="86" t="s">
        <v>61</v>
      </c>
      <c r="C361" s="86" t="s">
        <v>47</v>
      </c>
      <c r="D361" s="86" t="s">
        <v>68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24</v>
      </c>
      <c r="B362" s="86" t="s">
        <v>61</v>
      </c>
      <c r="C362" s="86" t="s">
        <v>47</v>
      </c>
      <c r="D362" s="86" t="s">
        <v>68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25</v>
      </c>
      <c r="B363" s="86" t="s">
        <v>61</v>
      </c>
      <c r="C363" s="86" t="s">
        <v>47</v>
      </c>
      <c r="D363" s="86" t="s">
        <v>68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27</v>
      </c>
      <c r="B364" s="86" t="s">
        <v>61</v>
      </c>
      <c r="C364" s="86" t="s">
        <v>47</v>
      </c>
      <c r="D364" s="86" t="s">
        <v>68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27</v>
      </c>
      <c r="B365" s="86" t="s">
        <v>61</v>
      </c>
      <c r="C365" s="86" t="s">
        <v>55</v>
      </c>
      <c r="D365" s="86" t="s">
        <v>68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28</v>
      </c>
      <c r="B366" s="86" t="s">
        <v>61</v>
      </c>
      <c r="C366" s="86" t="s">
        <v>47</v>
      </c>
      <c r="D366" s="86" t="s">
        <v>68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28</v>
      </c>
      <c r="B367" s="86" t="s">
        <v>61</v>
      </c>
      <c r="C367" s="86" t="s">
        <v>55</v>
      </c>
      <c r="D367" s="86" t="s">
        <v>68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31</v>
      </c>
      <c r="B368" s="86" t="s">
        <v>61</v>
      </c>
      <c r="C368" s="86" t="s">
        <v>47</v>
      </c>
      <c r="D368" s="86" t="s">
        <v>68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31</v>
      </c>
      <c r="B369" s="86" t="s">
        <v>61</v>
      </c>
      <c r="C369" s="86" t="s">
        <v>55</v>
      </c>
      <c r="D369" s="86" t="s">
        <v>68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33</v>
      </c>
      <c r="B370" s="86" t="s">
        <v>61</v>
      </c>
      <c r="C370" s="86" t="s">
        <v>47</v>
      </c>
      <c r="D370" s="86" t="s">
        <v>68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33</v>
      </c>
      <c r="B371" s="86" t="s">
        <v>61</v>
      </c>
      <c r="C371" s="86" t="s">
        <v>55</v>
      </c>
      <c r="D371" s="86" t="s">
        <v>68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35</v>
      </c>
      <c r="B372" s="86" t="s">
        <v>61</v>
      </c>
      <c r="C372" s="86" t="s">
        <v>47</v>
      </c>
      <c r="D372" s="86" t="s">
        <v>68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35</v>
      </c>
      <c r="B373" s="86" t="s">
        <v>61</v>
      </c>
      <c r="C373" s="86" t="s">
        <v>55</v>
      </c>
      <c r="D373" s="86" t="s">
        <v>68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23</v>
      </c>
      <c r="B374" s="86" t="s">
        <v>61</v>
      </c>
      <c r="C374" s="86" t="s">
        <v>47</v>
      </c>
      <c r="D374" s="86" t="s">
        <v>69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24</v>
      </c>
      <c r="B375" s="86" t="s">
        <v>61</v>
      </c>
      <c r="C375" s="86" t="s">
        <v>47</v>
      </c>
      <c r="D375" s="86" t="s">
        <v>69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25</v>
      </c>
      <c r="B376" s="86" t="s">
        <v>61</v>
      </c>
      <c r="C376" s="86" t="s">
        <v>47</v>
      </c>
      <c r="D376" s="86" t="s">
        <v>69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27</v>
      </c>
      <c r="B377" s="86" t="s">
        <v>61</v>
      </c>
      <c r="C377" s="86" t="s">
        <v>47</v>
      </c>
      <c r="D377" s="86" t="s">
        <v>69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27</v>
      </c>
      <c r="B378" s="86" t="s">
        <v>61</v>
      </c>
      <c r="C378" s="86" t="s">
        <v>55</v>
      </c>
      <c r="D378" s="86" t="s">
        <v>69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28</v>
      </c>
      <c r="B379" s="86" t="s">
        <v>61</v>
      </c>
      <c r="C379" s="86" t="s">
        <v>47</v>
      </c>
      <c r="D379" s="86" t="s">
        <v>69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28</v>
      </c>
      <c r="B380" s="86" t="s">
        <v>61</v>
      </c>
      <c r="C380" s="86" t="s">
        <v>55</v>
      </c>
      <c r="D380" s="86" t="s">
        <v>69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35</v>
      </c>
      <c r="B381" s="86" t="s">
        <v>61</v>
      </c>
      <c r="C381" s="86" t="s">
        <v>47</v>
      </c>
      <c r="D381" s="86" t="s">
        <v>69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35</v>
      </c>
      <c r="B382" s="86" t="s">
        <v>61</v>
      </c>
      <c r="C382" s="86" t="s">
        <v>55</v>
      </c>
      <c r="D382" s="86" t="s">
        <v>69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33</v>
      </c>
      <c r="B383" s="86" t="s">
        <v>61</v>
      </c>
      <c r="C383" s="86" t="s">
        <v>47</v>
      </c>
      <c r="D383" s="86" t="s">
        <v>69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33</v>
      </c>
      <c r="B384" s="86" t="s">
        <v>61</v>
      </c>
      <c r="C384" s="86" t="s">
        <v>55</v>
      </c>
      <c r="D384" s="86" t="s">
        <v>69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31</v>
      </c>
      <c r="B385" s="86" t="s">
        <v>61</v>
      </c>
      <c r="C385" s="86" t="s">
        <v>47</v>
      </c>
      <c r="D385" s="86" t="s">
        <v>69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31</v>
      </c>
      <c r="B386" s="86" t="s">
        <v>61</v>
      </c>
      <c r="C386" s="86" t="s">
        <v>55</v>
      </c>
      <c r="D386" s="86" t="s">
        <v>69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23</v>
      </c>
      <c r="B387" s="86" t="s">
        <v>61</v>
      </c>
      <c r="C387" s="86" t="s">
        <v>47</v>
      </c>
      <c r="D387" s="86" t="s">
        <v>70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24</v>
      </c>
      <c r="B388" s="86" t="s">
        <v>61</v>
      </c>
      <c r="C388" s="86" t="s">
        <v>47</v>
      </c>
      <c r="D388" s="86" t="s">
        <v>70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25</v>
      </c>
      <c r="B389" s="86" t="s">
        <v>61</v>
      </c>
      <c r="C389" s="86" t="s">
        <v>47</v>
      </c>
      <c r="D389" s="86" t="s">
        <v>70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27</v>
      </c>
      <c r="B390" s="86" t="s">
        <v>61</v>
      </c>
      <c r="C390" s="86" t="s">
        <v>47</v>
      </c>
      <c r="D390" s="86" t="s">
        <v>70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27</v>
      </c>
      <c r="B391" s="86" t="s">
        <v>61</v>
      </c>
      <c r="C391" s="86" t="s">
        <v>55</v>
      </c>
      <c r="D391" s="86" t="s">
        <v>70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28</v>
      </c>
      <c r="B392" s="86" t="s">
        <v>61</v>
      </c>
      <c r="C392" s="86" t="s">
        <v>47</v>
      </c>
      <c r="D392" s="86" t="s">
        <v>70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28</v>
      </c>
      <c r="B393" s="86" t="s">
        <v>61</v>
      </c>
      <c r="C393" s="86" t="s">
        <v>55</v>
      </c>
      <c r="D393" s="86" t="s">
        <v>70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35</v>
      </c>
      <c r="B394" s="86" t="s">
        <v>61</v>
      </c>
      <c r="C394" s="86" t="s">
        <v>47</v>
      </c>
      <c r="D394" s="86" t="s">
        <v>70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35</v>
      </c>
      <c r="B395" s="86" t="s">
        <v>61</v>
      </c>
      <c r="C395" s="86" t="s">
        <v>55</v>
      </c>
      <c r="D395" s="86" t="s">
        <v>70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33</v>
      </c>
      <c r="B396" s="86" t="s">
        <v>61</v>
      </c>
      <c r="C396" s="86" t="s">
        <v>47</v>
      </c>
      <c r="D396" s="86" t="s">
        <v>70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33</v>
      </c>
      <c r="B397" s="86" t="s">
        <v>61</v>
      </c>
      <c r="C397" s="86" t="s">
        <v>55</v>
      </c>
      <c r="D397" s="86" t="s">
        <v>70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31</v>
      </c>
      <c r="B398" s="86" t="s">
        <v>61</v>
      </c>
      <c r="C398" s="86" t="s">
        <v>47</v>
      </c>
      <c r="D398" s="86" t="s">
        <v>70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31</v>
      </c>
      <c r="B399" s="86" t="s">
        <v>61</v>
      </c>
      <c r="C399" s="86" t="s">
        <v>55</v>
      </c>
      <c r="D399" s="86" t="s">
        <v>70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23</v>
      </c>
      <c r="B400" s="86" t="s">
        <v>61</v>
      </c>
      <c r="C400" s="86" t="s">
        <v>47</v>
      </c>
      <c r="D400" s="86" t="s">
        <v>71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24</v>
      </c>
      <c r="B401" s="86" t="s">
        <v>61</v>
      </c>
      <c r="C401" s="86" t="s">
        <v>47</v>
      </c>
      <c r="D401" s="86" t="s">
        <v>71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25</v>
      </c>
      <c r="B402" s="86" t="s">
        <v>61</v>
      </c>
      <c r="C402" s="86" t="s">
        <v>47</v>
      </c>
      <c r="D402" s="86" t="s">
        <v>71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27</v>
      </c>
      <c r="B403" s="86" t="s">
        <v>61</v>
      </c>
      <c r="C403" s="86" t="s">
        <v>47</v>
      </c>
      <c r="D403" s="86" t="s">
        <v>71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27</v>
      </c>
      <c r="B404" s="86" t="s">
        <v>61</v>
      </c>
      <c r="C404" s="86" t="s">
        <v>55</v>
      </c>
      <c r="D404" s="86" t="s">
        <v>71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28</v>
      </c>
      <c r="B405" s="86" t="s">
        <v>61</v>
      </c>
      <c r="C405" s="86" t="s">
        <v>47</v>
      </c>
      <c r="D405" s="86" t="s">
        <v>71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28</v>
      </c>
      <c r="B406" s="86" t="s">
        <v>61</v>
      </c>
      <c r="C406" s="86" t="s">
        <v>55</v>
      </c>
      <c r="D406" s="86" t="s">
        <v>71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35</v>
      </c>
      <c r="B407" s="86" t="s">
        <v>61</v>
      </c>
      <c r="C407" s="86" t="s">
        <v>47</v>
      </c>
      <c r="D407" s="86" t="s">
        <v>71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35</v>
      </c>
      <c r="B408" s="86" t="s">
        <v>61</v>
      </c>
      <c r="C408" s="86" t="s">
        <v>55</v>
      </c>
      <c r="D408" s="86" t="s">
        <v>71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33</v>
      </c>
      <c r="B409" s="86" t="s">
        <v>61</v>
      </c>
      <c r="C409" s="86" t="s">
        <v>47</v>
      </c>
      <c r="D409" s="86" t="s">
        <v>71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33</v>
      </c>
      <c r="B410" s="86" t="s">
        <v>61</v>
      </c>
      <c r="C410" s="86" t="s">
        <v>55</v>
      </c>
      <c r="D410" s="86" t="s">
        <v>71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31</v>
      </c>
      <c r="B411" s="86" t="s">
        <v>61</v>
      </c>
      <c r="C411" s="86" t="s">
        <v>47</v>
      </c>
      <c r="D411" s="86" t="s">
        <v>71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31</v>
      </c>
      <c r="B412" s="86" t="s">
        <v>61</v>
      </c>
      <c r="C412" s="86" t="s">
        <v>55</v>
      </c>
      <c r="D412" s="86" t="s">
        <v>71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23</v>
      </c>
      <c r="B413" s="86" t="s">
        <v>61</v>
      </c>
      <c r="C413" s="86" t="s">
        <v>47</v>
      </c>
      <c r="D413" s="86" t="s">
        <v>72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24</v>
      </c>
      <c r="B414" s="86" t="s">
        <v>61</v>
      </c>
      <c r="C414" s="86" t="s">
        <v>47</v>
      </c>
      <c r="D414" s="86" t="s">
        <v>72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25</v>
      </c>
      <c r="B415" s="86" t="s">
        <v>61</v>
      </c>
      <c r="C415" s="86" t="s">
        <v>47</v>
      </c>
      <c r="D415" s="86" t="s">
        <v>72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27</v>
      </c>
      <c r="B416" s="86" t="s">
        <v>61</v>
      </c>
      <c r="C416" s="86" t="s">
        <v>47</v>
      </c>
      <c r="D416" s="86" t="s">
        <v>72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27</v>
      </c>
      <c r="B417" s="86" t="s">
        <v>61</v>
      </c>
      <c r="C417" s="86" t="s">
        <v>55</v>
      </c>
      <c r="D417" s="86" t="s">
        <v>72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28</v>
      </c>
      <c r="B418" s="86" t="s">
        <v>61</v>
      </c>
      <c r="C418" s="86" t="s">
        <v>47</v>
      </c>
      <c r="D418" s="86" t="s">
        <v>72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28</v>
      </c>
      <c r="B419" s="86" t="s">
        <v>61</v>
      </c>
      <c r="C419" s="86" t="s">
        <v>55</v>
      </c>
      <c r="D419" s="86" t="s">
        <v>72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35</v>
      </c>
      <c r="B420" s="86" t="s">
        <v>61</v>
      </c>
      <c r="C420" s="86" t="s">
        <v>47</v>
      </c>
      <c r="D420" s="86" t="s">
        <v>72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35</v>
      </c>
      <c r="B421" s="86" t="s">
        <v>61</v>
      </c>
      <c r="C421" s="86" t="s">
        <v>55</v>
      </c>
      <c r="D421" s="86" t="s">
        <v>72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33</v>
      </c>
      <c r="B422" s="86" t="s">
        <v>61</v>
      </c>
      <c r="C422" s="86" t="s">
        <v>47</v>
      </c>
      <c r="D422" s="86" t="s">
        <v>72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33</v>
      </c>
      <c r="B423" s="86" t="s">
        <v>61</v>
      </c>
      <c r="C423" s="86" t="s">
        <v>55</v>
      </c>
      <c r="D423" s="86" t="s">
        <v>72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31</v>
      </c>
      <c r="B424" s="86" t="s">
        <v>61</v>
      </c>
      <c r="C424" s="86" t="s">
        <v>47</v>
      </c>
      <c r="D424" s="86" t="s">
        <v>72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31</v>
      </c>
      <c r="B425" s="86" t="s">
        <v>61</v>
      </c>
      <c r="C425" s="86" t="s">
        <v>55</v>
      </c>
      <c r="D425" s="86" t="s">
        <v>72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23</v>
      </c>
      <c r="B426" s="86" t="s">
        <v>61</v>
      </c>
      <c r="C426" s="86" t="s">
        <v>47</v>
      </c>
      <c r="D426" s="86" t="s">
        <v>73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24</v>
      </c>
      <c r="B427" s="86" t="s">
        <v>61</v>
      </c>
      <c r="C427" s="86" t="s">
        <v>47</v>
      </c>
      <c r="D427" s="86" t="s">
        <v>73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25</v>
      </c>
      <c r="B428" s="86" t="s">
        <v>61</v>
      </c>
      <c r="C428" s="86" t="s">
        <v>47</v>
      </c>
      <c r="D428" s="86" t="s">
        <v>73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27</v>
      </c>
      <c r="B429" s="86" t="s">
        <v>61</v>
      </c>
      <c r="C429" s="86" t="s">
        <v>47</v>
      </c>
      <c r="D429" s="86" t="s">
        <v>73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27</v>
      </c>
      <c r="B430" s="86" t="s">
        <v>61</v>
      </c>
      <c r="C430" s="86" t="s">
        <v>55</v>
      </c>
      <c r="D430" s="86" t="s">
        <v>73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28</v>
      </c>
      <c r="B431" s="86" t="s">
        <v>61</v>
      </c>
      <c r="C431" s="86" t="s">
        <v>47</v>
      </c>
      <c r="D431" s="86" t="s">
        <v>73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28</v>
      </c>
      <c r="B432" s="86" t="s">
        <v>61</v>
      </c>
      <c r="C432" s="86" t="s">
        <v>55</v>
      </c>
      <c r="D432" s="86" t="s">
        <v>73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35</v>
      </c>
      <c r="B433" s="86" t="s">
        <v>61</v>
      </c>
      <c r="C433" s="86" t="s">
        <v>47</v>
      </c>
      <c r="D433" s="86" t="s">
        <v>73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35</v>
      </c>
      <c r="B434" s="86" t="s">
        <v>61</v>
      </c>
      <c r="C434" s="86" t="s">
        <v>55</v>
      </c>
      <c r="D434" s="86" t="s">
        <v>73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33</v>
      </c>
      <c r="B435" s="86" t="s">
        <v>61</v>
      </c>
      <c r="C435" s="86" t="s">
        <v>47</v>
      </c>
      <c r="D435" s="86" t="s">
        <v>73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33</v>
      </c>
      <c r="B436" s="86" t="s">
        <v>61</v>
      </c>
      <c r="C436" s="86" t="s">
        <v>55</v>
      </c>
      <c r="D436" s="86" t="s">
        <v>73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31</v>
      </c>
      <c r="B437" s="86" t="s">
        <v>61</v>
      </c>
      <c r="C437" s="86" t="s">
        <v>47</v>
      </c>
      <c r="D437" s="86" t="s">
        <v>73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31</v>
      </c>
      <c r="B438" s="86" t="s">
        <v>61</v>
      </c>
      <c r="C438" s="86" t="s">
        <v>55</v>
      </c>
      <c r="D438" s="86" t="s">
        <v>73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23</v>
      </c>
      <c r="B439" s="86" t="s">
        <v>61</v>
      </c>
      <c r="C439" s="86" t="s">
        <v>47</v>
      </c>
      <c r="D439" s="86" t="s">
        <v>74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24</v>
      </c>
      <c r="B440" s="86" t="s">
        <v>61</v>
      </c>
      <c r="C440" s="86" t="s">
        <v>47</v>
      </c>
      <c r="D440" s="86" t="s">
        <v>74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25</v>
      </c>
      <c r="B441" s="86" t="s">
        <v>61</v>
      </c>
      <c r="C441" s="86" t="s">
        <v>47</v>
      </c>
      <c r="D441" s="86" t="s">
        <v>74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27</v>
      </c>
      <c r="B442" s="86" t="s">
        <v>61</v>
      </c>
      <c r="C442" s="86" t="s">
        <v>47</v>
      </c>
      <c r="D442" s="86" t="s">
        <v>74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27</v>
      </c>
      <c r="B443" s="86" t="s">
        <v>61</v>
      </c>
      <c r="C443" s="86" t="s">
        <v>55</v>
      </c>
      <c r="D443" s="86" t="s">
        <v>74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28</v>
      </c>
      <c r="B444" s="86" t="s">
        <v>61</v>
      </c>
      <c r="C444" s="86" t="s">
        <v>47</v>
      </c>
      <c r="D444" s="86" t="s">
        <v>74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28</v>
      </c>
      <c r="B445" s="86" t="s">
        <v>61</v>
      </c>
      <c r="C445" s="86" t="s">
        <v>55</v>
      </c>
      <c r="D445" s="86" t="s">
        <v>74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35</v>
      </c>
      <c r="B446" s="86" t="s">
        <v>61</v>
      </c>
      <c r="C446" s="86" t="s">
        <v>47</v>
      </c>
      <c r="D446" s="86" t="s">
        <v>74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35</v>
      </c>
      <c r="B447" s="86" t="s">
        <v>61</v>
      </c>
      <c r="C447" s="86" t="s">
        <v>55</v>
      </c>
      <c r="D447" s="86" t="s">
        <v>74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33</v>
      </c>
      <c r="B448" s="86" t="s">
        <v>61</v>
      </c>
      <c r="C448" s="86" t="s">
        <v>47</v>
      </c>
      <c r="D448" s="86" t="s">
        <v>74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33</v>
      </c>
      <c r="B449" s="86" t="s">
        <v>61</v>
      </c>
      <c r="C449" s="86" t="s">
        <v>55</v>
      </c>
      <c r="D449" s="86" t="s">
        <v>74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31</v>
      </c>
      <c r="B450" s="86" t="s">
        <v>61</v>
      </c>
      <c r="C450" s="86" t="s">
        <v>47</v>
      </c>
      <c r="D450" s="86" t="s">
        <v>74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31</v>
      </c>
      <c r="B451" s="86" t="s">
        <v>61</v>
      </c>
      <c r="C451" s="86" t="s">
        <v>55</v>
      </c>
      <c r="D451" s="86" t="s">
        <v>74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23</v>
      </c>
      <c r="B452" s="86" t="s">
        <v>61</v>
      </c>
      <c r="C452" s="86" t="s">
        <v>47</v>
      </c>
      <c r="D452" s="86" t="s">
        <v>75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24</v>
      </c>
      <c r="B453" s="86" t="s">
        <v>61</v>
      </c>
      <c r="C453" s="86" t="s">
        <v>47</v>
      </c>
      <c r="D453" s="86" t="s">
        <v>75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25</v>
      </c>
      <c r="B454" s="86" t="s">
        <v>61</v>
      </c>
      <c r="C454" s="86" t="s">
        <v>47</v>
      </c>
      <c r="D454" s="86" t="s">
        <v>75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27</v>
      </c>
      <c r="B455" s="86" t="s">
        <v>61</v>
      </c>
      <c r="C455" s="86" t="s">
        <v>47</v>
      </c>
      <c r="D455" s="86" t="s">
        <v>75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27</v>
      </c>
      <c r="B456" s="86" t="s">
        <v>61</v>
      </c>
      <c r="C456" s="86" t="s">
        <v>55</v>
      </c>
      <c r="D456" s="86" t="s">
        <v>75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28</v>
      </c>
      <c r="B457" s="86" t="s">
        <v>61</v>
      </c>
      <c r="C457" s="86" t="s">
        <v>47</v>
      </c>
      <c r="D457" s="86" t="s">
        <v>75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28</v>
      </c>
      <c r="B458" s="86" t="s">
        <v>61</v>
      </c>
      <c r="C458" s="86" t="s">
        <v>55</v>
      </c>
      <c r="D458" s="86" t="s">
        <v>75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35</v>
      </c>
      <c r="B459" s="86" t="s">
        <v>61</v>
      </c>
      <c r="C459" s="86" t="s">
        <v>47</v>
      </c>
      <c r="D459" s="86" t="s">
        <v>75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35</v>
      </c>
      <c r="B460" s="86" t="s">
        <v>61</v>
      </c>
      <c r="C460" s="86" t="s">
        <v>55</v>
      </c>
      <c r="D460" s="86" t="s">
        <v>75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33</v>
      </c>
      <c r="B461" s="86" t="s">
        <v>61</v>
      </c>
      <c r="C461" s="86" t="s">
        <v>47</v>
      </c>
      <c r="D461" s="86" t="s">
        <v>75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33</v>
      </c>
      <c r="B462" s="86" t="s">
        <v>61</v>
      </c>
      <c r="C462" s="86" t="s">
        <v>55</v>
      </c>
      <c r="D462" s="86" t="s">
        <v>75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31</v>
      </c>
      <c r="B463" s="86" t="s">
        <v>61</v>
      </c>
      <c r="C463" s="86" t="s">
        <v>47</v>
      </c>
      <c r="D463" s="86" t="s">
        <v>75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31</v>
      </c>
      <c r="B464" s="86" t="s">
        <v>61</v>
      </c>
      <c r="C464" s="86" t="s">
        <v>55</v>
      </c>
      <c r="D464" s="86" t="s">
        <v>75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1</v>
      </c>
      <c r="D3" s="2" t="s">
        <v>2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7"/>
      <c r="D5" s="8"/>
      <c r="E5" s="6"/>
      <c r="F5" s="8"/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 t="str">
        <f>IFERROR(PERCENTILE(D5:D39,0.1),"-")</f>
        <v>-</v>
      </c>
      <c r="E40" s="11" t="s">
        <v>6</v>
      </c>
      <c r="F40" s="12" t="str">
        <f>IFERROR(PERCENTILE(F5:F39,0.1),"-")</f>
        <v>-</v>
      </c>
    </row>
    <row r="41" spans="1:6" ht="15" x14ac:dyDescent="0.25">
      <c r="A41" s="9"/>
      <c r="B41" s="13"/>
      <c r="C41" s="14" t="s">
        <v>7</v>
      </c>
      <c r="D41" s="15" t="str">
        <f>IFERROR(QUARTILE(D5:D39, 1),"-")</f>
        <v>-</v>
      </c>
      <c r="E41" s="14" t="s">
        <v>7</v>
      </c>
      <c r="F41" s="15" t="str">
        <f>IFERROR(QUARTILE(F5:F39, 1),"-")</f>
        <v>-</v>
      </c>
    </row>
    <row r="42" spans="1:6" ht="15" x14ac:dyDescent="0.25">
      <c r="A42" s="9"/>
      <c r="B42" s="16"/>
      <c r="C42" s="17" t="s">
        <v>8</v>
      </c>
      <c r="D42" s="18" t="str">
        <f>IFERROR(MEDIAN(D5:D39),"-")</f>
        <v>-</v>
      </c>
      <c r="E42" s="17" t="s">
        <v>8</v>
      </c>
      <c r="F42" s="18" t="str">
        <f>IFERROR(MEDIAN(F5:F39),"-")</f>
        <v>-</v>
      </c>
    </row>
    <row r="43" spans="1:6" ht="15" x14ac:dyDescent="0.25">
      <c r="A43" s="9"/>
      <c r="B43" s="19"/>
      <c r="C43" s="20" t="s">
        <v>9</v>
      </c>
      <c r="D43" s="21" t="str">
        <f>IFERROR(QUARTILE(D5:D39,3), "-")</f>
        <v>-</v>
      </c>
      <c r="E43" s="20" t="s">
        <v>9</v>
      </c>
      <c r="F43" s="21" t="str">
        <f>IFERROR(QUARTILE(F5:F39,3), "-")</f>
        <v>-</v>
      </c>
    </row>
    <row r="44" spans="1:6" ht="15" x14ac:dyDescent="0.25">
      <c r="A44" s="9"/>
      <c r="B44" s="22"/>
      <c r="C44" s="23" t="s">
        <v>10</v>
      </c>
      <c r="D44" s="24" t="str">
        <f>IFERROR(PERCENTILE(D5:D39,0.9),"-")</f>
        <v>-</v>
      </c>
      <c r="E44" s="23" t="s">
        <v>10</v>
      </c>
      <c r="F44" s="24" t="str">
        <f>IFERROR(PERCENTILE(F5:F39,0.9),"-")</f>
        <v>-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 t="str">
        <f>IFERROR(PERCENTILE(D5:F39,0.1),"-")</f>
        <v>-</v>
      </c>
    </row>
    <row r="48" spans="1:6" ht="14.25" x14ac:dyDescent="0.2">
      <c r="C48" s="90" t="s">
        <v>7</v>
      </c>
      <c r="D48" s="91" t="str">
        <f>IFERROR(QUARTILE(D5:F39, 1),"-")</f>
        <v>-</v>
      </c>
    </row>
    <row r="49" spans="3:4" ht="14.25" x14ac:dyDescent="0.2">
      <c r="C49" s="92" t="s">
        <v>8</v>
      </c>
      <c r="D49" s="93" t="str">
        <f>IFERROR(MEDIAN(D5:D39,F5:F39),"-")</f>
        <v>-</v>
      </c>
    </row>
    <row r="50" spans="3:4" ht="14.25" x14ac:dyDescent="0.2">
      <c r="C50" s="94" t="s">
        <v>9</v>
      </c>
      <c r="D50" s="95" t="str">
        <f>IFERROR(QUARTILE(D5:F39,3), "-")</f>
        <v>-</v>
      </c>
    </row>
    <row r="51" spans="3:4" ht="14.25" x14ac:dyDescent="0.2">
      <c r="C51" s="96" t="s">
        <v>10</v>
      </c>
      <c r="D51" s="97" t="str">
        <f>IFERROR(PERCENTILE(D5:F39,0.9),"-")</f>
        <v>-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81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HYPERLINK("https://rabota.by/vacancy/51468831","ПИЦЦА ТЕМПО / ВАСИЛЬКИ")</f>
        <v>ПИЦЦА ТЕМПО / ВАСИЛЬКИ</v>
      </c>
      <c r="D5" s="8">
        <v>1000</v>
      </c>
      <c r="E5" s="103" t="str">
        <f>HYPERLINK("https://rabota.by/resume/a768daa200096d8f310013a3fa625455384652","Изготовитель полуфабрикатов")</f>
        <v>Изготовитель полуфабрикатов</v>
      </c>
      <c r="F5" s="8">
        <v>1500</v>
      </c>
    </row>
    <row r="6" spans="1:6" ht="14.25" x14ac:dyDescent="0.2">
      <c r="A6" s="3"/>
      <c r="B6" s="6">
        <v>2</v>
      </c>
      <c r="C6" s="102" t="str">
        <f>HYPERLINK("https://rabota.by/vacancy/49817880","АЛМИ, ГК")</f>
        <v>АЛМИ, ГК</v>
      </c>
      <c r="D6" s="8">
        <v>1000</v>
      </c>
      <c r="E6" s="103" t="str">
        <f>HYPERLINK("https://rabota.by/resume/16534de9000907fe470013a3fa6d6b42355979","Изготовитель полуфабрикатов")</f>
        <v>Изготовитель полуфабрикатов</v>
      </c>
      <c r="F6" s="8">
        <v>1300</v>
      </c>
    </row>
    <row r="7" spans="1:6" ht="14.25" x14ac:dyDescent="0.2">
      <c r="A7" s="3"/>
      <c r="B7" s="6">
        <v>3</v>
      </c>
      <c r="C7" s="102" t="str">
        <f>HYPERLINK("https://rabota.by/vacancy/50795193","БЕЛМАРКЕТ")</f>
        <v>БЕЛМАРКЕТ</v>
      </c>
      <c r="D7" s="8">
        <v>1300</v>
      </c>
      <c r="E7" s="103" t="str">
        <f>HYPERLINK("https://rabota.by/resume/bb3b4c3e00081370580013a3fa596c42325041","Изготовитель полуфабрикатов")</f>
        <v>Изготовитель полуфабрикатов</v>
      </c>
      <c r="F7" s="8">
        <v>1200</v>
      </c>
    </row>
    <row r="8" spans="1:6" ht="14.25" x14ac:dyDescent="0.2">
      <c r="A8" s="3"/>
      <c r="B8" s="6">
        <v>4</v>
      </c>
      <c r="C8" s="102" t="str">
        <f>HYPERLINK("https://rabota.by/vacancy/50753156","ЗАО Доброном")</f>
        <v>ЗАО Доброном</v>
      </c>
      <c r="D8" s="8">
        <v>950</v>
      </c>
      <c r="E8" s="103" t="str">
        <f>HYPERLINK("https://rabota.by/resume/59efb4860008d5d3cf0013a3fa4e5476467251","Изготовитель полуфабрикатов")</f>
        <v>Изготовитель полуфабрикатов</v>
      </c>
      <c r="F8" s="8">
        <v>1100</v>
      </c>
    </row>
    <row r="9" spans="1:6" ht="14.25" x14ac:dyDescent="0.2">
      <c r="A9" s="3"/>
      <c r="B9" s="6">
        <v>5</v>
      </c>
      <c r="C9" s="102" t="str">
        <f>HYPERLINK("https://rabota.by/vacancy/50794542","БЕЛМАРКЕТ")</f>
        <v>БЕЛМАРКЕТ</v>
      </c>
      <c r="D9" s="8">
        <v>1300</v>
      </c>
      <c r="E9" s="103" t="str">
        <f>HYPERLINK("https://rabota.by/resume/14dfca0f00023b56c60013a3fa767a454f4d64","Изготовитель полуфабрикатов")</f>
        <v>Изготовитель полуфабрикатов</v>
      </c>
      <c r="F9" s="8">
        <v>1000</v>
      </c>
    </row>
    <row r="10" spans="1:6" ht="14.25" x14ac:dyDescent="0.2">
      <c r="A10" s="3"/>
      <c r="B10" s="6">
        <v>6</v>
      </c>
      <c r="C10" s="102" t="str">
        <f>HYPERLINK("https://rabota.by/vacancy/52083009","КОРОНА, ЗАМОК Торговые центры")</f>
        <v>КОРОНА, ЗАМОК Торговые центры</v>
      </c>
      <c r="D10" s="8">
        <v>1174</v>
      </c>
      <c r="E10" s="103" t="str">
        <f>HYPERLINK("https://rabota.by/resume/600986310008077a9c0013a3fa794531544b61","Изготовитель полуфабрикатов")</f>
        <v>Изготовитель полуфабрикатов</v>
      </c>
      <c r="F10" s="8">
        <v>1000</v>
      </c>
    </row>
    <row r="11" spans="1:6" ht="14.25" x14ac:dyDescent="0.2">
      <c r="A11" s="3"/>
      <c r="B11" s="6">
        <v>7</v>
      </c>
      <c r="C11" s="102" t="str">
        <f>HYPERLINK("https://rabota.by/vacancy/51858481","ИУП БелВиллесден")</f>
        <v>ИУП БелВиллесден</v>
      </c>
      <c r="D11" s="8">
        <v>1255</v>
      </c>
      <c r="E11" s="103" t="str">
        <f>HYPERLINK("https://rabota.by/resume/ff5cd670000844d0990013a3fa70377a6d5155","Изготовитель полуфабрикатов")</f>
        <v>Изготовитель полуфабрикатов</v>
      </c>
      <c r="F11" s="8">
        <v>1000</v>
      </c>
    </row>
    <row r="12" spans="1:6" ht="14.25" x14ac:dyDescent="0.2">
      <c r="A12" s="3"/>
      <c r="B12" s="6">
        <v>8</v>
      </c>
      <c r="C12" s="102" t="str">
        <f>HYPERLINK("https://rabota.by/vacancy/51934604","ООО Мит шоп")</f>
        <v>ООО Мит шоп</v>
      </c>
      <c r="D12" s="8">
        <v>1200</v>
      </c>
      <c r="E12" s="103" t="str">
        <f>HYPERLINK("https://rabota.by/resume/8504584100064e025e0013a3fa53684c394550","Изготовитель полуфабрикатов")</f>
        <v>Изготовитель полуфабрикатов</v>
      </c>
      <c r="F12" s="8">
        <v>1000</v>
      </c>
    </row>
    <row r="13" spans="1:6" ht="14.25" x14ac:dyDescent="0.2">
      <c r="A13" s="3"/>
      <c r="B13" s="6">
        <v>9</v>
      </c>
      <c r="C13" s="7"/>
      <c r="D13" s="8"/>
      <c r="E13" s="103" t="str">
        <f>HYPERLINK("https://rabota.by/resume/04eea1850002e634e10013a3fa6a57355a7446","Изготовитель полуфабрикатов")</f>
        <v>Изготовитель полуфабрикатов</v>
      </c>
      <c r="F13" s="8">
        <v>1000</v>
      </c>
    </row>
    <row r="14" spans="1:6" ht="14.25" x14ac:dyDescent="0.2">
      <c r="A14" s="3"/>
      <c r="B14" s="6">
        <v>10</v>
      </c>
      <c r="C14" s="7"/>
      <c r="D14" s="8"/>
      <c r="E14" s="103" t="str">
        <f>HYPERLINK("https://rabota.by/resume/32bc10f500060479500013a3fa46627237435a","Изготовитель полуфабрикатов")</f>
        <v>Изготовитель полуфабрикатов</v>
      </c>
      <c r="F14" s="8">
        <v>980</v>
      </c>
    </row>
    <row r="15" spans="1:6" ht="14.25" x14ac:dyDescent="0.2">
      <c r="A15" s="3"/>
      <c r="B15" s="6">
        <v>11</v>
      </c>
      <c r="C15" s="7"/>
      <c r="D15" s="8"/>
      <c r="E15" s="103" t="str">
        <f>HYPERLINK("https://rabota.by/resume/9acdd3c5000894310b0013a3fa38504e473969","Изготовитель полуфабрикатов")</f>
        <v>Изготовитель полуфабрикатов</v>
      </c>
      <c r="F15" s="8">
        <v>900</v>
      </c>
    </row>
    <row r="16" spans="1:6" ht="14.25" x14ac:dyDescent="0.2">
      <c r="A16" s="3"/>
      <c r="B16" s="6">
        <v>12</v>
      </c>
      <c r="C16" s="7"/>
      <c r="D16" s="8"/>
      <c r="E16" s="103" t="str">
        <f>HYPERLINK("https://rabota.by/resume/88e9fe110007cb45c00013a3fa656a5436747a","Изготовитель полуфабрикатов")</f>
        <v>Изготовитель полуфабрикатов</v>
      </c>
      <c r="F16" s="8">
        <v>800</v>
      </c>
    </row>
    <row r="17" spans="1:6" ht="14.25" x14ac:dyDescent="0.2">
      <c r="A17" s="3"/>
      <c r="B17" s="6">
        <v>13</v>
      </c>
      <c r="C17" s="7"/>
      <c r="D17" s="8"/>
      <c r="E17" s="103" t="str">
        <f>HYPERLINK("https://rabota.by/resume/a85eed78000899ae3b0013a3fa546279586f57","Изготовитель полуфабрикатов")</f>
        <v>Изготовитель полуфабрикатов</v>
      </c>
      <c r="F17" s="8">
        <v>800</v>
      </c>
    </row>
    <row r="18" spans="1:6" ht="14.25" x14ac:dyDescent="0.2">
      <c r="A18" s="3"/>
      <c r="B18" s="6">
        <v>14</v>
      </c>
      <c r="C18" s="7"/>
      <c r="D18" s="8"/>
      <c r="E18" s="103" t="str">
        <f>HYPERLINK("https://rabota.by/resume/9f6690b700061b4a690013a3fa68524f4a7579","Изготовитель полуфабрикатов")</f>
        <v>Изготовитель полуфабрикатов</v>
      </c>
      <c r="F18" s="8">
        <v>800</v>
      </c>
    </row>
    <row r="19" spans="1:6" ht="14.25" x14ac:dyDescent="0.2">
      <c r="A19" s="3"/>
      <c r="B19" s="6">
        <v>15</v>
      </c>
      <c r="C19" s="7"/>
      <c r="D19" s="8"/>
      <c r="E19" s="103" t="str">
        <f>HYPERLINK("https://rabota.by/resume/0171262e0005bd94f50013a3fa353262365647","Изготовитель полуфабрикатов")</f>
        <v>Изготовитель полуфабрикатов</v>
      </c>
      <c r="F19" s="8">
        <v>800</v>
      </c>
    </row>
    <row r="20" spans="1:6" ht="14.25" x14ac:dyDescent="0.2">
      <c r="A20" s="3"/>
      <c r="B20" s="6">
        <v>16</v>
      </c>
      <c r="C20" s="7"/>
      <c r="D20" s="8"/>
      <c r="E20" s="103" t="str">
        <f>HYPERLINK("https://rabota.by/resume/43a588ae0005a5060e0013a3fa526357766649","Изготовитель полуфабрикатов")</f>
        <v>Изготовитель полуфабрикатов</v>
      </c>
      <c r="F20" s="8">
        <v>800</v>
      </c>
    </row>
    <row r="21" spans="1:6" ht="14.25" x14ac:dyDescent="0.2">
      <c r="A21" s="3"/>
      <c r="B21" s="6">
        <v>17</v>
      </c>
      <c r="C21" s="7"/>
      <c r="D21" s="8"/>
      <c r="E21" s="103" t="str">
        <f>HYPERLINK("https://rabota.by/resume/0f3cd1b700055334ff0013a3fa6a5044486764","Изготовитель полуфабрикатов")</f>
        <v>Изготовитель полуфабрикатов</v>
      </c>
      <c r="F21" s="8">
        <v>800</v>
      </c>
    </row>
    <row r="22" spans="1:6" ht="14.25" x14ac:dyDescent="0.2">
      <c r="A22" s="3"/>
      <c r="B22" s="6">
        <v>18</v>
      </c>
      <c r="C22" s="7"/>
      <c r="D22" s="8"/>
      <c r="E22" s="103" t="str">
        <f>HYPERLINK("https://rabota.by/resume/6323509d00072674910013a3fa386754667a68","Изготовитель полуфабрикатов")</f>
        <v>Изготовитель полуфабрикатов</v>
      </c>
      <c r="F22" s="8">
        <v>750</v>
      </c>
    </row>
    <row r="23" spans="1:6" ht="14.25" x14ac:dyDescent="0.2">
      <c r="A23" s="3"/>
      <c r="B23" s="6">
        <v>19</v>
      </c>
      <c r="C23" s="7"/>
      <c r="D23" s="8"/>
      <c r="E23" s="103" t="str">
        <f>HYPERLINK("https://rabota.by/resume/b442ee290005aa48920013a3fa6f6b43484b6c","Изготовитель полуфабрикатов")</f>
        <v>Изготовитель полуфабрикатов</v>
      </c>
      <c r="F23" s="8">
        <v>750</v>
      </c>
    </row>
    <row r="24" spans="1:6" ht="14.25" x14ac:dyDescent="0.2">
      <c r="A24" s="3"/>
      <c r="B24" s="6">
        <v>20</v>
      </c>
      <c r="C24" s="7"/>
      <c r="D24" s="8"/>
      <c r="E24" s="103" t="str">
        <f>HYPERLINK("https://rabota.by/resume/a83bd76500063965710013a3fa3654364b7837","Изготовитель полуфабрикатов")</f>
        <v>Изготовитель полуфабрикатов</v>
      </c>
      <c r="F24" s="8">
        <v>700</v>
      </c>
    </row>
    <row r="25" spans="1:6" ht="14.25" x14ac:dyDescent="0.2">
      <c r="A25" s="3"/>
      <c r="B25" s="6">
        <v>21</v>
      </c>
      <c r="C25" s="7"/>
      <c r="D25" s="8"/>
      <c r="E25" s="103" t="str">
        <f>HYPERLINK("https://rabota.by/resume/26059f450005be46a60013a3fa633365553966","Изготовитель полуфабрикатов")</f>
        <v>Изготовитель полуфабрикатов</v>
      </c>
      <c r="F25" s="8">
        <v>700</v>
      </c>
    </row>
    <row r="26" spans="1:6" ht="14.25" x14ac:dyDescent="0.2">
      <c r="A26" s="3"/>
      <c r="B26" s="6">
        <v>22</v>
      </c>
      <c r="C26" s="7"/>
      <c r="D26" s="8"/>
      <c r="E26" s="103" t="str">
        <f>HYPERLINK("https://rabota.by/resume/cfe8ca31000446c02f0013a3fa784a6e586974","Изготовитель полуфабрикатов")</f>
        <v>Изготовитель полуфабрикатов</v>
      </c>
      <c r="F26" s="8">
        <v>700</v>
      </c>
    </row>
    <row r="27" spans="1:6" ht="14.25" x14ac:dyDescent="0.2">
      <c r="A27" s="3"/>
      <c r="B27" s="6">
        <v>23</v>
      </c>
      <c r="C27" s="7"/>
      <c r="D27" s="8"/>
      <c r="E27" s="103" t="str">
        <f>HYPERLINK("https://rabota.by/resume/899cbda3000406eca20013a3fa48524c445255","Изготовитель полуфабрикатов")</f>
        <v>Изготовитель полуфабрикатов</v>
      </c>
      <c r="F27" s="8">
        <v>700</v>
      </c>
    </row>
    <row r="28" spans="1:6" ht="14.25" x14ac:dyDescent="0.2">
      <c r="A28" s="3"/>
      <c r="B28" s="6">
        <v>24</v>
      </c>
      <c r="C28" s="7"/>
      <c r="D28" s="8"/>
      <c r="E28" s="103" t="str">
        <f>HYPERLINK("https://rabota.by/resume/e178eb97000418b49d0013a3fa53664b436131","Изготовитель полуфабрикатов")</f>
        <v>Изготовитель полуфабрикатов</v>
      </c>
      <c r="F28" s="8">
        <v>700</v>
      </c>
    </row>
    <row r="29" spans="1:6" ht="14.25" x14ac:dyDescent="0.2">
      <c r="A29" s="3"/>
      <c r="B29" s="6">
        <v>25</v>
      </c>
      <c r="C29" s="7"/>
      <c r="D29" s="8"/>
      <c r="E29" s="103" t="str">
        <f>HYPERLINK("https://rabota.by/resume/76babafc000107d0aa0013a3fa43496d6e5874","Изготовитель полуфабрикатов")</f>
        <v>Изготовитель полуфабрикатов</v>
      </c>
      <c r="F29" s="8">
        <v>650</v>
      </c>
    </row>
    <row r="30" spans="1:6" ht="14.25" x14ac:dyDescent="0.2">
      <c r="A30" s="3"/>
      <c r="B30" s="6">
        <v>26</v>
      </c>
      <c r="C30" s="7"/>
      <c r="D30" s="8"/>
      <c r="E30" s="103" t="str">
        <f>HYPERLINK("https://rabota.by/resume/0fbff56a0007f2d32a0013a3fa4d534e583452","Изготовитель полуфабрикатов")</f>
        <v>Изготовитель полуфабрикатов</v>
      </c>
      <c r="F30" s="8">
        <v>600</v>
      </c>
    </row>
    <row r="31" spans="1:6" ht="14.25" x14ac:dyDescent="0.2">
      <c r="A31" s="3"/>
      <c r="B31" s="6">
        <v>27</v>
      </c>
      <c r="C31" s="7"/>
      <c r="D31" s="8"/>
      <c r="E31" s="103" t="str">
        <f>HYPERLINK("https://rabota.by/resume/c6b5946b000288ad440013a3fa633348537945","Изготовитель полуфабрикатов")</f>
        <v>Изготовитель полуфабрикатов</v>
      </c>
      <c r="F31" s="8">
        <v>600</v>
      </c>
    </row>
    <row r="32" spans="1:6" ht="14.25" x14ac:dyDescent="0.2">
      <c r="A32" s="3"/>
      <c r="B32" s="6">
        <v>28</v>
      </c>
      <c r="C32" s="7"/>
      <c r="D32" s="8"/>
      <c r="E32" s="103" t="str">
        <f>HYPERLINK("https://rabota.by/resume/bf49dbf70001f1dc200013a3fa6d39666a7a51","Изготовитель полуфабрикатов")</f>
        <v>Изготовитель полуфабрикатов</v>
      </c>
      <c r="F32" s="8">
        <v>600</v>
      </c>
    </row>
    <row r="33" spans="1:6" ht="14.25" x14ac:dyDescent="0.2">
      <c r="A33" s="3"/>
      <c r="B33" s="6">
        <v>29</v>
      </c>
      <c r="C33" s="7"/>
      <c r="D33" s="8"/>
      <c r="E33" s="103" t="str">
        <f>HYPERLINK("https://rabota.by/resume/15b31bdf00022368350013a3fa697047343868","Изготовитель полуфабрикатов")</f>
        <v>Изготовитель полуфабрикатов</v>
      </c>
      <c r="F33" s="8">
        <v>560</v>
      </c>
    </row>
    <row r="34" spans="1:6" ht="14.25" x14ac:dyDescent="0.2">
      <c r="A34" s="3"/>
      <c r="B34" s="6">
        <v>30</v>
      </c>
      <c r="C34" s="7"/>
      <c r="D34" s="8"/>
      <c r="E34" s="103" t="str">
        <f>HYPERLINK("https://rabota.by/resume/27d9732c00044a1e430013a3fa5a7a53797063","Изготовитель полуфабрикатов")</f>
        <v>Изготовитель полуфабрикатов</v>
      </c>
      <c r="F34" s="8">
        <v>500</v>
      </c>
    </row>
    <row r="35" spans="1:6" ht="14.25" x14ac:dyDescent="0.2">
      <c r="A35" s="3"/>
      <c r="B35" s="6">
        <v>31</v>
      </c>
      <c r="C35" s="7"/>
      <c r="D35" s="8"/>
      <c r="E35" s="103" t="str">
        <f>HYPERLINK("https://rabota.by/resume/b2f676010006059f480013a3fa724f39344c66","Изготовитель полуфабрикатов")</f>
        <v>Изготовитель полуфабрикатов</v>
      </c>
      <c r="F35" s="8">
        <v>500</v>
      </c>
    </row>
    <row r="36" spans="1:6" ht="14.25" x14ac:dyDescent="0.2">
      <c r="A36" s="3"/>
      <c r="B36" s="6">
        <v>32</v>
      </c>
      <c r="C36" s="7"/>
      <c r="D36" s="8"/>
      <c r="E36" s="103" t="str">
        <f>HYPERLINK("https://rabota.by/resume/f9c0990f0002fe1b640013a3fa66793969344a","Изготовитель полуфабрикатов")</f>
        <v>Изготовитель полуфабрикатов</v>
      </c>
      <c r="F36" s="8">
        <v>500</v>
      </c>
    </row>
    <row r="37" spans="1:6" ht="14.25" x14ac:dyDescent="0.2">
      <c r="A37" s="3"/>
      <c r="B37" s="6">
        <v>33</v>
      </c>
      <c r="C37" s="7"/>
      <c r="D37" s="8"/>
      <c r="E37" s="103" t="str">
        <f>HYPERLINK("https://rabota.by/resume/94434f8600037f21610013a3fa384d6c453470","Изготовитель полуфабрикатов")</f>
        <v>Изготовитель полуфабрикатов</v>
      </c>
      <c r="F37" s="8">
        <v>500</v>
      </c>
    </row>
    <row r="38" spans="1:6" ht="14.25" x14ac:dyDescent="0.2">
      <c r="A38" s="3"/>
      <c r="B38" s="6">
        <v>34</v>
      </c>
      <c r="C38" s="7"/>
      <c r="D38" s="8"/>
      <c r="E38" s="103" t="str">
        <f>HYPERLINK("https://rabota.by/resume/c54ff0ca0001dab55d0013a3fa6e4346384875","Изготовитель полуфабрикатов")</f>
        <v>Изготовитель полуфабрикатов</v>
      </c>
      <c r="F38" s="8">
        <v>500</v>
      </c>
    </row>
    <row r="39" spans="1:6" ht="14.25" x14ac:dyDescent="0.2">
      <c r="A39" s="3"/>
      <c r="B39" s="6">
        <v>35</v>
      </c>
      <c r="C39" s="7"/>
      <c r="D39" s="8"/>
      <c r="E39" s="103" t="str">
        <f>HYPERLINK("https://rabota.by/resume/f4120c3b000195b7740013a3fa6e766f4f7039","Изготовитель полуфабрикатов")</f>
        <v>Изготовитель полуфабрикатов</v>
      </c>
      <c r="F39" s="8">
        <v>500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985</v>
      </c>
      <c r="E40" s="11" t="s">
        <v>6</v>
      </c>
      <c r="F40" s="12">
        <f>IFERROR(PERCENTILE(F5:F39,0.1),"-")</f>
        <v>500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1000</v>
      </c>
      <c r="E41" s="14" t="s">
        <v>7</v>
      </c>
      <c r="F41" s="15">
        <f>IFERROR(QUARTILE(F5:F39, 1),"-")</f>
        <v>600</v>
      </c>
    </row>
    <row r="42" spans="1:6" ht="15" x14ac:dyDescent="0.25">
      <c r="A42" s="9"/>
      <c r="B42" s="16"/>
      <c r="C42" s="17" t="s">
        <v>8</v>
      </c>
      <c r="D42" s="18">
        <f>IFERROR(MEDIAN(D5:D39),"-")</f>
        <v>1187</v>
      </c>
      <c r="E42" s="17" t="s">
        <v>8</v>
      </c>
      <c r="F42" s="18">
        <f>IFERROR(MEDIAN(F5:F39),"-")</f>
        <v>750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1266.25</v>
      </c>
      <c r="E43" s="20" t="s">
        <v>9</v>
      </c>
      <c r="F43" s="21">
        <f>IFERROR(QUARTILE(F5:F39,3), "-")</f>
        <v>990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1300</v>
      </c>
      <c r="E44" s="23" t="s">
        <v>10</v>
      </c>
      <c r="F44" s="24">
        <f>IFERROR(PERCENTILE(F5:F39,0.9),"-")</f>
        <v>1060.0000000000002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500</v>
      </c>
    </row>
    <row r="48" spans="1:6" ht="14.25" x14ac:dyDescent="0.2">
      <c r="C48" s="90" t="s">
        <v>7</v>
      </c>
      <c r="D48" s="91">
        <f>IFERROR(QUARTILE(D5:F39, 1),"-")</f>
        <v>675</v>
      </c>
    </row>
    <row r="49" spans="3:4" ht="14.25" x14ac:dyDescent="0.2">
      <c r="C49" s="92" t="s">
        <v>8</v>
      </c>
      <c r="D49" s="93">
        <f>IFERROR(MEDIAN(D5:D39,F5:F39),"-")</f>
        <v>800</v>
      </c>
    </row>
    <row r="50" spans="3:4" ht="14.25" x14ac:dyDescent="0.2">
      <c r="C50" s="94" t="s">
        <v>9</v>
      </c>
      <c r="D50" s="95">
        <f>IFERROR(QUARTILE(D5:F39,3), "-")</f>
        <v>1000</v>
      </c>
    </row>
    <row r="51" spans="3:4" ht="14.25" x14ac:dyDescent="0.2">
      <c r="C51" s="96" t="s">
        <v>10</v>
      </c>
      <c r="D51" s="97">
        <f>IFERROR(PERCENTILE(D5:F39,0.9),"-")</f>
        <v>1244.0000000000002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82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HYPERLINK("https://rabota.by/vacancy/50710889","Серволюкс, Группа компаний")</f>
        <v>Серволюкс, Группа компаний</v>
      </c>
      <c r="D5" s="8">
        <v>1500</v>
      </c>
      <c r="E5" s="103" t="str">
        <f>HYPERLINK("https://rabota.by/resume/b0e773e1000884cfad0013a3fa4478334a5931","Оператор машинного доения")</f>
        <v>Оператор машинного доения</v>
      </c>
      <c r="F5" s="8">
        <v>1200</v>
      </c>
    </row>
    <row r="6" spans="1:6" ht="14.25" x14ac:dyDescent="0.2">
      <c r="A6" s="3"/>
      <c r="B6" s="6">
        <v>2</v>
      </c>
      <c r="C6" s="7"/>
      <c r="D6" s="8"/>
      <c r="E6" s="103" t="str">
        <f>HYPERLINK("https://rabota.by/resume/cd16e7510009692b6d0013a3fa484a7965316a","Оператор машинного доения")</f>
        <v>Оператор машинного доения</v>
      </c>
      <c r="F6" s="8">
        <v>1000</v>
      </c>
    </row>
    <row r="7" spans="1:6" ht="14.25" x14ac:dyDescent="0.2">
      <c r="A7" s="3"/>
      <c r="B7" s="6">
        <v>3</v>
      </c>
      <c r="C7" s="7"/>
      <c r="D7" s="8"/>
      <c r="E7" s="103" t="str">
        <f>HYPERLINK("https://rabota.by/resume/25cccc530002e305710013a3fa61644570706a","Оператор машинного доения")</f>
        <v>Оператор машинного доения</v>
      </c>
      <c r="F7" s="8">
        <v>800</v>
      </c>
    </row>
    <row r="8" spans="1:6" ht="14.25" x14ac:dyDescent="0.2">
      <c r="A8" s="3"/>
      <c r="B8" s="6">
        <v>4</v>
      </c>
      <c r="C8" s="7"/>
      <c r="D8" s="8"/>
      <c r="E8" s="103" t="str">
        <f>HYPERLINK("https://rabota.by/resume/435fc3950008bc39120013a3fa754652483344","Оператор машинного доения")</f>
        <v>Оператор машинного доения</v>
      </c>
      <c r="F8" s="8">
        <v>800</v>
      </c>
    </row>
    <row r="9" spans="1:6" ht="14.25" x14ac:dyDescent="0.2">
      <c r="A9" s="3"/>
      <c r="B9" s="6">
        <v>5</v>
      </c>
      <c r="C9" s="7"/>
      <c r="D9" s="8"/>
      <c r="E9" s="103" t="str">
        <f>HYPERLINK("https://rabota.by/resume/7f11fc3200087728bc0013a3fa57714c705879","Оператор машинного доения")</f>
        <v>Оператор машинного доения</v>
      </c>
      <c r="F9" s="8">
        <v>700</v>
      </c>
    </row>
    <row r="10" spans="1:6" ht="14.25" x14ac:dyDescent="0.2">
      <c r="A10" s="3"/>
      <c r="B10" s="6">
        <v>6</v>
      </c>
      <c r="C10" s="7"/>
      <c r="D10" s="8"/>
      <c r="E10" s="103" t="str">
        <f>HYPERLINK("https://rabota.by/resume/5257e3250008fef96f0013a3fa374176526146","Оператор машинного доения")</f>
        <v>Оператор машинного доения</v>
      </c>
      <c r="F10" s="8">
        <v>700</v>
      </c>
    </row>
    <row r="11" spans="1:6" ht="14.25" x14ac:dyDescent="0.2">
      <c r="A11" s="3"/>
      <c r="B11" s="6">
        <v>7</v>
      </c>
      <c r="C11" s="7"/>
      <c r="D11" s="8"/>
      <c r="E11" s="103" t="str">
        <f>HYPERLINK("https://rabota.by/resume/63cf396100031a222b0013a3fa546f71336470","Оператор машинного доения")</f>
        <v>Оператор машинного доения</v>
      </c>
      <c r="F11" s="8">
        <v>700</v>
      </c>
    </row>
    <row r="12" spans="1:6" ht="14.25" x14ac:dyDescent="0.2">
      <c r="A12" s="3"/>
      <c r="B12" s="6">
        <v>8</v>
      </c>
      <c r="C12" s="7"/>
      <c r="D12" s="8"/>
      <c r="E12" s="103" t="str">
        <f>HYPERLINK("https://rabota.by/resume/9b0aea9500056ceda00013a3fa533331564d4c","Оператор машинного доения")</f>
        <v>Оператор машинного доения</v>
      </c>
      <c r="F12" s="8">
        <v>600</v>
      </c>
    </row>
    <row r="13" spans="1:6" ht="14.25" x14ac:dyDescent="0.2">
      <c r="A13" s="3"/>
      <c r="B13" s="6">
        <v>9</v>
      </c>
      <c r="C13" s="7"/>
      <c r="D13" s="8"/>
      <c r="E13" s="103" t="str">
        <f>HYPERLINK("https://rabota.by/resume/8b955f0100022d99ff0013a3fa72367258324f","Оператор машинного доения")</f>
        <v>Оператор машинного доения</v>
      </c>
      <c r="F13" s="8">
        <v>500</v>
      </c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>
        <f>IFERROR(PERCENTILE(D5:D39,0.1),"-")</f>
        <v>1500</v>
      </c>
      <c r="E40" s="11" t="s">
        <v>6</v>
      </c>
      <c r="F40" s="12">
        <f>IFERROR(PERCENTILE(F5:F39,0.1),"-")</f>
        <v>580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1500</v>
      </c>
      <c r="E41" s="14" t="s">
        <v>7</v>
      </c>
      <c r="F41" s="15">
        <f>IFERROR(QUARTILE(F5:F39, 1),"-")</f>
        <v>700</v>
      </c>
    </row>
    <row r="42" spans="1:6" ht="15" x14ac:dyDescent="0.25">
      <c r="A42" s="9"/>
      <c r="B42" s="16"/>
      <c r="C42" s="17" t="s">
        <v>8</v>
      </c>
      <c r="D42" s="18">
        <f>IFERROR(MEDIAN(D5:D39),"-")</f>
        <v>1500</v>
      </c>
      <c r="E42" s="17" t="s">
        <v>8</v>
      </c>
      <c r="F42" s="18">
        <f>IFERROR(MEDIAN(F5:F39),"-")</f>
        <v>700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1500</v>
      </c>
      <c r="E43" s="20" t="s">
        <v>9</v>
      </c>
      <c r="F43" s="21">
        <f>IFERROR(QUARTILE(F5:F39,3), "-")</f>
        <v>800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1500</v>
      </c>
      <c r="E44" s="23" t="s">
        <v>10</v>
      </c>
      <c r="F44" s="24">
        <f>IFERROR(PERCENTILE(F5:F39,0.9),"-")</f>
        <v>1039.9999999999998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590</v>
      </c>
    </row>
    <row r="48" spans="1:6" ht="14.25" x14ac:dyDescent="0.2">
      <c r="C48" s="90" t="s">
        <v>7</v>
      </c>
      <c r="D48" s="91">
        <f>IFERROR(QUARTILE(D5:F39, 1),"-")</f>
        <v>700</v>
      </c>
    </row>
    <row r="49" spans="3:4" ht="14.25" x14ac:dyDescent="0.2">
      <c r="C49" s="92" t="s">
        <v>8</v>
      </c>
      <c r="D49" s="93">
        <f>IFERROR(MEDIAN(D5:D39,F5:F39),"-")</f>
        <v>750</v>
      </c>
    </row>
    <row r="50" spans="3:4" ht="14.25" x14ac:dyDescent="0.2">
      <c r="C50" s="94" t="s">
        <v>9</v>
      </c>
      <c r="D50" s="95">
        <f>IFERROR(QUARTILE(D5:F39,3), "-")</f>
        <v>950</v>
      </c>
    </row>
    <row r="51" spans="3:4" ht="14.25" x14ac:dyDescent="0.2">
      <c r="C51" s="96" t="s">
        <v>10</v>
      </c>
      <c r="D51" s="97">
        <f>IFERROR(PERCENTILE(D5:F39,0.9),"-")</f>
        <v>1230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83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HYPERLINK("https://rabota.by/vacancy/45788675","Серволюкс, Группа компаний")</f>
        <v>Серволюкс, Группа компаний</v>
      </c>
      <c r="D5" s="8">
        <v>1100</v>
      </c>
      <c r="E5" s="103" t="str">
        <f>HYPERLINK("https://rabota.by/resume/8f21044700097ffc700013a3fa467746557764","Животновод")</f>
        <v>Животновод</v>
      </c>
      <c r="F5" s="8">
        <v>1000</v>
      </c>
    </row>
    <row r="6" spans="1:6" ht="14.25" x14ac:dyDescent="0.2">
      <c r="A6" s="3"/>
      <c r="B6" s="6">
        <v>2</v>
      </c>
      <c r="C6" s="7"/>
      <c r="D6" s="8"/>
      <c r="E6" s="103" t="str">
        <f>HYPERLINK("https://rabota.by/resume/495ae1a70007d989590013a3fa5865554f7777","Животновод")</f>
        <v>Животновод</v>
      </c>
      <c r="F6" s="8">
        <v>1000</v>
      </c>
    </row>
    <row r="7" spans="1:6" ht="14.25" x14ac:dyDescent="0.2">
      <c r="A7" s="3"/>
      <c r="B7" s="6">
        <v>3</v>
      </c>
      <c r="C7" s="7"/>
      <c r="D7" s="8"/>
      <c r="E7" s="103" t="str">
        <f>HYPERLINK("https://rabota.by/resume/4ad6999300039bf6870013a3fa6678516a3634","Животновод")</f>
        <v>Животновод</v>
      </c>
      <c r="F7" s="8">
        <v>1000</v>
      </c>
    </row>
    <row r="8" spans="1:6" ht="14.25" x14ac:dyDescent="0.2">
      <c r="A8" s="3"/>
      <c r="B8" s="6">
        <v>4</v>
      </c>
      <c r="C8" s="7"/>
      <c r="D8" s="8"/>
      <c r="E8" s="103" t="str">
        <f>HYPERLINK("https://rabota.by/resume/8e3e41a00008bb8fe50013a3fa595a67306a53","Животновод")</f>
        <v>Животновод</v>
      </c>
      <c r="F8" s="8">
        <v>800</v>
      </c>
    </row>
    <row r="9" spans="1:6" ht="14.25" x14ac:dyDescent="0.2">
      <c r="A9" s="3"/>
      <c r="B9" s="6">
        <v>5</v>
      </c>
      <c r="C9" s="7"/>
      <c r="D9" s="8"/>
      <c r="E9" s="103" t="str">
        <f>HYPERLINK("https://rabota.by/resume/e74c6a3200076a2dd90013a3fa61394351366b","Животновод")</f>
        <v>Животновод</v>
      </c>
      <c r="F9" s="8">
        <v>800</v>
      </c>
    </row>
    <row r="10" spans="1:6" ht="14.25" x14ac:dyDescent="0.2">
      <c r="A10" s="3"/>
      <c r="B10" s="6">
        <v>6</v>
      </c>
      <c r="C10" s="7"/>
      <c r="D10" s="8"/>
      <c r="E10" s="103" t="str">
        <f>HYPERLINK("https://rabota.by/resume/32813750000245b5d30013a3fa36645a6b5874","Животновод")</f>
        <v>Животновод</v>
      </c>
      <c r="F10" s="8">
        <v>600</v>
      </c>
    </row>
    <row r="11" spans="1:6" ht="14.25" x14ac:dyDescent="0.2">
      <c r="A11" s="3"/>
      <c r="B11" s="6">
        <v>7</v>
      </c>
      <c r="C11" s="7"/>
      <c r="D11" s="8"/>
      <c r="E11" s="103" t="str">
        <f>HYPERLINK("https://rabota.by/resume/9b0aea9500056ceda00013a3fa533331564d4c","Животновод")</f>
        <v>Животновод</v>
      </c>
      <c r="F11" s="8">
        <v>600</v>
      </c>
    </row>
    <row r="12" spans="1:6" ht="14.25" x14ac:dyDescent="0.2">
      <c r="A12" s="3"/>
      <c r="B12" s="6">
        <v>8</v>
      </c>
      <c r="C12" s="7"/>
      <c r="D12" s="8"/>
      <c r="E12" s="103" t="str">
        <f>HYPERLINK("https://rabota.by/resume/02f5cd4d0006bb6a910013a3fa504f4c626b63","Животновод")</f>
        <v>Животновод</v>
      </c>
      <c r="F12" s="8">
        <v>550</v>
      </c>
    </row>
    <row r="13" spans="1:6" ht="14.25" x14ac:dyDescent="0.2">
      <c r="A13" s="3"/>
      <c r="B13" s="6">
        <v>9</v>
      </c>
      <c r="C13" s="7"/>
      <c r="D13" s="8"/>
      <c r="E13" s="103" t="str">
        <f>HYPERLINK("https://rabota.by/resume/7ee1490b000545c2a00013a3fa6b655a77456c","Животновод")</f>
        <v>Животновод</v>
      </c>
      <c r="F13" s="8">
        <v>509</v>
      </c>
    </row>
    <row r="14" spans="1:6" ht="14.25" x14ac:dyDescent="0.2">
      <c r="A14" s="3"/>
      <c r="B14" s="6">
        <v>10</v>
      </c>
      <c r="C14" s="7"/>
      <c r="D14" s="8"/>
      <c r="E14" s="103" t="str">
        <f>HYPERLINK("https://rabota.by/resume/35423a1d0009271c3f0013a3fa36484e6c7635","Животновод")</f>
        <v>Животновод</v>
      </c>
      <c r="F14" s="8">
        <v>350</v>
      </c>
    </row>
    <row r="15" spans="1:6" ht="14.25" x14ac:dyDescent="0.2">
      <c r="A15" s="3"/>
      <c r="B15" s="6">
        <v>11</v>
      </c>
      <c r="C15" s="7"/>
      <c r="D15" s="8"/>
      <c r="E15" s="103" t="str">
        <f>HYPERLINK("https://rabota.by/resume/cbdcc1210002dde9940013a3fa774334316131","Животновод")</f>
        <v>Животновод</v>
      </c>
      <c r="F15" s="8">
        <v>350</v>
      </c>
    </row>
    <row r="16" spans="1:6" ht="14.25" x14ac:dyDescent="0.2">
      <c r="A16" s="3"/>
      <c r="B16" s="6">
        <v>12</v>
      </c>
      <c r="C16" s="7"/>
      <c r="D16" s="8"/>
      <c r="E16" s="103" t="str">
        <f>HYPERLINK("https://rabota.by/resume/028428bf0001a62a5c0013a3fa3837774f6d4e","Животновод")</f>
        <v>Животновод</v>
      </c>
      <c r="F16" s="8">
        <v>300</v>
      </c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>
        <f>IFERROR(PERCENTILE(D5:D39,0.1),"-")</f>
        <v>1100</v>
      </c>
      <c r="E40" s="11" t="s">
        <v>6</v>
      </c>
      <c r="F40" s="12">
        <f>IFERROR(PERCENTILE(F5:F39,0.1),"-")</f>
        <v>350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1100</v>
      </c>
      <c r="E41" s="14" t="s">
        <v>7</v>
      </c>
      <c r="F41" s="15">
        <f>IFERROR(QUARTILE(F5:F39, 1),"-")</f>
        <v>469.25</v>
      </c>
    </row>
    <row r="42" spans="1:6" ht="15" x14ac:dyDescent="0.25">
      <c r="A42" s="9"/>
      <c r="B42" s="16"/>
      <c r="C42" s="17" t="s">
        <v>8</v>
      </c>
      <c r="D42" s="18">
        <f>IFERROR(MEDIAN(D5:D39),"-")</f>
        <v>1100</v>
      </c>
      <c r="E42" s="17" t="s">
        <v>8</v>
      </c>
      <c r="F42" s="18">
        <f>IFERROR(MEDIAN(F5:F39),"-")</f>
        <v>600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1100</v>
      </c>
      <c r="E43" s="20" t="s">
        <v>9</v>
      </c>
      <c r="F43" s="21">
        <f>IFERROR(QUARTILE(F5:F39,3), "-")</f>
        <v>850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1100</v>
      </c>
      <c r="E44" s="23" t="s">
        <v>10</v>
      </c>
      <c r="F44" s="24">
        <f>IFERROR(PERCENTILE(F5:F39,0.9),"-")</f>
        <v>1000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350</v>
      </c>
    </row>
    <row r="48" spans="1:6" ht="14.25" x14ac:dyDescent="0.2">
      <c r="C48" s="90" t="s">
        <v>7</v>
      </c>
      <c r="D48" s="91">
        <f>IFERROR(QUARTILE(D5:F39, 1),"-")</f>
        <v>509</v>
      </c>
    </row>
    <row r="49" spans="3:4" ht="14.25" x14ac:dyDescent="0.2">
      <c r="C49" s="92" t="s">
        <v>8</v>
      </c>
      <c r="D49" s="93">
        <f>IFERROR(MEDIAN(D5:D39,F5:F39),"-")</f>
        <v>600</v>
      </c>
    </row>
    <row r="50" spans="3:4" ht="14.25" x14ac:dyDescent="0.2">
      <c r="C50" s="94" t="s">
        <v>9</v>
      </c>
      <c r="D50" s="95">
        <f>IFERROR(QUARTILE(D5:F39,3), "-")</f>
        <v>1000</v>
      </c>
    </row>
    <row r="51" spans="3:4" ht="14.25" x14ac:dyDescent="0.2">
      <c r="C51" s="96" t="s">
        <v>10</v>
      </c>
      <c r="D51" s="97">
        <f>IFERROR(PERCENTILE(D5:F39,0.9),"-")</f>
        <v>1000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84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HYPERLINK("https://rabota.by/vacancy/50731578","Серволюкс, Группа компаний")</f>
        <v>Серволюкс, Группа компаний</v>
      </c>
      <c r="D5" s="8">
        <v>1000</v>
      </c>
      <c r="E5" s="103" t="str">
        <f>HYPERLINK("https://rabota.by/resume/66c00b590003a38fe80013a3fa443237377a62","Птицевод")</f>
        <v>Птицевод</v>
      </c>
      <c r="F5" s="8">
        <v>800</v>
      </c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>
        <f>IFERROR(PERCENTILE(D5:D39,0.1),"-")</f>
        <v>1000</v>
      </c>
      <c r="E40" s="11" t="s">
        <v>6</v>
      </c>
      <c r="F40" s="12">
        <f>IFERROR(PERCENTILE(F5:F39,0.1),"-")</f>
        <v>800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1000</v>
      </c>
      <c r="E41" s="14" t="s">
        <v>7</v>
      </c>
      <c r="F41" s="15">
        <f>IFERROR(QUARTILE(F5:F39, 1),"-")</f>
        <v>800</v>
      </c>
    </row>
    <row r="42" spans="1:6" ht="15" x14ac:dyDescent="0.25">
      <c r="A42" s="9"/>
      <c r="B42" s="16"/>
      <c r="C42" s="17" t="s">
        <v>8</v>
      </c>
      <c r="D42" s="18">
        <f>IFERROR(MEDIAN(D5:D39),"-")</f>
        <v>1000</v>
      </c>
      <c r="E42" s="17" t="s">
        <v>8</v>
      </c>
      <c r="F42" s="18">
        <f>IFERROR(MEDIAN(F5:F39),"-")</f>
        <v>800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1000</v>
      </c>
      <c r="E43" s="20" t="s">
        <v>9</v>
      </c>
      <c r="F43" s="21">
        <f>IFERROR(QUARTILE(F5:F39,3), "-")</f>
        <v>800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1000</v>
      </c>
      <c r="E44" s="23" t="s">
        <v>10</v>
      </c>
      <c r="F44" s="24">
        <f>IFERROR(PERCENTILE(F5:F39,0.9),"-")</f>
        <v>800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820</v>
      </c>
    </row>
    <row r="48" spans="1:6" ht="14.25" x14ac:dyDescent="0.2">
      <c r="C48" s="90" t="s">
        <v>7</v>
      </c>
      <c r="D48" s="91">
        <f>IFERROR(QUARTILE(D5:F39, 1),"-")</f>
        <v>850</v>
      </c>
    </row>
    <row r="49" spans="3:4" ht="14.25" x14ac:dyDescent="0.2">
      <c r="C49" s="92" t="s">
        <v>8</v>
      </c>
      <c r="D49" s="93">
        <f>IFERROR(MEDIAN(D5:D39,F5:F39),"-")</f>
        <v>900</v>
      </c>
    </row>
    <row r="50" spans="3:4" ht="14.25" x14ac:dyDescent="0.2">
      <c r="C50" s="94" t="s">
        <v>9</v>
      </c>
      <c r="D50" s="95">
        <f>IFERROR(QUARTILE(D5:F39,3), "-")</f>
        <v>950</v>
      </c>
    </row>
    <row r="51" spans="3:4" ht="14.25" x14ac:dyDescent="0.2">
      <c r="C51" s="96" t="s">
        <v>10</v>
      </c>
      <c r="D51" s="97">
        <f>IFERROR(PERCENTILE(D5:F39,0.9),"-")</f>
        <v>980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96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HYPERLINK("https://rabota.by/vacancy/52467161","ООО ШАНСБЕЛ")</f>
        <v>ООО ШАНСБЕЛ</v>
      </c>
      <c r="D5" s="8">
        <v>3000</v>
      </c>
      <c r="E5" s="103" t="str">
        <f>HYPERLINK("https://rabota.by/resume/a91f03360009a386320013a3fa6e6333424a78","Водитель-международник")</f>
        <v>Водитель-международник</v>
      </c>
      <c r="F5" s="8">
        <v>3600</v>
      </c>
    </row>
    <row r="6" spans="1:6" ht="14.25" x14ac:dyDescent="0.2">
      <c r="A6" s="3"/>
      <c r="B6" s="6">
        <v>2</v>
      </c>
      <c r="C6" s="102" t="str">
        <f>HYPERLINK("https://rabota.by/vacancy/52179634","PRIMUM")</f>
        <v>PRIMUM</v>
      </c>
      <c r="D6" s="8">
        <v>1000</v>
      </c>
      <c r="E6" s="103" t="str">
        <f>HYPERLINK("https://rabota.by/resume/ac9362af00060de8f40013a3fa6b4879553451","Водитель-международник")</f>
        <v>Водитель-международник</v>
      </c>
      <c r="F6" s="8">
        <v>3600</v>
      </c>
    </row>
    <row r="7" spans="1:6" ht="14.25" x14ac:dyDescent="0.2">
      <c r="A7" s="3"/>
      <c r="B7" s="6">
        <v>3</v>
      </c>
      <c r="C7" s="102" t="str">
        <f>HYPERLINK("https://rabota.by/vacancy/22750239","APS")</f>
        <v>APS</v>
      </c>
      <c r="D7" s="8">
        <v>2000</v>
      </c>
      <c r="E7" s="103" t="str">
        <f>HYPERLINK("https://rabota.by/resume/973800380009ae37730013a3fa714970455454","Водитель-международник")</f>
        <v>Водитель-международник</v>
      </c>
      <c r="F7" s="8">
        <v>3500</v>
      </c>
    </row>
    <row r="8" spans="1:6" ht="14.25" x14ac:dyDescent="0.2">
      <c r="A8" s="3"/>
      <c r="B8" s="6">
        <v>4</v>
      </c>
      <c r="C8" s="102" t="str">
        <f>HYPERLINK("https://rabota.by/vacancy/46281297","Янстронг")</f>
        <v>Янстронг</v>
      </c>
      <c r="D8" s="8">
        <v>4500</v>
      </c>
      <c r="E8" s="103" t="str">
        <f>HYPERLINK("https://rabota.by/resume/d298516f000818aacd0013a3fa487972536d76","Водитель-международник")</f>
        <v>Водитель-международник</v>
      </c>
      <c r="F8" s="8">
        <v>3500</v>
      </c>
    </row>
    <row r="9" spans="1:6" ht="14.25" x14ac:dyDescent="0.2">
      <c r="A9" s="3"/>
      <c r="B9" s="6">
        <v>5</v>
      </c>
      <c r="C9" s="102" t="str">
        <f>HYPERLINK("https://rabota.by/vacancy/48201132","PRIMUM")</f>
        <v>PRIMUM</v>
      </c>
      <c r="D9" s="8">
        <v>3000</v>
      </c>
      <c r="E9" s="103" t="str">
        <f>HYPERLINK("https://rabota.by/resume/559455cc00099a80e20013a3fa636171644432","Водитель-международник")</f>
        <v>Водитель-международник</v>
      </c>
      <c r="F9" s="8">
        <v>3000</v>
      </c>
    </row>
    <row r="10" spans="1:6" ht="14.25" x14ac:dyDescent="0.2">
      <c r="A10" s="3"/>
      <c r="B10" s="6">
        <v>6</v>
      </c>
      <c r="C10" s="102" t="str">
        <f>HYPERLINK("https://rabota.by/vacancy/4095490","APS")</f>
        <v>APS</v>
      </c>
      <c r="D10" s="8">
        <v>2500</v>
      </c>
      <c r="E10" s="103" t="str">
        <f>HYPERLINK("https://rabota.by/resume/6320b9ec0007f12d840013a3fa7a6f524c576e","Водитель-международник")</f>
        <v>Водитель-международник</v>
      </c>
      <c r="F10" s="8">
        <v>3000</v>
      </c>
    </row>
    <row r="11" spans="1:6" ht="14.25" x14ac:dyDescent="0.2">
      <c r="A11" s="3"/>
      <c r="B11" s="6">
        <v>7</v>
      </c>
      <c r="C11" s="102" t="str">
        <f>HYPERLINK("https://rabota.by/vacancy/49877577","R Group")</f>
        <v>R Group</v>
      </c>
      <c r="D11" s="8">
        <v>4000</v>
      </c>
      <c r="E11" s="103" t="str">
        <f>HYPERLINK("https://rabota.by/resume/68e22343000330897b0013a3fa71336f6a5155","Водитель-международник")</f>
        <v>Водитель-международник</v>
      </c>
      <c r="F11" s="8">
        <v>3000</v>
      </c>
    </row>
    <row r="12" spans="1:6" ht="14.25" x14ac:dyDescent="0.2">
      <c r="A12" s="3"/>
      <c r="B12" s="6">
        <v>8</v>
      </c>
      <c r="C12" s="102" t="str">
        <f>HYPERLINK("https://rabota.by/vacancy/44116788","KAPITAN")</f>
        <v>KAPITAN</v>
      </c>
      <c r="D12" s="8">
        <v>2500</v>
      </c>
      <c r="E12" s="103" t="str">
        <f>HYPERLINK("https://rabota.by/resume/ee4cf9550008b4e5c20013a3fa526755435978","Водитель-международник")</f>
        <v>Водитель-международник</v>
      </c>
      <c r="F12" s="8">
        <v>2700</v>
      </c>
    </row>
    <row r="13" spans="1:6" ht="14.25" x14ac:dyDescent="0.2">
      <c r="A13" s="3"/>
      <c r="B13" s="6">
        <v>9</v>
      </c>
      <c r="C13" s="102" t="str">
        <f>HYPERLINK("https://rabota.by/vacancy/37679369","JENTY")</f>
        <v>JENTY</v>
      </c>
      <c r="D13" s="8">
        <v>2000</v>
      </c>
      <c r="E13" s="103" t="str">
        <f>HYPERLINK("https://rabota.by/resume/22f09603000833721b0013a3fa34597252356f","Водитель-международник")</f>
        <v>Водитель-международник</v>
      </c>
      <c r="F13" s="8">
        <v>2500</v>
      </c>
    </row>
    <row r="14" spans="1:6" ht="14.25" x14ac:dyDescent="0.2">
      <c r="A14" s="3"/>
      <c r="B14" s="6">
        <v>10</v>
      </c>
      <c r="C14" s="102" t="str">
        <f>HYPERLINK("https://rabota.by/vacancy/46047226","KAPITAN")</f>
        <v>KAPITAN</v>
      </c>
      <c r="D14" s="8">
        <v>1000</v>
      </c>
      <c r="E14" s="103" t="str">
        <f>HYPERLINK("https://rabota.by/resume/9f38ceb80003b0c2490013a3fa365a73337742","Водитель-международник")</f>
        <v>Водитель-международник</v>
      </c>
      <c r="F14" s="8">
        <v>2500</v>
      </c>
    </row>
    <row r="15" spans="1:6" ht="14.25" x14ac:dyDescent="0.2">
      <c r="A15" s="3"/>
      <c r="B15" s="6">
        <v>11</v>
      </c>
      <c r="C15" s="102" t="str">
        <f>HYPERLINK("https://rabota.by/vacancy/49338315","ООО Транс Солюшнз БиУай")</f>
        <v>ООО Транс Солюшнз БиУай</v>
      </c>
      <c r="D15" s="8">
        <v>3000</v>
      </c>
      <c r="E15" s="103" t="str">
        <f>HYPERLINK("https://rabota.by/resume/8becbcc9000770af470013a3fa68693959416c","Водитель-международник")</f>
        <v>Водитель-международник</v>
      </c>
      <c r="F15" s="8">
        <v>2500</v>
      </c>
    </row>
    <row r="16" spans="1:6" ht="14.25" x14ac:dyDescent="0.2">
      <c r="A16" s="3"/>
      <c r="B16" s="6">
        <v>12</v>
      </c>
      <c r="C16" s="102" t="str">
        <f>HYPERLINK("https://rabota.by/vacancy/52104158","ООО Глобал Лит")</f>
        <v>ООО Глобал Лит</v>
      </c>
      <c r="D16" s="8">
        <v>3600</v>
      </c>
      <c r="E16" s="103" t="str">
        <f>HYPERLINK("https://rabota.by/resume/af6f601500089815920013a3fa7a33416f6836","Водитель-международник")</f>
        <v>Водитель-международник</v>
      </c>
      <c r="F16" s="8">
        <v>2500</v>
      </c>
    </row>
    <row r="17" spans="1:6" ht="14.25" x14ac:dyDescent="0.2">
      <c r="A17" s="3"/>
      <c r="B17" s="6">
        <v>13</v>
      </c>
      <c r="C17" s="102" t="str">
        <f>HYPERLINK("https://rabota.by/vacancy/51710758","ИнтерБалтик, ЧП")</f>
        <v>ИнтерБалтик, ЧП</v>
      </c>
      <c r="D17" s="8">
        <v>2300</v>
      </c>
      <c r="E17" s="103" t="str">
        <f>HYPERLINK("https://rabota.by/resume/437d8167000792064e0013a3fa4a746f617355","Водитель-международник")</f>
        <v>Водитель-международник</v>
      </c>
      <c r="F17" s="8">
        <v>2500</v>
      </c>
    </row>
    <row r="18" spans="1:6" ht="14.25" x14ac:dyDescent="0.2">
      <c r="A18" s="3"/>
      <c r="B18" s="6">
        <v>14</v>
      </c>
      <c r="C18" s="102" t="str">
        <f>HYPERLINK("https://rabota.by/vacancy/52157516","ООО ДАЛЬНИЕ ПЕРЕВОЗКИ")</f>
        <v>ООО ДАЛЬНИЕ ПЕРЕВОЗКИ</v>
      </c>
      <c r="D18" s="8">
        <v>2600</v>
      </c>
      <c r="E18" s="103" t="str">
        <f>HYPERLINK("https://rabota.by/resume/3d0ead6100060c4a420013a3fa724138636e49","Водитель-международник")</f>
        <v>Водитель-международник</v>
      </c>
      <c r="F18" s="8">
        <v>2500</v>
      </c>
    </row>
    <row r="19" spans="1:6" ht="14.25" x14ac:dyDescent="0.2">
      <c r="A19" s="3"/>
      <c r="B19" s="6">
        <v>15</v>
      </c>
      <c r="C19" s="102" t="str">
        <f>HYPERLINK("https://rabota.by/vacancy/51658157","УП ВСМ-Транс")</f>
        <v>УП ВСМ-Транс</v>
      </c>
      <c r="D19" s="8">
        <v>4000</v>
      </c>
      <c r="E19" s="103" t="str">
        <f>HYPERLINK("https://rabota.by/resume/35c8afca0002b43c640013a3fa464666424a74","Водитель-международник")</f>
        <v>Водитель-международник</v>
      </c>
      <c r="F19" s="8">
        <v>2500</v>
      </c>
    </row>
    <row r="20" spans="1:6" ht="14.25" x14ac:dyDescent="0.2">
      <c r="A20" s="3"/>
      <c r="B20" s="6">
        <v>16</v>
      </c>
      <c r="C20" s="102" t="str">
        <f>HYPERLINK("https://rabota.by/vacancy/46785429","ООО ИНТЕРТРАНСАВТО")</f>
        <v>ООО ИНТЕРТРАНСАВТО</v>
      </c>
      <c r="D20" s="8">
        <v>1500</v>
      </c>
      <c r="E20" s="103" t="str">
        <f>HYPERLINK("https://rabota.by/resume/997ae1db0002925f610013a3fa644435546162","Водитель-международник")</f>
        <v>Водитель-международник</v>
      </c>
      <c r="F20" s="8">
        <v>2500</v>
      </c>
    </row>
    <row r="21" spans="1:6" ht="14.25" x14ac:dyDescent="0.2">
      <c r="A21" s="3"/>
      <c r="B21" s="6">
        <v>17</v>
      </c>
      <c r="C21" s="102" t="str">
        <f>HYPERLINK("https://rabota.by/vacancy/51774990","АРИВТРАНСАВТО")</f>
        <v>АРИВТРАНСАВТО</v>
      </c>
      <c r="D21" s="8">
        <v>4500</v>
      </c>
      <c r="E21" s="103" t="str">
        <f>HYPERLINK("https://rabota.by/resume/1c5a3b3e0002cf53b60013a3fa76483473686c","Водитель-международник")</f>
        <v>Водитель-международник</v>
      </c>
      <c r="F21" s="8">
        <v>2500</v>
      </c>
    </row>
    <row r="22" spans="1:6" ht="14.25" x14ac:dyDescent="0.2">
      <c r="A22" s="3"/>
      <c r="B22" s="6">
        <v>18</v>
      </c>
      <c r="C22" s="102" t="str">
        <f>HYPERLINK("https://rabota.by/vacancy/51401690","ПрофМежТранс, ЧТУП")</f>
        <v>ПрофМежТранс, ЧТУП</v>
      </c>
      <c r="D22" s="8">
        <v>3900</v>
      </c>
      <c r="E22" s="103" t="str">
        <f>HYPERLINK("https://rabota.by/resume/e47e88d800067391cd0013a3fa305746707856","Водитель-международник")</f>
        <v>Водитель-международник</v>
      </c>
      <c r="F22" s="8">
        <v>2450</v>
      </c>
    </row>
    <row r="23" spans="1:6" ht="14.25" x14ac:dyDescent="0.2">
      <c r="A23" s="3"/>
      <c r="B23" s="6">
        <v>19</v>
      </c>
      <c r="C23" s="102" t="str">
        <f>HYPERLINK("https://rabota.by/vacancy/50030528","ООО ТрансГрузЛогистик")</f>
        <v>ООО ТрансГрузЛогистик</v>
      </c>
      <c r="D23" s="8">
        <v>2400</v>
      </c>
      <c r="E23" s="103" t="str">
        <f>HYPERLINK("https://rabota.by/resume/3cf621a200072c05ed0013a3fa485066584849","Водитель-международник")</f>
        <v>Водитель-международник</v>
      </c>
      <c r="F23" s="8">
        <v>2200</v>
      </c>
    </row>
    <row r="24" spans="1:6" ht="14.25" x14ac:dyDescent="0.2">
      <c r="A24" s="3"/>
      <c r="B24" s="6">
        <v>20</v>
      </c>
      <c r="C24" s="102" t="str">
        <f>HYPERLINK("https://rabota.by/vacancy/50965802","ООО КТЛ")</f>
        <v>ООО КТЛ</v>
      </c>
      <c r="D24" s="8">
        <v>1400</v>
      </c>
      <c r="E24" s="103" t="str">
        <f>HYPERLINK("https://rabota.by/resume/f0e0d19d0008d3018a0013a3fa62445a543950","Водитель-международник")</f>
        <v>Водитель-международник</v>
      </c>
      <c r="F24" s="8">
        <v>2000</v>
      </c>
    </row>
    <row r="25" spans="1:6" ht="14.25" x14ac:dyDescent="0.2">
      <c r="A25" s="3"/>
      <c r="B25" s="6">
        <v>21</v>
      </c>
      <c r="C25" s="102" t="str">
        <f>HYPERLINK("https://rabota.by/vacancy/52427065","СМВ-Скорость")</f>
        <v>СМВ-Скорость</v>
      </c>
      <c r="D25" s="8">
        <v>2500</v>
      </c>
      <c r="E25" s="103" t="str">
        <f>HYPERLINK("https://rabota.by/resume/fa6ef1d000092509bc0013a3fa33676c494d7a","Водитель-международник")</f>
        <v>Водитель-международник</v>
      </c>
      <c r="F25" s="8">
        <v>2000</v>
      </c>
    </row>
    <row r="26" spans="1:6" ht="14.25" x14ac:dyDescent="0.2">
      <c r="A26" s="3"/>
      <c r="B26" s="6">
        <v>22</v>
      </c>
      <c r="C26" s="102" t="str">
        <f>HYPERLINK("https://rabota.by/vacancy/52160716","ООО Нордвесттранс")</f>
        <v>ООО Нордвесттранс</v>
      </c>
      <c r="D26" s="8">
        <v>3500</v>
      </c>
      <c r="E26" s="103" t="str">
        <f>HYPERLINK("https://rabota.by/resume/0d9915a20006fad6b30013a3fa70593343514d","Водитель-международник")</f>
        <v>Водитель-международник</v>
      </c>
      <c r="F26" s="8">
        <v>2000</v>
      </c>
    </row>
    <row r="27" spans="1:6" ht="14.25" x14ac:dyDescent="0.2">
      <c r="A27" s="3"/>
      <c r="B27" s="6">
        <v>23</v>
      </c>
      <c r="C27" s="102" t="str">
        <f>HYPERLINK("https://rabota.by/vacancy/52534473","ООО МС-Логистик")</f>
        <v>ООО МС-Логистик</v>
      </c>
      <c r="D27" s="8">
        <v>2800</v>
      </c>
      <c r="E27" s="103" t="str">
        <f>HYPERLINK("https://rabota.by/resume/2ccb17e600090efc6b0013a3fa797537576159","Водитель-международник")</f>
        <v>Водитель-международник</v>
      </c>
      <c r="F27" s="8">
        <v>2000</v>
      </c>
    </row>
    <row r="28" spans="1:6" ht="14.25" x14ac:dyDescent="0.2">
      <c r="A28" s="3"/>
      <c r="B28" s="6">
        <v>24</v>
      </c>
      <c r="C28" s="102" t="str">
        <f>HYPERLINK("https://rabota.by/vacancy/50715843","ООО Лэнд Логистик")</f>
        <v>ООО Лэнд Логистик</v>
      </c>
      <c r="D28" s="8">
        <v>2000</v>
      </c>
      <c r="E28" s="103" t="str">
        <f>HYPERLINK("https://rabota.by/resume/9d4a038900023dbb540013a3fa66424f617634","Водитель-международник")</f>
        <v>Водитель-международник</v>
      </c>
      <c r="F28" s="8">
        <v>2000</v>
      </c>
    </row>
    <row r="29" spans="1:6" ht="14.25" x14ac:dyDescent="0.2">
      <c r="A29" s="3"/>
      <c r="B29" s="6">
        <v>25</v>
      </c>
      <c r="C29" s="102" t="str">
        <f>HYPERLINK("https://rabota.by/vacancy/52408630","ООО ОстВестТрансКар")</f>
        <v>ООО ОстВестТрансКар</v>
      </c>
      <c r="D29" s="8">
        <v>5700</v>
      </c>
      <c r="E29" s="103" t="str">
        <f>HYPERLINK("https://rabota.by/resume/8fe77c31000808391c0013a3fa36683450614f","Водитель-международник")</f>
        <v>Водитель-международник</v>
      </c>
      <c r="F29" s="8">
        <v>2000</v>
      </c>
    </row>
    <row r="30" spans="1:6" ht="14.25" x14ac:dyDescent="0.2">
      <c r="A30" s="3"/>
      <c r="B30" s="6">
        <v>26</v>
      </c>
      <c r="C30" s="102" t="str">
        <f>HYPERLINK("https://rabota.by/vacancy/51265990","БМСУ-4")</f>
        <v>БМСУ-4</v>
      </c>
      <c r="D30" s="8">
        <v>2500</v>
      </c>
      <c r="E30" s="103" t="str">
        <f>HYPERLINK("https://rabota.by/resume/6c77a3b0000755a3110013a3fa714664593458","Водитель-международник")</f>
        <v>Водитель-международник</v>
      </c>
      <c r="F30" s="8">
        <v>2000</v>
      </c>
    </row>
    <row r="31" spans="1:6" ht="14.25" x14ac:dyDescent="0.2">
      <c r="A31" s="3"/>
      <c r="B31" s="6">
        <v>27</v>
      </c>
      <c r="C31" s="102" t="str">
        <f>HYPERLINK("https://rabota.by/vacancy/51890971","УП Термотрак")</f>
        <v>УП Термотрак</v>
      </c>
      <c r="D31" s="8">
        <v>1500</v>
      </c>
      <c r="E31" s="103" t="str">
        <f>HYPERLINK("https://rabota.by/resume/0804b4920005315b9e0013a3fa4a30774c526a","Водитель-международник")</f>
        <v>Водитель-международник</v>
      </c>
      <c r="F31" s="8">
        <v>2000</v>
      </c>
    </row>
    <row r="32" spans="1:6" ht="14.25" x14ac:dyDescent="0.2">
      <c r="A32" s="3"/>
      <c r="B32" s="6">
        <v>28</v>
      </c>
      <c r="C32" s="102" t="str">
        <f>HYPERLINK("https://rabota.by/vacancy/50751842","ООО АвтоТракЛогистик")</f>
        <v>ООО АвтоТракЛогистик</v>
      </c>
      <c r="D32" s="8">
        <v>1100</v>
      </c>
      <c r="E32" s="103" t="str">
        <f>HYPERLINK("https://rabota.by/resume/bd9a02c3000822f5e50013a3fa497434417877","Водитель-международник")</f>
        <v>Водитель-международник</v>
      </c>
      <c r="F32" s="8">
        <v>2000</v>
      </c>
    </row>
    <row r="33" spans="1:6" ht="14.25" x14ac:dyDescent="0.2">
      <c r="A33" s="3"/>
      <c r="B33" s="6">
        <v>29</v>
      </c>
      <c r="C33" s="102" t="str">
        <f>HYPERLINK("https://rabota.by/vacancy/46484333","ООО ИНТЕРТРАНСАВТО")</f>
        <v>ООО ИНТЕРТРАНСАВТО</v>
      </c>
      <c r="D33" s="8">
        <v>1500</v>
      </c>
      <c r="E33" s="103" t="str">
        <f>HYPERLINK("https://rabota.by/resume/44742da800035f2b020013a3fa4c3362664977","Водитель-международник")</f>
        <v>Водитель-международник</v>
      </c>
      <c r="F33" s="8">
        <v>2000</v>
      </c>
    </row>
    <row r="34" spans="1:6" ht="14.25" x14ac:dyDescent="0.2">
      <c r="A34" s="3"/>
      <c r="B34" s="6">
        <v>30</v>
      </c>
      <c r="C34" s="102" t="str">
        <f>HYPERLINK("https://rabota.by/vacancy/52341107","ООО Транзит Логистик")</f>
        <v>ООО Транзит Логистик</v>
      </c>
      <c r="D34" s="8">
        <v>1500</v>
      </c>
      <c r="E34" s="103" t="str">
        <f>HYPERLINK("https://rabota.by/resume/65b8b9dc0007ce798f0013a3fa304357537752","Водитель-международник")</f>
        <v>Водитель-международник</v>
      </c>
      <c r="F34" s="8">
        <v>2000</v>
      </c>
    </row>
    <row r="35" spans="1:6" ht="14.25" x14ac:dyDescent="0.2">
      <c r="A35" s="3"/>
      <c r="B35" s="6">
        <v>31</v>
      </c>
      <c r="C35" s="102" t="str">
        <f>HYPERLINK("https://rabota.by/vacancy/51947015","ООО Автологистика Запад")</f>
        <v>ООО Автологистика Запад</v>
      </c>
      <c r="D35" s="8">
        <v>4000</v>
      </c>
      <c r="E35" s="103" t="str">
        <f>HYPERLINK("https://rabota.by/resume/706dfd8e000176a3530013a3fa54356b533055","Водитель-международник")</f>
        <v>Водитель-международник</v>
      </c>
      <c r="F35" s="8">
        <v>2000</v>
      </c>
    </row>
    <row r="36" spans="1:6" ht="14.25" x14ac:dyDescent="0.2">
      <c r="A36" s="3"/>
      <c r="B36" s="6">
        <v>32</v>
      </c>
      <c r="C36" s="102" t="str">
        <f>HYPERLINK("https://rabota.by/vacancy/49287006","ООО ЮПИН")</f>
        <v>ООО ЮПИН</v>
      </c>
      <c r="D36" s="8">
        <v>4000</v>
      </c>
      <c r="E36" s="103" t="str">
        <f>HYPERLINK("https://rabota.by/resume/fd2ad6e100034003340013a3fa446b4857666c","Водитель-международник")</f>
        <v>Водитель-международник</v>
      </c>
      <c r="F36" s="8">
        <v>2000</v>
      </c>
    </row>
    <row r="37" spans="1:6" ht="14.25" x14ac:dyDescent="0.2">
      <c r="A37" s="3"/>
      <c r="B37" s="6">
        <v>33</v>
      </c>
      <c r="C37" s="102" t="str">
        <f>HYPERLINK("https://rabota.by/vacancy/51173929","ООО ИНТЕРВЕСТКАМПАНИ")</f>
        <v>ООО ИНТЕРВЕСТКАМПАНИ</v>
      </c>
      <c r="D37" s="8">
        <v>3000</v>
      </c>
      <c r="E37" s="103" t="str">
        <f>HYPERLINK("https://rabota.by/resume/d6aba24f0007ee842a0013a3fa6f69517a5776","Водитель-международник")</f>
        <v>Водитель-международник</v>
      </c>
      <c r="F37" s="8">
        <v>2000</v>
      </c>
    </row>
    <row r="38" spans="1:6" ht="14.25" x14ac:dyDescent="0.2">
      <c r="A38" s="3"/>
      <c r="B38" s="6">
        <v>34</v>
      </c>
      <c r="C38" s="102" t="str">
        <f>HYPERLINK("https://rabota.by/vacancy/52187733","КириОл-Транс")</f>
        <v>КириОл-Транс</v>
      </c>
      <c r="D38" s="8">
        <v>1500</v>
      </c>
      <c r="E38" s="103" t="str">
        <f>HYPERLINK("https://rabota.by/resume/012ba1ec00018f919a0013a3fa76356b367158","Водитель-международник")</f>
        <v>Водитель-международник</v>
      </c>
      <c r="F38" s="8">
        <v>1800</v>
      </c>
    </row>
    <row r="39" spans="1:6" ht="14.25" x14ac:dyDescent="0.2">
      <c r="A39" s="3"/>
      <c r="B39" s="6">
        <v>35</v>
      </c>
      <c r="C39" s="102" t="str">
        <f>HYPERLINK("https://rabota.by/vacancy/52394332","ООО ТрансКомБел Экспедиция")</f>
        <v>ООО ТрансКомБел Экспедиция</v>
      </c>
      <c r="D39" s="8">
        <v>1800</v>
      </c>
      <c r="E39" s="103" t="str">
        <f>HYPERLINK("https://rabota.by/resume/21f59a5700094594410013a3fa66494b6c6b43","Водитель-международник")</f>
        <v>Водитель-международник</v>
      </c>
      <c r="F39" s="8">
        <v>1700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1440</v>
      </c>
      <c r="E40" s="11" t="s">
        <v>6</v>
      </c>
      <c r="F40" s="12">
        <f>IFERROR(PERCENTILE(F5:F39,0.1),"-")</f>
        <v>2000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1650</v>
      </c>
      <c r="E41" s="14" t="s">
        <v>7</v>
      </c>
      <c r="F41" s="15">
        <f>IFERROR(QUARTILE(F5:F39, 1),"-")</f>
        <v>2000</v>
      </c>
    </row>
    <row r="42" spans="1:6" ht="15" x14ac:dyDescent="0.25">
      <c r="A42" s="9"/>
      <c r="B42" s="16"/>
      <c r="C42" s="17" t="s">
        <v>8</v>
      </c>
      <c r="D42" s="18">
        <f>IFERROR(MEDIAN(D5:D39),"-")</f>
        <v>2500</v>
      </c>
      <c r="E42" s="17" t="s">
        <v>8</v>
      </c>
      <c r="F42" s="18">
        <f>IFERROR(MEDIAN(F5:F39),"-")</f>
        <v>2450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3550</v>
      </c>
      <c r="E43" s="20" t="s">
        <v>9</v>
      </c>
      <c r="F43" s="21">
        <f>IFERROR(QUARTILE(F5:F39,3), "-")</f>
        <v>2500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4000</v>
      </c>
      <c r="E44" s="23" t="s">
        <v>10</v>
      </c>
      <c r="F44" s="24">
        <f>IFERROR(PERCENTILE(F5:F39,0.9),"-")</f>
        <v>3300.0000000000009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1500</v>
      </c>
    </row>
    <row r="48" spans="1:6" ht="14.25" x14ac:dyDescent="0.2">
      <c r="C48" s="90" t="s">
        <v>7</v>
      </c>
      <c r="D48" s="91">
        <f>IFERROR(QUARTILE(D5:F39, 1),"-")</f>
        <v>2000</v>
      </c>
    </row>
    <row r="49" spans="3:4" ht="14.25" x14ac:dyDescent="0.2">
      <c r="C49" s="92" t="s">
        <v>8</v>
      </c>
      <c r="D49" s="93">
        <f>IFERROR(MEDIAN(D5:D39,F5:F39),"-")</f>
        <v>2500</v>
      </c>
    </row>
    <row r="50" spans="3:4" ht="14.25" x14ac:dyDescent="0.2">
      <c r="C50" s="94" t="s">
        <v>9</v>
      </c>
      <c r="D50" s="95">
        <f>IFERROR(QUARTILE(D5:F39,3), "-")</f>
        <v>3000</v>
      </c>
    </row>
    <row r="51" spans="3:4" ht="14.25" x14ac:dyDescent="0.2">
      <c r="C51" s="96" t="s">
        <v>10</v>
      </c>
      <c r="D51" s="97">
        <f>IFERROR(PERCENTILE(D5:F39,0.9),"-")</f>
        <v>3910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4" t="s">
        <v>0</v>
      </c>
      <c r="C1" s="104"/>
      <c r="D1" s="104"/>
      <c r="E1" s="104"/>
      <c r="F1" s="104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94</v>
      </c>
      <c r="D3" s="2" t="s">
        <v>95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92</v>
      </c>
      <c r="E4" s="100" t="s">
        <v>5</v>
      </c>
      <c r="F4" s="100" t="s">
        <v>92</v>
      </c>
    </row>
    <row r="5" spans="1:6" ht="14.25" x14ac:dyDescent="0.2">
      <c r="A5" s="3"/>
      <c r="B5" s="6">
        <v>1</v>
      </c>
      <c r="C5" s="102" t="str">
        <f>HYPERLINK("https://rabota.by/vacancy/41681690","ТУТ и ТАМ Логистикс")</f>
        <v>ТУТ и ТАМ Логистикс</v>
      </c>
      <c r="D5" s="8">
        <v>2300</v>
      </c>
      <c r="E5" s="103" t="str">
        <f>HYPERLINK("https://rabota.by/resume/fcdd214e0009aa85bb0013a3fa367852586849","Водитель")</f>
        <v>Водитель</v>
      </c>
      <c r="F5" s="8">
        <v>1500</v>
      </c>
    </row>
    <row r="6" spans="1:6" ht="14.25" x14ac:dyDescent="0.2">
      <c r="A6" s="3"/>
      <c r="B6" s="6">
        <v>2</v>
      </c>
      <c r="C6" s="102" t="str">
        <f>HYPERLINK("https://rabota.by/vacancy/43640786","Группа компаний НП-Сервис")</f>
        <v>Группа компаний НП-Сервис</v>
      </c>
      <c r="D6" s="8">
        <v>2550</v>
      </c>
      <c r="E6" s="103" t="str">
        <f>HYPERLINK("https://rabota.by/resume/81ae956c0009aa83f10013a3fa69383843734e","Водитель")</f>
        <v>Водитель</v>
      </c>
      <c r="F6" s="8">
        <v>1500</v>
      </c>
    </row>
    <row r="7" spans="1:6" ht="14.25" x14ac:dyDescent="0.2">
      <c r="A7" s="3"/>
      <c r="B7" s="6">
        <v>3</v>
      </c>
      <c r="C7" s="102" t="str">
        <f>HYPERLINK("https://rabota.by/vacancy/41681791","ТУТ и ТАМ Логистикс")</f>
        <v>ТУТ и ТАМ Логистикс</v>
      </c>
      <c r="D7" s="8">
        <v>2300</v>
      </c>
      <c r="E7" s="103" t="str">
        <f>HYPERLINK("https://rabota.by/resume/5e6c00e9000987d9fc0013a3fa6179676f416d","Водитель")</f>
        <v>Водитель</v>
      </c>
      <c r="F7" s="8">
        <v>1500</v>
      </c>
    </row>
    <row r="8" spans="1:6" ht="14.25" x14ac:dyDescent="0.2">
      <c r="A8" s="3"/>
      <c r="B8" s="6">
        <v>4</v>
      </c>
      <c r="C8" s="102" t="str">
        <f>HYPERLINK("https://rabota.by/vacancy/48081410","ООО Сэльвин")</f>
        <v>ООО Сэльвин</v>
      </c>
      <c r="D8" s="8">
        <v>1750</v>
      </c>
      <c r="E8" s="103" t="str">
        <f>HYPERLINK("https://rabota.by/resume/40290f0c0009b0d4ee0013a3fa4673796b704b","Водитель")</f>
        <v>Водитель</v>
      </c>
      <c r="F8" s="8">
        <v>1500</v>
      </c>
    </row>
    <row r="9" spans="1:6" ht="14.25" x14ac:dyDescent="0.2">
      <c r="A9" s="3"/>
      <c r="B9" s="6">
        <v>5</v>
      </c>
      <c r="C9" s="102" t="str">
        <f>HYPERLINK("https://rabota.by/vacancy/52191917","ООО Доминоспицца")</f>
        <v>ООО Доминоспицца</v>
      </c>
      <c r="D9" s="8">
        <v>1600</v>
      </c>
      <c r="E9" s="103" t="str">
        <f>HYPERLINK("https://rabota.by/resume/9d9f669b0008281c840013a3fa68624e6e3335","Водитель")</f>
        <v>Водитель</v>
      </c>
      <c r="F9" s="8">
        <v>1500</v>
      </c>
    </row>
    <row r="10" spans="1:6" ht="14.25" x14ac:dyDescent="0.2">
      <c r="A10" s="3"/>
      <c r="B10" s="6">
        <v>6</v>
      </c>
      <c r="C10" s="102" t="str">
        <f>HYPERLINK("https://rabota.by/vacancy/47231915","УП Филиал №1 Унитарного предприятия Вторичный щебень")</f>
        <v>УП Филиал №1 Унитарного предприятия Вторичный щебень</v>
      </c>
      <c r="D10" s="8">
        <v>2200</v>
      </c>
      <c r="E10" s="103" t="str">
        <f>HYPERLINK("https://rabota.by/resume/40a0fb0200078286d40013a3fa6250687a4478","Водитель")</f>
        <v>Водитель</v>
      </c>
      <c r="F10" s="8">
        <v>1500</v>
      </c>
    </row>
    <row r="11" spans="1:6" ht="14.25" x14ac:dyDescent="0.2">
      <c r="A11" s="3"/>
      <c r="B11" s="6">
        <v>7</v>
      </c>
      <c r="C11" s="102" t="str">
        <f>HYPERLINK("https://rabota.by/vacancy/52166423","ООО Филиал УМ-208 ОАО Стройтрест № 4")</f>
        <v>ООО Филиал УМ-208 ОАО Стройтрест № 4</v>
      </c>
      <c r="D11" s="8">
        <v>1300</v>
      </c>
      <c r="E11" s="103" t="str">
        <f>HYPERLINK("https://rabota.by/resume/7bcf64ce00053c5db20013a3fa4e424c6d6438","Водитель")</f>
        <v>Водитель</v>
      </c>
      <c r="F11" s="8">
        <v>1500</v>
      </c>
    </row>
    <row r="12" spans="1:6" ht="14.25" x14ac:dyDescent="0.2">
      <c r="A12" s="3"/>
      <c r="B12" s="6">
        <v>8</v>
      </c>
      <c r="C12" s="102" t="str">
        <f>HYPERLINK("https://rabota.by/vacancy/52526097","ООО ТрайдексБелПлюс")</f>
        <v>ООО ТрайдексБелПлюс</v>
      </c>
      <c r="D12" s="8">
        <v>1100</v>
      </c>
      <c r="E12" s="103" t="str">
        <f>HYPERLINK("https://rabota.by/resume/e63517c700018b2f840013a3fa443242746c4e","Водитель")</f>
        <v>Водитель</v>
      </c>
      <c r="F12" s="8">
        <v>1500</v>
      </c>
    </row>
    <row r="13" spans="1:6" ht="14.25" x14ac:dyDescent="0.2">
      <c r="A13" s="3"/>
      <c r="B13" s="6">
        <v>9</v>
      </c>
      <c r="C13" s="102" t="str">
        <f>HYPERLINK("https://rabota.by/vacancy/51942233","ОСТРОВ ЧИСТОТЫ")</f>
        <v>ОСТРОВ ЧИСТОТЫ</v>
      </c>
      <c r="D13" s="8">
        <v>1800</v>
      </c>
      <c r="E13" s="103" t="str">
        <f>HYPERLINK("https://rabota.by/resume/529f81320009af7be00013a3fa6a6353493235","Водитель")</f>
        <v>Водитель</v>
      </c>
      <c r="F13" s="8">
        <v>1500</v>
      </c>
    </row>
    <row r="14" spans="1:6" ht="14.25" x14ac:dyDescent="0.2">
      <c r="A14" s="3"/>
      <c r="B14" s="6">
        <v>10</v>
      </c>
      <c r="C14" s="102" t="str">
        <f>HYPERLINK("https://rabota.by/vacancy/52286988","ООО ПОТОК ГРУПП")</f>
        <v>ООО ПОТОК ГРУПП</v>
      </c>
      <c r="D14" s="8">
        <v>1300</v>
      </c>
      <c r="E14" s="103" t="str">
        <f>HYPERLINK("https://rabota.by/resume/f413f99b00098c54530013a3fa44554a365967","Водитель")</f>
        <v>Водитель</v>
      </c>
      <c r="F14" s="8">
        <v>1500</v>
      </c>
    </row>
    <row r="15" spans="1:6" ht="14.25" x14ac:dyDescent="0.2">
      <c r="A15" s="3"/>
      <c r="B15" s="6">
        <v>11</v>
      </c>
      <c r="C15" s="102" t="str">
        <f>HYPERLINK("https://rabota.by/vacancy/52283323","Нордар")</f>
        <v>Нордар</v>
      </c>
      <c r="D15" s="8">
        <v>1500</v>
      </c>
      <c r="E15" s="103" t="str">
        <f>HYPERLINK("https://rabota.by/resume/76f87f5b00022b9ddf0013a3fa37704e767641","Водитель")</f>
        <v>Водитель</v>
      </c>
      <c r="F15" s="8">
        <v>1500</v>
      </c>
    </row>
    <row r="16" spans="1:6" ht="14.25" x14ac:dyDescent="0.2">
      <c r="A16" s="3"/>
      <c r="B16" s="6">
        <v>12</v>
      </c>
      <c r="C16" s="102" t="str">
        <f>HYPERLINK("https://rabota.by/vacancy/52532873","Возим-Бай")</f>
        <v>Возим-Бай</v>
      </c>
      <c r="D16" s="8">
        <v>1700</v>
      </c>
      <c r="E16" s="103" t="str">
        <f>HYPERLINK("https://rabota.by/resume/583f7e4700076209d00013a3fa424f57703832","Водитель")</f>
        <v>Водитель</v>
      </c>
      <c r="F16" s="8">
        <v>1400</v>
      </c>
    </row>
    <row r="17" spans="1:6" ht="14.25" x14ac:dyDescent="0.2">
      <c r="A17" s="3"/>
      <c r="B17" s="6">
        <v>13</v>
      </c>
      <c r="C17" s="102" t="str">
        <f>HYPERLINK("https://rabota.by/vacancy/52529782","УП БЕЛГАЗТЕХНИКА")</f>
        <v>УП БЕЛГАЗТЕХНИКА</v>
      </c>
      <c r="D17" s="8">
        <v>1000</v>
      </c>
      <c r="E17" s="103" t="str">
        <f>HYPERLINK("https://rabota.by/resume/2315560c0008797e470013a3fa6d476f465933","Водитель")</f>
        <v>Водитель</v>
      </c>
      <c r="F17" s="8">
        <v>1400</v>
      </c>
    </row>
    <row r="18" spans="1:6" ht="14.25" x14ac:dyDescent="0.2">
      <c r="A18" s="3"/>
      <c r="B18" s="6">
        <v>14</v>
      </c>
      <c r="C18" s="102" t="str">
        <f>HYPERLINK("https://rabota.by/vacancy/51977557","ОАО Нерудпром")</f>
        <v>ОАО Нерудпром</v>
      </c>
      <c r="D18" s="8">
        <v>1100</v>
      </c>
      <c r="E18" s="103" t="str">
        <f>HYPERLINK("https://rabota.by/resume/10dfad740001c8d9930013a3fa6577356b3371","Водитель")</f>
        <v>Водитель</v>
      </c>
      <c r="F18" s="8">
        <v>1300</v>
      </c>
    </row>
    <row r="19" spans="1:6" ht="14.25" x14ac:dyDescent="0.2">
      <c r="A19" s="3"/>
      <c r="B19" s="6">
        <v>15</v>
      </c>
      <c r="C19" s="102" t="str">
        <f>HYPERLINK("https://rabota.by/vacancy/51760873","ЗАО Банк ВТБ (Беларусь). Back-office ")</f>
        <v xml:space="preserve">ЗАО Банк ВТБ (Беларусь). Back-office </v>
      </c>
      <c r="D19" s="8">
        <v>1250</v>
      </c>
      <c r="E19" s="103" t="str">
        <f>HYPERLINK("https://rabota.by/resume/545305810007c8fafc0013a3fa343745636a46","Водитель")</f>
        <v>Водитель</v>
      </c>
      <c r="F19" s="8">
        <v>1300</v>
      </c>
    </row>
    <row r="20" spans="1:6" ht="14.25" x14ac:dyDescent="0.2">
      <c r="A20" s="3"/>
      <c r="B20" s="6">
        <v>16</v>
      </c>
      <c r="C20" s="102" t="str">
        <f>HYPERLINK("https://rabota.by/vacancy/52272601","ООО Автоспейс")</f>
        <v>ООО Автоспейс</v>
      </c>
      <c r="D20" s="8">
        <v>1900</v>
      </c>
      <c r="E20" s="103" t="str">
        <f>HYPERLINK("https://rabota.by/resume/af57037300056b4c000013a3fa5956726f7857","Водитель")</f>
        <v>Водитель</v>
      </c>
      <c r="F20" s="8">
        <v>1300</v>
      </c>
    </row>
    <row r="21" spans="1:6" ht="14.25" x14ac:dyDescent="0.2">
      <c r="A21" s="3"/>
      <c r="B21" s="6">
        <v>17</v>
      </c>
      <c r="C21" s="102" t="str">
        <f>HYPERLINK("https://rabota.by/vacancy/52490111","СтройМонолит")</f>
        <v>СтройМонолит</v>
      </c>
      <c r="D21" s="8">
        <v>1200</v>
      </c>
      <c r="E21" s="103" t="str">
        <f>HYPERLINK("https://rabota.by/resume/18e03ac80002dbb3ae0013a3fa793933424c68","Водитель")</f>
        <v>Водитель</v>
      </c>
      <c r="F21" s="8">
        <v>1300</v>
      </c>
    </row>
    <row r="22" spans="1:6" ht="14.25" x14ac:dyDescent="0.2">
      <c r="A22" s="3"/>
      <c r="B22" s="6">
        <v>18</v>
      </c>
      <c r="C22" s="102" t="str">
        <f>HYPERLINK("https://rabota.by/vacancy/52523802","УП Унитарное предприятие «Кока-Кола Бевриджиз Белоруссия»")</f>
        <v>УП Унитарное предприятие «Кока-Кола Бевриджиз Белоруссия»</v>
      </c>
      <c r="D22" s="8">
        <v>1700</v>
      </c>
      <c r="E22" s="103" t="str">
        <f>HYPERLINK("https://rabota.by/resume/91750c8600020912c10013a3fa76477772754f","Водитель")</f>
        <v>Водитель</v>
      </c>
      <c r="F22" s="8">
        <v>1300</v>
      </c>
    </row>
    <row r="23" spans="1:6" ht="14.25" x14ac:dyDescent="0.2">
      <c r="A23" s="3"/>
      <c r="B23" s="6">
        <v>19</v>
      </c>
      <c r="C23" s="102" t="str">
        <f>HYPERLINK("https://rabota.by/vacancy/51234976","ООО АстраСинтез")</f>
        <v>ООО АстраСинтез</v>
      </c>
      <c r="D23" s="8">
        <v>2400</v>
      </c>
      <c r="E23" s="103" t="str">
        <f>HYPERLINK("https://rabota.by/resume/8bbb74a300077d1bc00013a3fa4f654d456161","Водитель")</f>
        <v>Водитель</v>
      </c>
      <c r="F23" s="8">
        <v>1300</v>
      </c>
    </row>
    <row r="24" spans="1:6" ht="14.25" x14ac:dyDescent="0.2">
      <c r="A24" s="3"/>
      <c r="B24" s="6">
        <v>20</v>
      </c>
      <c r="C24" s="102" t="str">
        <f>HYPERLINK("https://rabota.by/vacancy/51727924","ООО ЛанаТрансЛайн")</f>
        <v>ООО ЛанаТрансЛайн</v>
      </c>
      <c r="D24" s="8">
        <v>3000</v>
      </c>
      <c r="E24" s="103" t="str">
        <f>HYPERLINK("https://rabota.by/resume/34568ebd0009626eab0013a3fa766465514137","Водитель")</f>
        <v>Водитель</v>
      </c>
      <c r="F24" s="8">
        <v>1300</v>
      </c>
    </row>
    <row r="25" spans="1:6" ht="14.25" x14ac:dyDescent="0.2">
      <c r="A25" s="3"/>
      <c r="B25" s="6">
        <v>21</v>
      </c>
      <c r="C25" s="102" t="str">
        <f>HYPERLINK("https://rabota.by/vacancy/52469777","Твой строитель")</f>
        <v>Твой строитель</v>
      </c>
      <c r="D25" s="8">
        <v>1200</v>
      </c>
      <c r="E25" s="103" t="str">
        <f>HYPERLINK("https://rabota.by/resume/a3463acf0008c643730013a3fa3647334a4745","Водитель")</f>
        <v>Водитель</v>
      </c>
      <c r="F25" s="8">
        <v>1200</v>
      </c>
    </row>
    <row r="26" spans="1:6" ht="14.25" x14ac:dyDescent="0.2">
      <c r="A26" s="3"/>
      <c r="B26" s="6">
        <v>22</v>
      </c>
      <c r="C26" s="102" t="str">
        <f>HYPERLINK("https://rabota.by/vacancy/50592962","Алютех, Группа компаний")</f>
        <v>Алютех, Группа компаний</v>
      </c>
      <c r="D26" s="8">
        <v>1250</v>
      </c>
      <c r="E26" s="103" t="str">
        <f>HYPERLINK("https://rabota.by/resume/6bbd32220009925ac40013a3fa5542626c6268","Водитель")</f>
        <v>Водитель</v>
      </c>
      <c r="F26" s="8">
        <v>1200</v>
      </c>
    </row>
    <row r="27" spans="1:6" ht="14.25" x14ac:dyDescent="0.2">
      <c r="A27" s="3"/>
      <c r="B27" s="6">
        <v>23</v>
      </c>
      <c r="C27" s="102" t="str">
        <f>HYPERLINK("https://rabota.by/vacancy/52398714","ЧТУП МДС-Транс")</f>
        <v>ЧТУП МДС-Транс</v>
      </c>
      <c r="D27" s="8">
        <v>1500</v>
      </c>
      <c r="E27" s="103" t="str">
        <f>HYPERLINK("https://rabota.by/resume/e5aa389d0007a8aecf0013a3fa544151514369","Водитель")</f>
        <v>Водитель</v>
      </c>
      <c r="F27" s="8">
        <v>1200</v>
      </c>
    </row>
    <row r="28" spans="1:6" ht="14.25" x14ac:dyDescent="0.2">
      <c r="A28" s="3"/>
      <c r="B28" s="6">
        <v>24</v>
      </c>
      <c r="C28" s="102" t="str">
        <f>HYPERLINK("https://rabota.by/vacancy/51712836","ООО СВИАТ")</f>
        <v>ООО СВИАТ</v>
      </c>
      <c r="D28" s="8">
        <v>1200</v>
      </c>
      <c r="E28" s="103" t="str">
        <f>HYPERLINK("https://rabota.by/resume/6fe5547800085b56e10013a3fa4f6137426d6b","Водитель")</f>
        <v>Водитель</v>
      </c>
      <c r="F28" s="8">
        <v>1200</v>
      </c>
    </row>
    <row r="29" spans="1:6" ht="14.25" x14ac:dyDescent="0.2">
      <c r="A29" s="3"/>
      <c r="B29" s="6">
        <v>25</v>
      </c>
      <c r="C29" s="102" t="str">
        <f>HYPERLINK("https://rabota.by/vacancy/52480076","ООО Аутсорс-Партнер")</f>
        <v>ООО Аутсорс-Партнер</v>
      </c>
      <c r="D29" s="8">
        <v>2400</v>
      </c>
      <c r="E29" s="103" t="str">
        <f>HYPERLINK("https://rabota.by/resume/a0c284e30008920fa30013a3fa4c6e4b464331","Водитель")</f>
        <v>Водитель</v>
      </c>
      <c r="F29" s="8">
        <v>1200</v>
      </c>
    </row>
    <row r="30" spans="1:6" ht="14.25" x14ac:dyDescent="0.2">
      <c r="A30" s="3"/>
      <c r="B30" s="6">
        <v>26</v>
      </c>
      <c r="C30" s="102" t="str">
        <f>HYPERLINK("https://rabota.by/vacancy/51960151","Юмабел")</f>
        <v>Юмабел</v>
      </c>
      <c r="D30" s="8">
        <v>1800</v>
      </c>
      <c r="E30" s="103" t="str">
        <f>HYPERLINK("https://rabota.by/resume/e94747370008e2c7db0013a3fa397372755149","Водитель")</f>
        <v>Водитель</v>
      </c>
      <c r="F30" s="8">
        <v>1200</v>
      </c>
    </row>
    <row r="31" spans="1:6" ht="14.25" x14ac:dyDescent="0.2">
      <c r="A31" s="3"/>
      <c r="B31" s="6">
        <v>27</v>
      </c>
      <c r="C31" s="102" t="str">
        <f>HYPERLINK("https://rabota.by/vacancy/51328676","ИП Ворович С. Д.")</f>
        <v>ИП Ворович С. Д.</v>
      </c>
      <c r="D31" s="8">
        <v>1700</v>
      </c>
      <c r="E31" s="103" t="str">
        <f>HYPERLINK("https://rabota.by/resume/291a3e480008030a080013a3fa4130416b795a","Водитель")</f>
        <v>Водитель</v>
      </c>
      <c r="F31" s="8">
        <v>1200</v>
      </c>
    </row>
    <row r="32" spans="1:6" ht="14.25" x14ac:dyDescent="0.2">
      <c r="A32" s="3"/>
      <c r="B32" s="6">
        <v>28</v>
      </c>
      <c r="C32" s="102" t="str">
        <f>HYPERLINK("https://rabota.by/vacancy/52495325","ООО Е-авто (ООО «Еврооптавто» )")</f>
        <v>ООО Е-авто (ООО «Еврооптавто» )</v>
      </c>
      <c r="D32" s="8">
        <v>2100</v>
      </c>
      <c r="E32" s="103" t="str">
        <f>HYPERLINK("https://rabota.by/resume/6a261eb300083044b60013a3fa6351334f7667","Водитель")</f>
        <v>Водитель</v>
      </c>
      <c r="F32" s="8">
        <v>1111</v>
      </c>
    </row>
    <row r="33" spans="1:6" ht="14.25" x14ac:dyDescent="0.2">
      <c r="A33" s="3"/>
      <c r="B33" s="6">
        <v>29</v>
      </c>
      <c r="C33" s="102" t="str">
        <f>HYPERLINK("https://rabota.by/vacancy/52493257","ООО Е-авто (ООО «Еврооптавто» )")</f>
        <v>ООО Е-авто (ООО «Еврооптавто» )</v>
      </c>
      <c r="D33" s="8">
        <v>1600</v>
      </c>
      <c r="E33" s="103" t="str">
        <f>HYPERLINK("https://rabota.by/resume/b696be890009793ffd0013a3fa393670506644","Водитель")</f>
        <v>Водитель</v>
      </c>
      <c r="F33" s="8">
        <v>1100</v>
      </c>
    </row>
    <row r="34" spans="1:6" ht="14.25" x14ac:dyDescent="0.2">
      <c r="A34" s="3"/>
      <c r="B34" s="6">
        <v>30</v>
      </c>
      <c r="C34" s="102" t="str">
        <f>HYPERLINK("https://rabota.by/vacancy/52058249","ИП Юрченко И. Н.")</f>
        <v>ИП Юрченко И. Н.</v>
      </c>
      <c r="D34" s="8">
        <v>1500</v>
      </c>
      <c r="E34" s="103" t="str">
        <f>HYPERLINK("https://rabota.by/resume/6bd961180007e986190013a3fa486c53613053","Водитель")</f>
        <v>Водитель</v>
      </c>
      <c r="F34" s="8">
        <v>1100</v>
      </c>
    </row>
    <row r="35" spans="1:6" ht="14.25" x14ac:dyDescent="0.2">
      <c r="A35" s="3"/>
      <c r="B35" s="6">
        <v>31</v>
      </c>
      <c r="C35" s="102" t="str">
        <f>HYPERLINK("https://rabota.by/vacancy/52479798","ООО Е-авто (ООО «Еврооптавто» )")</f>
        <v>ООО Е-авто (ООО «Еврооптавто» )</v>
      </c>
      <c r="D35" s="8">
        <v>2100</v>
      </c>
      <c r="E35" s="103" t="str">
        <f>HYPERLINK("https://rabota.by/resume/7eea05570009a23a960013a3fa6166524e6a54","Водитель")</f>
        <v>Водитель</v>
      </c>
      <c r="F35" s="8">
        <v>1080</v>
      </c>
    </row>
    <row r="36" spans="1:6" ht="14.25" x14ac:dyDescent="0.2">
      <c r="A36" s="3"/>
      <c r="B36" s="6">
        <v>32</v>
      </c>
      <c r="C36" s="102" t="str">
        <f>HYPERLINK("https://rabota.by/vacancy/52429291","ООО ГИДРОМАШСЕРВИС")</f>
        <v>ООО ГИДРОМАШСЕРВИС</v>
      </c>
      <c r="D36" s="8">
        <v>1200</v>
      </c>
      <c r="E36" s="103" t="str">
        <f>HYPERLINK("https://rabota.by/resume/1c73f6550008f0c5100013a3fa34785a57494b","Водитель")</f>
        <v>Водитель</v>
      </c>
      <c r="F36" s="8">
        <v>1000</v>
      </c>
    </row>
    <row r="37" spans="1:6" ht="14.25" x14ac:dyDescent="0.2">
      <c r="A37" s="3"/>
      <c r="B37" s="6">
        <v>33</v>
      </c>
      <c r="C37" s="102" t="str">
        <f>HYPERLINK("https://rabota.by/vacancy/52041376","МИНСКАЯ ОВОЩНАЯ ФАБРИКА")</f>
        <v>МИНСКАЯ ОВОЩНАЯ ФАБРИКА</v>
      </c>
      <c r="D37" s="8">
        <v>900</v>
      </c>
      <c r="E37" s="103" t="str">
        <f>HYPERLINK("https://rabota.by/resume/413c42b200087e768f0013a3fa486777736334","Водитель")</f>
        <v>Водитель</v>
      </c>
      <c r="F37" s="8">
        <v>1000</v>
      </c>
    </row>
    <row r="38" spans="1:6" ht="14.25" x14ac:dyDescent="0.2">
      <c r="A38" s="3"/>
      <c r="B38" s="6">
        <v>34</v>
      </c>
      <c r="C38" s="102" t="str">
        <f>HYPERLINK("https://rabota.by/vacancy/51263192","ООО Фрутэгмилк")</f>
        <v>ООО Фрутэгмилк</v>
      </c>
      <c r="D38" s="8">
        <v>1000</v>
      </c>
      <c r="E38" s="103" t="str">
        <f>HYPERLINK("https://rabota.by/resume/945d5f90000753214b0013a3fa6d3468527a4f","Водитель")</f>
        <v>Водитель</v>
      </c>
      <c r="F38" s="8">
        <v>1000</v>
      </c>
    </row>
    <row r="39" spans="1:6" ht="14.25" x14ac:dyDescent="0.2">
      <c r="A39" s="3"/>
      <c r="B39" s="6">
        <v>35</v>
      </c>
      <c r="C39" s="102" t="str">
        <f>HYPERLINK("https://rabota.by/vacancy/51699349","ООО Удобные перевозки")</f>
        <v>ООО Удобные перевозки</v>
      </c>
      <c r="D39" s="8">
        <v>2500</v>
      </c>
      <c r="E39" s="103" t="str">
        <f>HYPERLINK("https://rabota.by/resume/d76c858d0007af66a10013a3fa49666e306663","Водитель")</f>
        <v>Водитель</v>
      </c>
      <c r="F39" s="8">
        <v>1000</v>
      </c>
    </row>
    <row r="40" spans="1:6" ht="15" x14ac:dyDescent="0.25">
      <c r="A40" s="9"/>
      <c r="B40" s="10"/>
      <c r="C40" s="11" t="s">
        <v>6</v>
      </c>
      <c r="D40" s="12">
        <f>IFERROR(PERCENTILE(D5:D39,0.1),"-")</f>
        <v>1100</v>
      </c>
      <c r="E40" s="11" t="s">
        <v>6</v>
      </c>
      <c r="F40" s="12">
        <f>IFERROR(PERCENTILE(F5:F39,0.1),"-")</f>
        <v>1032</v>
      </c>
    </row>
    <row r="41" spans="1:6" ht="15" x14ac:dyDescent="0.25">
      <c r="A41" s="9"/>
      <c r="B41" s="13"/>
      <c r="C41" s="14" t="s">
        <v>7</v>
      </c>
      <c r="D41" s="15">
        <f>IFERROR(QUARTILE(D5:D39, 1),"-")</f>
        <v>1225</v>
      </c>
      <c r="E41" s="14" t="s">
        <v>7</v>
      </c>
      <c r="F41" s="15">
        <f>IFERROR(QUARTILE(F5:F39, 1),"-")</f>
        <v>1200</v>
      </c>
    </row>
    <row r="42" spans="1:6" ht="15" x14ac:dyDescent="0.25">
      <c r="A42" s="9"/>
      <c r="B42" s="16"/>
      <c r="C42" s="17" t="s">
        <v>8</v>
      </c>
      <c r="D42" s="18">
        <f>IFERROR(MEDIAN(D5:D39),"-")</f>
        <v>1600</v>
      </c>
      <c r="E42" s="17" t="s">
        <v>8</v>
      </c>
      <c r="F42" s="18">
        <f>IFERROR(MEDIAN(F5:F39),"-")</f>
        <v>1300</v>
      </c>
    </row>
    <row r="43" spans="1:6" ht="15" x14ac:dyDescent="0.25">
      <c r="A43" s="9"/>
      <c r="B43" s="19"/>
      <c r="C43" s="20" t="s">
        <v>9</v>
      </c>
      <c r="D43" s="21">
        <f>IFERROR(QUARTILE(D5:D39,3), "-")</f>
        <v>2100</v>
      </c>
      <c r="E43" s="20" t="s">
        <v>9</v>
      </c>
      <c r="F43" s="21">
        <f>IFERROR(QUARTILE(F5:F39,3), "-")</f>
        <v>1500</v>
      </c>
    </row>
    <row r="44" spans="1:6" ht="15" x14ac:dyDescent="0.25">
      <c r="A44" s="9"/>
      <c r="B44" s="22"/>
      <c r="C44" s="23" t="s">
        <v>10</v>
      </c>
      <c r="D44" s="24">
        <f>IFERROR(PERCENTILE(D5:D39,0.9),"-")</f>
        <v>2400</v>
      </c>
      <c r="E44" s="23" t="s">
        <v>10</v>
      </c>
      <c r="F44" s="24">
        <f>IFERROR(PERCENTILE(F5:F39,0.9),"-")</f>
        <v>1500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5" t="s">
        <v>76</v>
      </c>
      <c r="D46" s="105"/>
    </row>
    <row r="47" spans="1:6" ht="14.25" x14ac:dyDescent="0.2">
      <c r="C47" s="88" t="s">
        <v>6</v>
      </c>
      <c r="D47" s="89">
        <f>IFERROR(PERCENTILE(D5:F39,0.1),"-")</f>
        <v>1072</v>
      </c>
    </row>
    <row r="48" spans="1:6" ht="14.25" x14ac:dyDescent="0.2">
      <c r="C48" s="90" t="s">
        <v>7</v>
      </c>
      <c r="D48" s="91">
        <f>IFERROR(QUARTILE(D5:F39, 1),"-")</f>
        <v>1200</v>
      </c>
    </row>
    <row r="49" spans="3:4" ht="14.25" x14ac:dyDescent="0.2">
      <c r="C49" s="92" t="s">
        <v>8</v>
      </c>
      <c r="D49" s="93">
        <f>IFERROR(MEDIAN(D5:D39,F5:F39),"-")</f>
        <v>1350</v>
      </c>
    </row>
    <row r="50" spans="3:4" ht="14.25" x14ac:dyDescent="0.2">
      <c r="C50" s="94" t="s">
        <v>9</v>
      </c>
      <c r="D50" s="95">
        <f>IFERROR(QUARTILE(D5:F39,3), "-")</f>
        <v>1600</v>
      </c>
    </row>
    <row r="51" spans="3:4" ht="14.25" x14ac:dyDescent="0.2">
      <c r="C51" s="96" t="s">
        <v>10</v>
      </c>
      <c r="D51" s="97">
        <f>IFERROR(PERCENTILE(D5:F39,0.9),"-")</f>
        <v>2210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11</v>
      </c>
      <c r="B1" s="29" t="s">
        <v>12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13</v>
      </c>
      <c r="C3" s="33"/>
      <c r="D3" s="33"/>
      <c r="E3" s="33"/>
      <c r="F3" s="33"/>
      <c r="G3" s="34"/>
    </row>
    <row r="4" spans="1:53" x14ac:dyDescent="0.2">
      <c r="A4" s="35" t="s">
        <v>14</v>
      </c>
      <c r="B4" s="36" t="s">
        <v>15</v>
      </c>
      <c r="C4" s="37" t="s">
        <v>16</v>
      </c>
      <c r="D4" s="37" t="s">
        <v>17</v>
      </c>
      <c r="E4" s="37" t="s">
        <v>18</v>
      </c>
      <c r="F4" s="37" t="s">
        <v>19</v>
      </c>
      <c r="G4" s="38" t="s">
        <v>20</v>
      </c>
    </row>
    <row r="5" spans="1:53" x14ac:dyDescent="0.2">
      <c r="A5" s="39" t="s">
        <v>21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22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23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24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25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26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27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28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29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30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31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32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33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34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35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36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37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Список профессий</vt:lpstr>
      <vt:lpstr>Форма</vt:lpstr>
      <vt:lpstr>Изготовитель полуфабрикатов</vt:lpstr>
      <vt:lpstr>Оператор машинного доения</vt:lpstr>
      <vt:lpstr>Животновод</vt:lpstr>
      <vt:lpstr>Птицевод</vt:lpstr>
      <vt:lpstr>Водитель-международник</vt:lpstr>
      <vt:lpstr>Водитель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2022-02-16T11:42:32Z</dcterms:modified>
  <dc:language>en-US</dc:language>
</cp:coreProperties>
</file>