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2"/>
  </bookViews>
  <sheets>
    <sheet name="Список профессий" sheetId="7" r:id="rId1"/>
    <sheet name="Форма" sheetId="1" r:id="rId2"/>
    <sheet name="Продавец" sheetId="19" r:id="rId3"/>
    <sheet name="Обвальщик мяса" sheetId="18" r:id="rId4"/>
    <sheet name="Уборщик служебных помещений_ у" sheetId="17" r:id="rId5"/>
    <sheet name="Слесарь-сантехник" sheetId="16" r:id="rId6"/>
    <sheet name="Укладчик-упаковщик_ комплектов" sheetId="15" r:id="rId7"/>
    <sheet name="Кладовщик" sheetId="14" r:id="rId8"/>
    <sheet name="Слесарь-ремонтник" sheetId="13" r:id="rId9"/>
    <sheet name="Грузчик" sheetId="12" r:id="rId10"/>
    <sheet name="Изготовитель полуфабрикатов" sheetId="11" r:id="rId11"/>
    <sheet name="Птицевод" sheetId="10" r:id="rId12"/>
    <sheet name="Водитель-международник" sheetId="9" r:id="rId13"/>
    <sheet name="Водитель" sheetId="8" r:id="rId14"/>
    <sheet name="АНАЛИТИКА" sheetId="2" state="hidden" r:id="rId15"/>
    <sheet name="Диаграмма 1" sheetId="3" state="hidden" r:id="rId16"/>
    <sheet name="СВОД 2017" sheetId="4" state="hidden" r:id="rId17"/>
    <sheet name="СВОД 2018" sheetId="5" state="hidden" r:id="rId18"/>
    <sheet name="Диаграмма 2" sheetId="6" state="hidden" r:id="rId19"/>
  </sheets>
  <definedNames>
    <definedName name="_xlnm._FilterDatabase" localSheetId="16" hidden="1">'СВОД 2017'!$A$1:$AB$339</definedName>
    <definedName name="_xlnm._FilterDatabase" localSheetId="17" hidden="1">'СВОД 2018'!$A$1:$J$464</definedName>
    <definedName name="Z_EFD2F9AD_5C22_48DC_8D06_A753B95ED6AF_.wvu.FilterData" localSheetId="16">'СВОД 2017'!$E$9:$E$79</definedName>
  </definedNames>
  <calcPr calcId="162913" iterateDelta="1E-4"/>
  <pivotCaches>
    <pivotCache cacheId="0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9" l="1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C5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D51" i="19" l="1"/>
  <c r="D50" i="19"/>
  <c r="D49" i="19"/>
  <c r="D48" i="19"/>
  <c r="D47" i="19"/>
  <c r="F44" i="19"/>
  <c r="D44" i="19"/>
  <c r="F43" i="19"/>
  <c r="D43" i="19"/>
  <c r="F42" i="19"/>
  <c r="D42" i="19"/>
  <c r="F41" i="19"/>
  <c r="D41" i="19"/>
  <c r="F40" i="19"/>
  <c r="D40" i="19"/>
  <c r="E5" i="18" l="1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C5" i="18" l="1"/>
  <c r="C6" i="18"/>
  <c r="D51" i="18" l="1"/>
  <c r="D50" i="18"/>
  <c r="D49" i="18"/>
  <c r="D48" i="18"/>
  <c r="D47" i="18"/>
  <c r="F44" i="18"/>
  <c r="D44" i="18"/>
  <c r="F43" i="18"/>
  <c r="D43" i="18"/>
  <c r="F42" i="18"/>
  <c r="D42" i="18"/>
  <c r="F41" i="18"/>
  <c r="D41" i="18"/>
  <c r="F40" i="18"/>
  <c r="D40" i="18"/>
  <c r="E5" i="17" l="1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C5" i="17" l="1"/>
  <c r="C6" i="17"/>
  <c r="C7" i="17"/>
  <c r="C8" i="17"/>
  <c r="C9" i="17"/>
  <c r="C10" i="17"/>
  <c r="C11" i="17"/>
  <c r="C12" i="17"/>
  <c r="D51" i="17" l="1"/>
  <c r="D50" i="17"/>
  <c r="D49" i="17"/>
  <c r="D48" i="17"/>
  <c r="D47" i="17"/>
  <c r="F44" i="17"/>
  <c r="D44" i="17"/>
  <c r="F43" i="17"/>
  <c r="D43" i="17"/>
  <c r="F42" i="17"/>
  <c r="D42" i="17"/>
  <c r="F41" i="17"/>
  <c r="D41" i="17"/>
  <c r="F40" i="17"/>
  <c r="D40" i="17"/>
  <c r="E5" i="16" l="1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C5" i="16" l="1"/>
  <c r="D51" i="16" l="1"/>
  <c r="D50" i="16"/>
  <c r="D49" i="16"/>
  <c r="D48" i="16"/>
  <c r="D47" i="16"/>
  <c r="F44" i="16"/>
  <c r="D44" i="16"/>
  <c r="F43" i="16"/>
  <c r="D43" i="16"/>
  <c r="F42" i="16"/>
  <c r="D42" i="16"/>
  <c r="F41" i="16"/>
  <c r="D41" i="16"/>
  <c r="F40" i="16"/>
  <c r="D40" i="16"/>
  <c r="E5" i="15" l="1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C5" i="15" l="1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D51" i="15" l="1"/>
  <c r="D50" i="15"/>
  <c r="D49" i="15"/>
  <c r="D48" i="15"/>
  <c r="D47" i="15"/>
  <c r="F44" i="15"/>
  <c r="D44" i="15"/>
  <c r="F43" i="15"/>
  <c r="D43" i="15"/>
  <c r="F42" i="15"/>
  <c r="D42" i="15"/>
  <c r="F41" i="15"/>
  <c r="D41" i="15"/>
  <c r="F40" i="15"/>
  <c r="D40" i="15"/>
  <c r="E5" i="14" l="1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C5" i="14" l="1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D51" i="14" l="1"/>
  <c r="D50" i="14"/>
  <c r="D49" i="14"/>
  <c r="D48" i="14"/>
  <c r="D47" i="14"/>
  <c r="F44" i="14"/>
  <c r="D44" i="14"/>
  <c r="F43" i="14"/>
  <c r="D43" i="14"/>
  <c r="F42" i="14"/>
  <c r="D42" i="14"/>
  <c r="F41" i="14"/>
  <c r="D41" i="14"/>
  <c r="F40" i="14"/>
  <c r="D40" i="14"/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C5" i="13" l="1"/>
  <c r="C6" i="13"/>
  <c r="C7" i="13"/>
  <c r="C8" i="13"/>
  <c r="C9" i="13"/>
  <c r="D51" i="13" l="1"/>
  <c r="D50" i="13"/>
  <c r="D49" i="13"/>
  <c r="D48" i="13"/>
  <c r="D47" i="13"/>
  <c r="F44" i="13"/>
  <c r="D44" i="13"/>
  <c r="F43" i="13"/>
  <c r="D43" i="13"/>
  <c r="F42" i="13"/>
  <c r="D42" i="13"/>
  <c r="F41" i="13"/>
  <c r="D41" i="13"/>
  <c r="F40" i="13"/>
  <c r="D40" i="13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C5" i="12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D51" i="12" l="1"/>
  <c r="D50" i="12"/>
  <c r="D49" i="12"/>
  <c r="D48" i="12"/>
  <c r="D47" i="12"/>
  <c r="F44" i="12"/>
  <c r="D44" i="12"/>
  <c r="F43" i="12"/>
  <c r="D43" i="12"/>
  <c r="F42" i="12"/>
  <c r="D42" i="12"/>
  <c r="F41" i="12"/>
  <c r="D41" i="12"/>
  <c r="F40" i="12"/>
  <c r="D40" i="12"/>
  <c r="E5" i="11" l="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C5" i="11" l="1"/>
  <c r="C6" i="11"/>
  <c r="D51" i="11" l="1"/>
  <c r="D50" i="11"/>
  <c r="D49" i="11"/>
  <c r="D48" i="11"/>
  <c r="D47" i="11"/>
  <c r="F44" i="11"/>
  <c r="D44" i="11"/>
  <c r="F43" i="11"/>
  <c r="D43" i="11"/>
  <c r="F42" i="11"/>
  <c r="D42" i="11"/>
  <c r="F41" i="11"/>
  <c r="D41" i="11"/>
  <c r="F40" i="11"/>
  <c r="D40" i="11"/>
  <c r="E5" i="10" l="1"/>
  <c r="C5" i="10" l="1"/>
  <c r="D51" i="10" l="1"/>
  <c r="D50" i="10"/>
  <c r="D49" i="10"/>
  <c r="D48" i="10"/>
  <c r="D47" i="10"/>
  <c r="F44" i="10"/>
  <c r="D44" i="10"/>
  <c r="F43" i="10"/>
  <c r="D43" i="10"/>
  <c r="F42" i="10"/>
  <c r="D42" i="10"/>
  <c r="F41" i="10"/>
  <c r="D41" i="10"/>
  <c r="F40" i="10"/>
  <c r="D40" i="10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D51" i="9" l="1"/>
  <c r="D50" i="9"/>
  <c r="D49" i="9"/>
  <c r="D48" i="9"/>
  <c r="D47" i="9"/>
  <c r="F44" i="9"/>
  <c r="D44" i="9"/>
  <c r="F43" i="9"/>
  <c r="D43" i="9"/>
  <c r="F42" i="9"/>
  <c r="D42" i="9"/>
  <c r="F41" i="9"/>
  <c r="D41" i="9"/>
  <c r="F40" i="9"/>
  <c r="D40" i="9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D51" i="8" l="1"/>
  <c r="D50" i="8"/>
  <c r="D49" i="8"/>
  <c r="D48" i="8"/>
  <c r="D47" i="8"/>
  <c r="F44" i="8"/>
  <c r="D44" i="8"/>
  <c r="F43" i="8"/>
  <c r="D43" i="8"/>
  <c r="F42" i="8"/>
  <c r="D42" i="8"/>
  <c r="F41" i="8"/>
  <c r="D41" i="8"/>
  <c r="F40" i="8"/>
  <c r="D40" i="8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<sst xmlns="http://schemas.openxmlformats.org/spreadsheetml/2006/main" count="3585" uniqueCount="98">
  <si>
    <t>АНАЛИЗ РЫНКА ЗАРАБОТНЫХ ПЛАТ</t>
  </si>
  <si>
    <t>(наименование должности)</t>
  </si>
  <si>
    <t>(регион)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</si>
  <si>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</si>
  <si>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</si>
  <si>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</si>
  <si>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</si>
  <si>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</si>
  <si>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</si>
  <si>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</si>
  <si>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</si>
  <si>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</si>
  <si>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</si>
  <si>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</si>
  <si>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</si>
  <si>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</si>
  <si>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</si>
  <si>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</si>
  <si>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</si>
  <si>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</si>
  <si>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</si>
  <si>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</si>
  <si>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</si>
  <si>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</si>
  <si>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</si>
  <si>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</si>
  <si>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</si>
  <si>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</si>
  <si>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</si>
  <si>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</si>
  <si>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</si>
  <si>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</si>
  <si>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</si>
  <si>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</si>
  <si>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</si>
  <si>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</si>
  <si>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</si>
  <si>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</si>
  <si>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</si>
  <si>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</si>
  <si>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</si>
  <si>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</si>
  <si>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</si>
  <si>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</si>
  <si>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</si>
  <si>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</si>
  <si>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</si>
  <si>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</si>
  <si>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</si>
  <si>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</si>
  <si>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</si>
  <si>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</si>
  <si>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</si>
  <si>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</si>
  <si>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</si>
  <si>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</si>
  <si>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</si>
  <si>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</si>
  <si>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</si>
  <si>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</si>
  <si>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</si>
  <si>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</si>
  <si>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</si>
  <si>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</si>
  <si>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</si>
  <si>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</si>
  <si>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</si>
  <si>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</si>
  <si>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</si>
  <si>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</si>
  <si>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</si>
  <si>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</si>
  <si>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</si>
  <si>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</si>
  <si>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</si>
  <si>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</si>
  <si>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</si>
  <si>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</si>
  <si>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</si>
  <si>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</si>
  <si>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</si>
  <si>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</si>
  <si>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</si>
  <si>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</si>
  <si>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</si>
  <si>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</si>
  <si>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</si>
  <si>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</si>
  <si>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</si>
  <si>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</si>
  <si>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</si>
  <si>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Продавец</t>
  </si>
  <si>
    <t>Бел. руб. NET</t>
  </si>
  <si>
    <t>Обвальщик мяса</t>
  </si>
  <si>
    <t>Водитель</t>
  </si>
  <si>
    <t>Могилев\Могилевская область</t>
  </si>
  <si>
    <t>Водитель-международник</t>
  </si>
  <si>
    <t>Уборщик служебных помещений/ уборщик территории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</si>
</sst>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13" fillId="2" borderId="1" xfId="7" applyFill="1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2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3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4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5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6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8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9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0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1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2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3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4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5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8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9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0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1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4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6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3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4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5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6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7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8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0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1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2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3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4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5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6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8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0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1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2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4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5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6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7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8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9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0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2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3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4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5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6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7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9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0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5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6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7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8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9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0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1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2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4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5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6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7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8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0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1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2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4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6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7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8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9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0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1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2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3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4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6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7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8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9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0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1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2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3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4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6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0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7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8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9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0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1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2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3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4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5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6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8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9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0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1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2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3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4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0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1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2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3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4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5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6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7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8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0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1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2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3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4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5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6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7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8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2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4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0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2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3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4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5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6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7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8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9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0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2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3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4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5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6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7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8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0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0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2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3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4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5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6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8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9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0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1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2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3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4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5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8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9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0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1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4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6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3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4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5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6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7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8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0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1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2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3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4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5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6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8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0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1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2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4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5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6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7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8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9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0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2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3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4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5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6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7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9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0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5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6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7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8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9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0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1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2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4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5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6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7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8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0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1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2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4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6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7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8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9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0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1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2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3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4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6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7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8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9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0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1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2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3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4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6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0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7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8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9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0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1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2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3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4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5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6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8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9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0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1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2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3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4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0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1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2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3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4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5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6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7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8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0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1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2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3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4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5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6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7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8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2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4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0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2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3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4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5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6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7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8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09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0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2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3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4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5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6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7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8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1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0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2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0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3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4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5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6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7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8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2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3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4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5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6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8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99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0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1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2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3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4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5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8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09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0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1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4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6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1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3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4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5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6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7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8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2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0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1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2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3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4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5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6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8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3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0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1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2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4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4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5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6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7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8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59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0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2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3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4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5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6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7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69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0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7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5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6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7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8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89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0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1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2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4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5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6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7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8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9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0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1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2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4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0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6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7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8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19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0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1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2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3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4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6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7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8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29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0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1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2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3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4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6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3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0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7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8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49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0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1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2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3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4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5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6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8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59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0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1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2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3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4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6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7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0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1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2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3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4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5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6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7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8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8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0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1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2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3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4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5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6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7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8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9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2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4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0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2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3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4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5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6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7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8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19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0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2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3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4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5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6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7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8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2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0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3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0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4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5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6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7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8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9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2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3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4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5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6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8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09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0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1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2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3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4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5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8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19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0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1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4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6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2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3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4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5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6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7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8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3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0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1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2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3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4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5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6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8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4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0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1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2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5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4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5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6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7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8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69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0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2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3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4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5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6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7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79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0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8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5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6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7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8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99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0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1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2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4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5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6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7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8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0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0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1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2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4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6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7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8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29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0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1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2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3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4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6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7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8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39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0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1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2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3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4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6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4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50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5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5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5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5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5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5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16" sqref="D16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77</v>
      </c>
      <c r="C2" s="98"/>
      <c r="D2" s="98" t="s">
        <v>78</v>
      </c>
    </row>
    <row r="3" spans="1:4" x14ac:dyDescent="0.2">
      <c r="A3">
        <v>1</v>
      </c>
      <c r="B3" t="s">
        <v>79</v>
      </c>
      <c r="D3" t="s">
        <v>79</v>
      </c>
    </row>
    <row r="4" spans="1:4" x14ac:dyDescent="0.2">
      <c r="A4">
        <v>2</v>
      </c>
      <c r="B4" t="s">
        <v>80</v>
      </c>
      <c r="D4" t="s">
        <v>80</v>
      </c>
    </row>
    <row r="5" spans="1:4" x14ac:dyDescent="0.2">
      <c r="A5">
        <v>3</v>
      </c>
      <c r="B5" t="s">
        <v>81</v>
      </c>
      <c r="D5" t="s">
        <v>81</v>
      </c>
    </row>
    <row r="6" spans="1:4" x14ac:dyDescent="0.2">
      <c r="A6">
        <v>4</v>
      </c>
      <c r="B6" t="s">
        <v>82</v>
      </c>
      <c r="D6" t="s">
        <v>82</v>
      </c>
    </row>
    <row r="7" spans="1:4" x14ac:dyDescent="0.2">
      <c r="A7">
        <v>5</v>
      </c>
      <c r="B7" t="s">
        <v>83</v>
      </c>
      <c r="D7" t="s">
        <v>83</v>
      </c>
    </row>
    <row r="8" spans="1:4" x14ac:dyDescent="0.2">
      <c r="A8">
        <v>6</v>
      </c>
      <c r="B8" t="s">
        <v>84</v>
      </c>
      <c r="D8" t="s">
        <v>84</v>
      </c>
    </row>
    <row r="9" spans="1:4" x14ac:dyDescent="0.2">
      <c r="A9">
        <v>7</v>
      </c>
      <c r="D9" t="s">
        <v>85</v>
      </c>
    </row>
    <row r="10" spans="1:4" x14ac:dyDescent="0.2">
      <c r="A10">
        <v>8</v>
      </c>
      <c r="D10" t="s">
        <v>86</v>
      </c>
    </row>
    <row r="11" spans="1:4" x14ac:dyDescent="0.2">
      <c r="A11">
        <v>9</v>
      </c>
      <c r="D11" t="s">
        <v>87</v>
      </c>
    </row>
    <row r="12" spans="1:4" x14ac:dyDescent="0.2">
      <c r="A12">
        <v>10</v>
      </c>
      <c r="D12" t="s">
        <v>88</v>
      </c>
    </row>
    <row r="13" spans="1:4" x14ac:dyDescent="0.2">
      <c r="A13">
        <v>11</v>
      </c>
      <c r="D13" t="s">
        <v>89</v>
      </c>
    </row>
    <row r="14" spans="1:4" x14ac:dyDescent="0.2">
      <c r="A14">
        <v>12</v>
      </c>
      <c r="D14" t="s">
        <v>90</v>
      </c>
    </row>
    <row r="15" spans="1:4" x14ac:dyDescent="0.2">
      <c r="A15">
        <v>13</v>
      </c>
      <c r="D15" t="s">
        <v>93</v>
      </c>
    </row>
    <row r="16" spans="1:4" x14ac:dyDescent="0.2">
      <c r="A16">
        <v>14</v>
      </c>
      <c r="D16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85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HYPERLINK("https://rabota.by/vacancy/49251650","ЗАО Доброном")</f>
        <v>ЗАО Доброном</v>
      </c>
      <c r="D5" s="8">
        <v>3500</v>
      </c>
      <c r="E5" s="103" t="str">
        <f>HYPERLINK("https://rabota.by/resume/363eadaf00099973200013a3fa346a756c4a6a","Грузчик")</f>
        <v>Грузчик</v>
      </c>
      <c r="F5" s="8">
        <v>1500</v>
      </c>
    </row>
    <row r="6" spans="1:6" ht="14.25" x14ac:dyDescent="0.2">
      <c r="A6" s="3"/>
      <c r="B6" s="6">
        <v>2</v>
      </c>
      <c r="C6" s="102" t="str">
        <f>HYPERLINK("https://rabota.by/vacancy/52541271","ООО КРАФТПАК групп")</f>
        <v>ООО КРАФТПАК групп</v>
      </c>
      <c r="D6" s="8">
        <v>949</v>
      </c>
      <c r="E6" s="103" t="str">
        <f>HYPERLINK("https://rabota.by/resume/28df7b930005294e0a0013a3fa556e435a3245","Грузчик")</f>
        <v>Грузчик</v>
      </c>
      <c r="F6" s="8">
        <v>1200</v>
      </c>
    </row>
    <row r="7" spans="1:6" ht="14.25" x14ac:dyDescent="0.2">
      <c r="A7" s="3"/>
      <c r="B7" s="6">
        <v>3</v>
      </c>
      <c r="C7" s="102" t="str">
        <f>HYPERLINK("https://rabota.by/vacancy/52470187","ЗАО Доброном")</f>
        <v>ЗАО Доброном</v>
      </c>
      <c r="D7" s="8">
        <v>1000</v>
      </c>
      <c r="E7" s="103" t="str">
        <f>HYPERLINK("https://rabota.by/resume/2085e9300003f4abd30013a3fa795a6b303266","Грузчик")</f>
        <v>Грузчик</v>
      </c>
      <c r="F7" s="8">
        <v>1200</v>
      </c>
    </row>
    <row r="8" spans="1:6" ht="14.25" x14ac:dyDescent="0.2">
      <c r="A8" s="3"/>
      <c r="B8" s="6">
        <v>4</v>
      </c>
      <c r="C8" s="102" t="str">
        <f>HYPERLINK("https://rabota.by/vacancy/52494257","СОСЕДИ, Сеть магазинов")</f>
        <v>СОСЕДИ, Сеть магазинов</v>
      </c>
      <c r="D8" s="8">
        <v>1125</v>
      </c>
      <c r="E8" s="103" t="str">
        <f>HYPERLINK("https://rabota.by/resume/7749f02700028532310013a3fa54646d71614e","Грузчик")</f>
        <v>Грузчик</v>
      </c>
      <c r="F8" s="8">
        <v>1000</v>
      </c>
    </row>
    <row r="9" spans="1:6" ht="14.25" x14ac:dyDescent="0.2">
      <c r="A9" s="3"/>
      <c r="B9" s="6">
        <v>5</v>
      </c>
      <c r="C9" s="102" t="str">
        <f>HYPERLINK("https://rabota.by/vacancy/52501611","Серволюкс, Группа компаний")</f>
        <v>Серволюкс, Группа компаний</v>
      </c>
      <c r="D9" s="8">
        <v>1200</v>
      </c>
      <c r="E9" s="103" t="str">
        <f>HYPERLINK("https://rabota.by/resume/89c0090f0009a3232d0013a3fa78494a715133","Грузчик")</f>
        <v>Грузчик</v>
      </c>
      <c r="F9" s="8">
        <v>1000</v>
      </c>
    </row>
    <row r="10" spans="1:6" ht="14.25" x14ac:dyDescent="0.2">
      <c r="A10" s="3"/>
      <c r="B10" s="6">
        <v>6</v>
      </c>
      <c r="C10" s="102" t="str">
        <f>HYPERLINK("https://rabota.by/vacancy/51276879","ООО Баир Вест")</f>
        <v>ООО Баир Вест</v>
      </c>
      <c r="D10" s="8">
        <v>800</v>
      </c>
      <c r="E10" s="103" t="str">
        <f>HYPERLINK("https://rabota.by/resume/b3aede710007e3078b0013a3fa695330333179","Грузчик")</f>
        <v>Грузчик</v>
      </c>
      <c r="F10" s="8">
        <v>1000</v>
      </c>
    </row>
    <row r="11" spans="1:6" ht="14.25" x14ac:dyDescent="0.2">
      <c r="A11" s="3"/>
      <c r="B11" s="6">
        <v>7</v>
      </c>
      <c r="C11" s="102" t="str">
        <f>HYPERLINK("https://rabota.by/vacancy/52063855","Буг-Маркет")</f>
        <v>Буг-Маркет</v>
      </c>
      <c r="D11" s="8">
        <v>600</v>
      </c>
      <c r="E11" s="103" t="str">
        <f>HYPERLINK("https://rabota.by/resume/832190d700084ad8340013a3fa677969365675","Грузчик")</f>
        <v>Грузчик</v>
      </c>
      <c r="F11" s="8">
        <v>1000</v>
      </c>
    </row>
    <row r="12" spans="1:6" ht="14.25" x14ac:dyDescent="0.2">
      <c r="A12" s="3"/>
      <c r="B12" s="6">
        <v>8</v>
      </c>
      <c r="C12" s="102" t="str">
        <f>HYPERLINK("https://rabota.by/vacancy/52420046","21vek.by")</f>
        <v>21vek.by</v>
      </c>
      <c r="D12" s="8">
        <v>650</v>
      </c>
      <c r="E12" s="103" t="str">
        <f>HYPERLINK("https://rabota.by/resume/0b3ac0fb00081d5d240013a3fa447965475367","Грузчик")</f>
        <v>Грузчик</v>
      </c>
      <c r="F12" s="8">
        <v>1000</v>
      </c>
    </row>
    <row r="13" spans="1:6" ht="14.25" x14ac:dyDescent="0.2">
      <c r="A13" s="3"/>
      <c r="B13" s="6">
        <v>9</v>
      </c>
      <c r="C13" s="102" t="str">
        <f>HYPERLINK("https://rabota.by/vacancy/51336470","ГРИНрозница ГК РАПА")</f>
        <v>ГРИНрозница ГК РАПА</v>
      </c>
      <c r="D13" s="8">
        <v>730</v>
      </c>
      <c r="E13" s="103" t="str">
        <f>HYPERLINK("https://rabota.by/resume/9a04be6000092ebf340013a3fa574c6149346b","Грузчик")</f>
        <v>Грузчик</v>
      </c>
      <c r="F13" s="8">
        <v>1000</v>
      </c>
    </row>
    <row r="14" spans="1:6" ht="14.25" x14ac:dyDescent="0.2">
      <c r="A14" s="3"/>
      <c r="B14" s="6">
        <v>10</v>
      </c>
      <c r="C14" s="102" t="str">
        <f>HYPERLINK("https://rabota.by/vacancy/52495229","ЕВРООПТ")</f>
        <v>ЕВРООПТ</v>
      </c>
      <c r="D14" s="8">
        <v>800</v>
      </c>
      <c r="E14" s="103" t="str">
        <f>HYPERLINK("https://rabota.by/resume/2572353600099cf3e20013a3fa57627777596f","Грузчик")</f>
        <v>Грузчик</v>
      </c>
      <c r="F14" s="8">
        <v>1000</v>
      </c>
    </row>
    <row r="15" spans="1:6" ht="14.25" x14ac:dyDescent="0.2">
      <c r="A15" s="3"/>
      <c r="B15" s="6">
        <v>11</v>
      </c>
      <c r="C15" s="102" t="str">
        <f>HYPERLINK("https://rabota.by/vacancy/52391958","ЗАО Доброном")</f>
        <v>ЗАО Доброном</v>
      </c>
      <c r="D15" s="8">
        <v>850</v>
      </c>
      <c r="E15" s="103" t="str">
        <f>HYPERLINK("https://rabota.by/resume/b177562f00098e75a50013a3fa747a644c5a37","Грузчик")</f>
        <v>Грузчик</v>
      </c>
      <c r="F15" s="8">
        <v>1000</v>
      </c>
    </row>
    <row r="16" spans="1:6" ht="14.25" x14ac:dyDescent="0.2">
      <c r="A16" s="3"/>
      <c r="B16" s="6">
        <v>12</v>
      </c>
      <c r="C16" s="102" t="str">
        <f>HYPERLINK("https://rabota.by/vacancy/49251762","ЗАО Доброном")</f>
        <v>ЗАО Доброном</v>
      </c>
      <c r="D16" s="8">
        <v>3500</v>
      </c>
      <c r="E16" s="103" t="str">
        <f>HYPERLINK("https://rabota.by/resume/fd7788df0008af107f0013a3fa4b746f706e67","Грузчик")</f>
        <v>Грузчик</v>
      </c>
      <c r="F16" s="8">
        <v>1000</v>
      </c>
    </row>
    <row r="17" spans="1:6" ht="14.25" x14ac:dyDescent="0.2">
      <c r="A17" s="3"/>
      <c r="B17" s="6">
        <v>13</v>
      </c>
      <c r="C17" s="102" t="str">
        <f>HYPERLINK("https://rabota.by/vacancy/50486994","ЗАО Доброном")</f>
        <v>ЗАО Доброном</v>
      </c>
      <c r="D17" s="8">
        <v>850</v>
      </c>
      <c r="E17" s="103" t="str">
        <f>HYPERLINK("https://rabota.by/resume/b63191ac00098ce73e0013a3fa646e38336d38","Грузчик")</f>
        <v>Грузчик</v>
      </c>
      <c r="F17" s="8">
        <v>1000</v>
      </c>
    </row>
    <row r="18" spans="1:6" ht="14.25" x14ac:dyDescent="0.2">
      <c r="A18" s="3"/>
      <c r="B18" s="6">
        <v>14</v>
      </c>
      <c r="C18" s="102" t="str">
        <f>HYPERLINK("https://rabota.by/vacancy/52079703","ЗАО Доброном")</f>
        <v>ЗАО Доброном</v>
      </c>
      <c r="D18" s="8">
        <v>800</v>
      </c>
      <c r="E18" s="103" t="str">
        <f>HYPERLINK("https://rabota.by/resume/fd8a52f700097ce7230013a3fa656d30626c63","Грузчик")</f>
        <v>Грузчик</v>
      </c>
      <c r="F18" s="8">
        <v>1000</v>
      </c>
    </row>
    <row r="19" spans="1:6" ht="14.25" x14ac:dyDescent="0.2">
      <c r="A19" s="3"/>
      <c r="B19" s="6">
        <v>15</v>
      </c>
      <c r="C19" s="102" t="str">
        <f>HYPERLINK("https://rabota.by/vacancy/52318081","ЗАО Доброном")</f>
        <v>ЗАО Доброном</v>
      </c>
      <c r="D19" s="8">
        <v>1050</v>
      </c>
      <c r="E19" s="103" t="str">
        <f>HYPERLINK("https://rabota.by/resume/28d2623e00088024000013a3fa414450484b71","Грузчик")</f>
        <v>Грузчик</v>
      </c>
      <c r="F19" s="8">
        <v>1000</v>
      </c>
    </row>
    <row r="20" spans="1:6" ht="14.25" x14ac:dyDescent="0.2">
      <c r="A20" s="3"/>
      <c r="B20" s="6">
        <v>16</v>
      </c>
      <c r="C20" s="102" t="str">
        <f>HYPERLINK("https://rabota.by/vacancy/50783563","УП Партнер Миир")</f>
        <v>УП Партнер Миир</v>
      </c>
      <c r="D20" s="8">
        <v>2100</v>
      </c>
      <c r="E20" s="103" t="str">
        <f>HYPERLINK("https://rabota.by/resume/62d8e15b00088acf370013a3fa584445774234","Грузчик")</f>
        <v>Грузчик</v>
      </c>
      <c r="F20" s="8">
        <v>1000</v>
      </c>
    </row>
    <row r="21" spans="1:6" ht="14.25" x14ac:dyDescent="0.2">
      <c r="A21" s="3"/>
      <c r="B21" s="6">
        <v>17</v>
      </c>
      <c r="C21" s="102" t="str">
        <f>HYPERLINK("https://rabota.by/vacancy/50569014","ЗАО Доброном")</f>
        <v>ЗАО Доброном</v>
      </c>
      <c r="D21" s="8">
        <v>800</v>
      </c>
      <c r="E21" s="103" t="str">
        <f>HYPERLINK("https://rabota.by/resume/6f055731000987b7030013a3fa6f6174753653","Грузчик")</f>
        <v>Грузчик</v>
      </c>
      <c r="F21" s="8">
        <v>1000</v>
      </c>
    </row>
    <row r="22" spans="1:6" ht="14.25" x14ac:dyDescent="0.2">
      <c r="A22" s="3"/>
      <c r="B22" s="6">
        <v>18</v>
      </c>
      <c r="C22" s="102" t="str">
        <f>HYPERLINK("https://rabota.by/vacancy/52096733","ООО Сэльвин")</f>
        <v>ООО Сэльвин</v>
      </c>
      <c r="D22" s="8">
        <v>1000</v>
      </c>
      <c r="E22" s="103" t="str">
        <f>HYPERLINK("https://rabota.by/resume/56c5529e000259fc240013a3fa795936553677","Грузчик")</f>
        <v>Грузчик</v>
      </c>
      <c r="F22" s="8">
        <v>1000</v>
      </c>
    </row>
    <row r="23" spans="1:6" ht="14.25" x14ac:dyDescent="0.2">
      <c r="A23" s="3"/>
      <c r="B23" s="6">
        <v>19</v>
      </c>
      <c r="C23" s="102" t="str">
        <f>HYPERLINK("https://rabota.by/vacancy/48201334","ЗАО Доброном")</f>
        <v>ЗАО Доброном</v>
      </c>
      <c r="D23" s="8">
        <v>850</v>
      </c>
      <c r="E23" s="103" t="str">
        <f>HYPERLINK("https://rabota.by/resume/91ee79480008dc8abc0013a3fa766e35735830","Грузчик")</f>
        <v>Грузчик</v>
      </c>
      <c r="F23" s="8">
        <v>990</v>
      </c>
    </row>
    <row r="24" spans="1:6" ht="14.25" x14ac:dyDescent="0.2">
      <c r="A24" s="3"/>
      <c r="B24" s="6">
        <v>20</v>
      </c>
      <c r="C24" s="102" t="str">
        <f>HYPERLINK("https://rabota.by/vacancy/50913340","БЕЛМАРКЕТ")</f>
        <v>БЕЛМАРКЕТ</v>
      </c>
      <c r="D24" s="8">
        <v>670</v>
      </c>
      <c r="E24" s="103" t="str">
        <f>HYPERLINK("https://rabota.by/resume/14b720480008e669ca0013a3fa613573486178","Грузчик")</f>
        <v>Грузчик</v>
      </c>
      <c r="F24" s="8">
        <v>910</v>
      </c>
    </row>
    <row r="25" spans="1:6" ht="14.25" x14ac:dyDescent="0.2">
      <c r="A25" s="3"/>
      <c r="B25" s="6">
        <v>21</v>
      </c>
      <c r="C25" s="102" t="str">
        <f>HYPERLINK("https://rabota.by/vacancy/38808851","ИУП БелВиллесден")</f>
        <v>ИУП БелВиллесден</v>
      </c>
      <c r="D25" s="8">
        <v>900</v>
      </c>
      <c r="E25" s="103" t="str">
        <f>HYPERLINK("https://rabota.by/resume/4a2eede20009a54a570013a3fa564444473276","Грузчик")</f>
        <v>Грузчик</v>
      </c>
      <c r="F25" s="8">
        <v>800</v>
      </c>
    </row>
    <row r="26" spans="1:6" ht="14.25" x14ac:dyDescent="0.2">
      <c r="A26" s="3"/>
      <c r="B26" s="6">
        <v>22</v>
      </c>
      <c r="C26" s="102" t="str">
        <f>HYPERLINK("https://rabota.by/vacancy/50486067","ЗАО Доброном")</f>
        <v>ЗАО Доброном</v>
      </c>
      <c r="D26" s="8">
        <v>850</v>
      </c>
      <c r="E26" s="103" t="str">
        <f>HYPERLINK("https://rabota.by/resume/ea27641c00097e20aa0013a3fa4477534d4f6b","Грузчик")</f>
        <v>Грузчик</v>
      </c>
      <c r="F26" s="8">
        <v>800</v>
      </c>
    </row>
    <row r="27" spans="1:6" ht="14.25" x14ac:dyDescent="0.2">
      <c r="A27" s="3"/>
      <c r="B27" s="6">
        <v>23</v>
      </c>
      <c r="C27" s="102" t="str">
        <f>HYPERLINK("https://rabota.by/vacancy/50875937","БЕЛМАРКЕТ")</f>
        <v>БЕЛМАРКЕТ</v>
      </c>
      <c r="D27" s="8">
        <v>570</v>
      </c>
      <c r="E27" s="103" t="str">
        <f>HYPERLINK("https://rabota.by/resume/4ac9afea0009467d310013a3fa37304470434e","Грузчик")</f>
        <v>Грузчик</v>
      </c>
      <c r="F27" s="8">
        <v>800</v>
      </c>
    </row>
    <row r="28" spans="1:6" ht="14.25" x14ac:dyDescent="0.2">
      <c r="A28" s="3"/>
      <c r="B28" s="6">
        <v>24</v>
      </c>
      <c r="C28" s="102" t="str">
        <f>HYPERLINK("https://rabota.by/vacancy/52224372","Филиал ОДО ЮЛАЙН г.Молодечно в г. Могилеве")</f>
        <v>Филиал ОДО ЮЛАЙН г.Молодечно в г. Могилеве</v>
      </c>
      <c r="D28" s="8">
        <v>750</v>
      </c>
      <c r="E28" s="103" t="str">
        <f>HYPERLINK("https://rabota.by/resume/34d5d8a5000996443f0013a3fa794c32484451","Грузчик")</f>
        <v>Грузчик</v>
      </c>
      <c r="F28" s="8">
        <v>800</v>
      </c>
    </row>
    <row r="29" spans="1:6" ht="14.25" x14ac:dyDescent="0.2">
      <c r="A29" s="3"/>
      <c r="B29" s="6">
        <v>25</v>
      </c>
      <c r="C29" s="102" t="str">
        <f>HYPERLINK("https://rabota.by/vacancy/51942947","Филиал ОДО ЮЛАЙН г.Молодечно в г. Могилеве")</f>
        <v>Филиал ОДО ЮЛАЙН г.Молодечно в г. Могилеве</v>
      </c>
      <c r="D29" s="8">
        <v>1000</v>
      </c>
      <c r="E29" s="103" t="str">
        <f>HYPERLINK("https://rabota.by/resume/ba619b3a00099875ee0013a3fa4c4b436d7179","Грузчик")</f>
        <v>Грузчик</v>
      </c>
      <c r="F29" s="8">
        <v>800</v>
      </c>
    </row>
    <row r="30" spans="1:6" ht="14.25" x14ac:dyDescent="0.2">
      <c r="A30" s="3"/>
      <c r="B30" s="6">
        <v>26</v>
      </c>
      <c r="C30" s="102" t="str">
        <f>HYPERLINK("https://rabota.by/vacancy/51879001","ЗАО Доброном")</f>
        <v>ЗАО Доброном</v>
      </c>
      <c r="D30" s="8">
        <v>780</v>
      </c>
      <c r="E30" s="103" t="str">
        <f>HYPERLINK("https://rabota.by/resume/d6a1d82e000902a7460013a3fa31394c6b3464","Грузчик")</f>
        <v>Грузчик</v>
      </c>
      <c r="F30" s="8">
        <v>800</v>
      </c>
    </row>
    <row r="31" spans="1:6" ht="14.25" x14ac:dyDescent="0.2">
      <c r="A31" s="3"/>
      <c r="B31" s="6">
        <v>27</v>
      </c>
      <c r="C31" s="102" t="str">
        <f>HYPERLINK("https://rabota.by/vacancy/52083834","ЗАО Доброном")</f>
        <v>ЗАО Доброном</v>
      </c>
      <c r="D31" s="8">
        <v>780</v>
      </c>
      <c r="E31" s="103" t="str">
        <f>HYPERLINK("https://rabota.by/resume/3f3fcc5e0005e7e8bc0013a3fa543049694545","Грузчик")</f>
        <v>Грузчик</v>
      </c>
      <c r="F31" s="8">
        <v>800</v>
      </c>
    </row>
    <row r="32" spans="1:6" ht="14.25" x14ac:dyDescent="0.2">
      <c r="A32" s="3"/>
      <c r="B32" s="6">
        <v>28</v>
      </c>
      <c r="C32" s="102" t="str">
        <f>HYPERLINK("https://rabota.by/vacancy/50967621","ЗАО Доброном")</f>
        <v>ЗАО Доброном</v>
      </c>
      <c r="D32" s="8">
        <v>1000</v>
      </c>
      <c r="E32" s="103" t="str">
        <f>HYPERLINK("https://rabota.by/resume/7707c566000968e7df0013a3fa526872486950","Грузчик")</f>
        <v>Грузчик</v>
      </c>
      <c r="F32" s="8">
        <v>800</v>
      </c>
    </row>
    <row r="33" spans="1:6" ht="14.25" x14ac:dyDescent="0.2">
      <c r="A33" s="3"/>
      <c r="B33" s="6">
        <v>29</v>
      </c>
      <c r="C33" s="102" t="str">
        <f>HYPERLINK("https://rabota.by/vacancy/51259447","ЕВРООПТ")</f>
        <v>ЕВРООПТ</v>
      </c>
      <c r="D33" s="8">
        <v>850</v>
      </c>
      <c r="E33" s="103" t="str">
        <f>HYPERLINK("https://rabota.by/resume/69783395000994a6a90013a3fa656b394f3333","Грузчик")</f>
        <v>Грузчик</v>
      </c>
      <c r="F33" s="8">
        <v>800</v>
      </c>
    </row>
    <row r="34" spans="1:6" ht="14.25" x14ac:dyDescent="0.2">
      <c r="A34" s="3"/>
      <c r="B34" s="6">
        <v>30</v>
      </c>
      <c r="C34" s="102" t="str">
        <f>HYPERLINK("https://rabota.by/vacancy/51997012","Fix Price")</f>
        <v>Fix Price</v>
      </c>
      <c r="D34" s="8">
        <v>880</v>
      </c>
      <c r="E34" s="103" t="str">
        <f>HYPERLINK("https://rabota.by/resume/d432524100098816f50013a3fa54344c7a6c33","Грузчик")</f>
        <v>Грузчик</v>
      </c>
      <c r="F34" s="8">
        <v>800</v>
      </c>
    </row>
    <row r="35" spans="1:6" ht="14.25" x14ac:dyDescent="0.2">
      <c r="A35" s="3"/>
      <c r="B35" s="6">
        <v>31</v>
      </c>
      <c r="C35" s="102" t="str">
        <f>HYPERLINK("https://rabota.by/vacancy/51832229","УП Могилевский облкоопкниготорг, ЧТУП")</f>
        <v>УП Могилевский облкоопкниготорг, ЧТУП</v>
      </c>
      <c r="D35" s="8">
        <v>750</v>
      </c>
      <c r="E35" s="103" t="str">
        <f>HYPERLINK("https://rabota.by/resume/3810d72100088b4d590013a3fa794f31714f32","Грузчик")</f>
        <v>Грузчик</v>
      </c>
      <c r="F35" s="8">
        <v>800</v>
      </c>
    </row>
    <row r="36" spans="1:6" ht="14.25" x14ac:dyDescent="0.2">
      <c r="A36" s="3"/>
      <c r="B36" s="6">
        <v>32</v>
      </c>
      <c r="C36" s="102" t="str">
        <f>HYPERLINK("https://rabota.by/vacancy/50633207","ООО АВ-Мит")</f>
        <v>ООО АВ-Мит</v>
      </c>
      <c r="D36" s="8">
        <v>1500</v>
      </c>
      <c r="E36" s="103" t="str">
        <f>HYPERLINK("https://rabota.by/resume/b419aad3000902254d0013a3fa36714943534d","Грузчик")</f>
        <v>Грузчик</v>
      </c>
      <c r="F36" s="8">
        <v>800</v>
      </c>
    </row>
    <row r="37" spans="1:6" ht="14.25" x14ac:dyDescent="0.2">
      <c r="A37" s="3"/>
      <c r="B37" s="6">
        <v>33</v>
      </c>
      <c r="C37" s="102" t="str">
        <f>HYPERLINK("https://rabota.by/vacancy/52016393","ОАО Бакалея Могилев")</f>
        <v>ОАО Бакалея Могилев</v>
      </c>
      <c r="D37" s="8">
        <v>600</v>
      </c>
      <c r="E37" s="103" t="str">
        <f>HYPERLINK("https://rabota.by/resume/a34278d800096125fb0013a3fa546674376778","Грузчик")</f>
        <v>Грузчик</v>
      </c>
      <c r="F37" s="8">
        <v>800</v>
      </c>
    </row>
    <row r="38" spans="1:6" ht="14.25" x14ac:dyDescent="0.2">
      <c r="A38" s="3"/>
      <c r="B38" s="6">
        <v>34</v>
      </c>
      <c r="C38" s="102" t="str">
        <f>HYPERLINK("https://rabota.by/vacancy/51610751","ЗАО Доброном")</f>
        <v>ЗАО Доброном</v>
      </c>
      <c r="D38" s="8">
        <v>800</v>
      </c>
      <c r="E38" s="103" t="str">
        <f>HYPERLINK("https://rabota.by/resume/7b7eda3e00086b49730013a3fa38626b535746","Грузчик")</f>
        <v>Грузчик</v>
      </c>
      <c r="F38" s="8">
        <v>750</v>
      </c>
    </row>
    <row r="39" spans="1:6" ht="14.25" x14ac:dyDescent="0.2">
      <c r="A39" s="3"/>
      <c r="B39" s="6">
        <v>35</v>
      </c>
      <c r="C39" s="102" t="str">
        <f>HYPERLINK("https://rabota.by/vacancy/50764256","ЗАО Доброном")</f>
        <v>ЗАО Доброном</v>
      </c>
      <c r="D39" s="8">
        <v>850</v>
      </c>
      <c r="E39" s="103" t="str">
        <f>HYPERLINK("https://rabota.by/resume/86b7babf0009a55a590013a3fa4a6652665758","Грузчик")</f>
        <v>Грузчик</v>
      </c>
      <c r="F39" s="8">
        <v>750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658</v>
      </c>
      <c r="E40" s="11" t="s">
        <v>6</v>
      </c>
      <c r="F40" s="12">
        <f>IFERROR(PERCENTILE(F5:F39,0.1),"-")</f>
        <v>800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780</v>
      </c>
      <c r="E41" s="14" t="s">
        <v>7</v>
      </c>
      <c r="F41" s="15">
        <f>IFERROR(QUARTILE(F5:F39, 1),"-")</f>
        <v>800</v>
      </c>
    </row>
    <row r="42" spans="1:6" ht="15" x14ac:dyDescent="0.25">
      <c r="A42" s="9"/>
      <c r="B42" s="16"/>
      <c r="C42" s="17" t="s">
        <v>8</v>
      </c>
      <c r="D42" s="18">
        <f>IFERROR(MEDIAN(D5:D39),"-")</f>
        <v>850</v>
      </c>
      <c r="E42" s="17" t="s">
        <v>8</v>
      </c>
      <c r="F42" s="18">
        <f>IFERROR(MEDIAN(F5:F39),"-")</f>
        <v>1000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1000</v>
      </c>
      <c r="E43" s="20" t="s">
        <v>9</v>
      </c>
      <c r="F43" s="21">
        <f>IFERROR(QUARTILE(F5:F39,3), "-")</f>
        <v>1000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1380.0000000000005</v>
      </c>
      <c r="E44" s="23" t="s">
        <v>10</v>
      </c>
      <c r="F44" s="24">
        <f>IFERROR(PERCENTILE(F5:F39,0.9),"-")</f>
        <v>1000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750</v>
      </c>
    </row>
    <row r="48" spans="1:6" ht="14.25" x14ac:dyDescent="0.2">
      <c r="C48" s="90" t="s">
        <v>7</v>
      </c>
      <c r="D48" s="91">
        <f>IFERROR(QUARTILE(D5:F39, 1),"-")</f>
        <v>800</v>
      </c>
    </row>
    <row r="49" spans="3:4" ht="14.25" x14ac:dyDescent="0.2">
      <c r="C49" s="92" t="s">
        <v>8</v>
      </c>
      <c r="D49" s="93">
        <f>IFERROR(MEDIAN(D5:D39,F5:F39),"-")</f>
        <v>850</v>
      </c>
    </row>
    <row r="50" spans="3:4" ht="14.25" x14ac:dyDescent="0.2">
      <c r="C50" s="94" t="s">
        <v>9</v>
      </c>
      <c r="D50" s="95">
        <f>IFERROR(QUARTILE(D5:F39,3), "-")</f>
        <v>1000</v>
      </c>
    </row>
    <row r="51" spans="3:4" ht="14.25" x14ac:dyDescent="0.2">
      <c r="C51" s="96" t="s">
        <v>10</v>
      </c>
      <c r="D51" s="97">
        <f>IFERROR(PERCENTILE(D5:F39,0.9),"-")</f>
        <v>1200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81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HYPERLINK("https://rabota.by/vacancy/52501615","Серволюкс, Группа компаний")</f>
        <v>Серволюкс, Группа компаний</v>
      </c>
      <c r="D5" s="8">
        <v>1500</v>
      </c>
      <c r="E5" s="103" t="str">
        <f>HYPERLINK("https://rabota.by/resume/4399952400092f65dd0013a3fa68796652566c","Изготовитель полуфабрикатов")</f>
        <v>Изготовитель полуфабрикатов</v>
      </c>
      <c r="F5" s="8">
        <v>1300</v>
      </c>
    </row>
    <row r="6" spans="1:6" ht="14.25" x14ac:dyDescent="0.2">
      <c r="A6" s="3"/>
      <c r="B6" s="6">
        <v>2</v>
      </c>
      <c r="C6" s="102" t="str">
        <f>HYPERLINK("https://rabota.by/vacancy/52260383","Филиал ОДО ЮЛАЙН г.Молодечно в г. Могилеве")</f>
        <v>Филиал ОДО ЮЛАЙН г.Молодечно в г. Могилеве</v>
      </c>
      <c r="D6" s="8">
        <v>850</v>
      </c>
      <c r="E6" s="103" t="str">
        <f>HYPERLINK("https://rabota.by/resume/ad75f240000739d22e0013a3fa714b5861316d","Изготовитель полуфабрикатов")</f>
        <v>Изготовитель полуфабрикатов</v>
      </c>
      <c r="F6" s="8">
        <v>1200</v>
      </c>
    </row>
    <row r="7" spans="1:6" ht="14.25" x14ac:dyDescent="0.2">
      <c r="A7" s="3"/>
      <c r="B7" s="6">
        <v>3</v>
      </c>
      <c r="C7" s="7"/>
      <c r="D7" s="8"/>
      <c r="E7" s="103" t="str">
        <f>HYPERLINK("https://rabota.by/resume/4ba119e200082ac06f0013a3fa783673493343","Изготовитель полуфабрикатов")</f>
        <v>Изготовитель полуфабрикатов</v>
      </c>
      <c r="F7" s="8">
        <v>1100</v>
      </c>
    </row>
    <row r="8" spans="1:6" ht="14.25" x14ac:dyDescent="0.2">
      <c r="A8" s="3"/>
      <c r="B8" s="6">
        <v>4</v>
      </c>
      <c r="C8" s="7"/>
      <c r="D8" s="8"/>
      <c r="E8" s="103" t="str">
        <f>HYPERLINK("https://rabota.by/resume/68a852240007d19a3a0013a3fa456375713566","Изготовитель полуфабрикатов")</f>
        <v>Изготовитель полуфабрикатов</v>
      </c>
      <c r="F8" s="8">
        <v>1100</v>
      </c>
    </row>
    <row r="9" spans="1:6" ht="14.25" x14ac:dyDescent="0.2">
      <c r="A9" s="3"/>
      <c r="B9" s="6">
        <v>5</v>
      </c>
      <c r="C9" s="7"/>
      <c r="D9" s="8"/>
      <c r="E9" s="103" t="str">
        <f>HYPERLINK("https://rabota.by/resume/170440aa000241406c0013a3fa4c5a6c6e6e39","Изготовитель полуфабрикатов")</f>
        <v>Изготовитель полуфабрикатов</v>
      </c>
      <c r="F9" s="8">
        <v>1000</v>
      </c>
    </row>
    <row r="10" spans="1:6" ht="14.25" x14ac:dyDescent="0.2">
      <c r="A10" s="3"/>
      <c r="B10" s="6">
        <v>6</v>
      </c>
      <c r="C10" s="7"/>
      <c r="D10" s="8"/>
      <c r="E10" s="103" t="str">
        <f>HYPERLINK("https://rabota.by/resume/90b73af900086a59a80013a3fa50384c6c3249","Изготовитель полуфабрикатов")</f>
        <v>Изготовитель полуфабрикатов</v>
      </c>
      <c r="F10" s="8">
        <v>1000</v>
      </c>
    </row>
    <row r="11" spans="1:6" ht="14.25" x14ac:dyDescent="0.2">
      <c r="A11" s="3"/>
      <c r="B11" s="6">
        <v>7</v>
      </c>
      <c r="C11" s="7"/>
      <c r="D11" s="8"/>
      <c r="E11" s="103" t="str">
        <f>HYPERLINK("https://rabota.by/resume/225ab54300078fbda60013a3fa7a7276767470","Изготовитель полуфабрикатов")</f>
        <v>Изготовитель полуфабрикатов</v>
      </c>
      <c r="F11" s="8">
        <v>1000</v>
      </c>
    </row>
    <row r="12" spans="1:6" ht="14.25" x14ac:dyDescent="0.2">
      <c r="A12" s="3"/>
      <c r="B12" s="6">
        <v>8</v>
      </c>
      <c r="C12" s="7"/>
      <c r="D12" s="8"/>
      <c r="E12" s="103" t="str">
        <f>HYPERLINK("https://rabota.by/resume/acfbb10b0007ebc7d60013a3fa51333335336f","Изготовитель полуфабрикатов")</f>
        <v>Изготовитель полуфабрикатов</v>
      </c>
      <c r="F12" s="8">
        <v>1000</v>
      </c>
    </row>
    <row r="13" spans="1:6" ht="14.25" x14ac:dyDescent="0.2">
      <c r="A13" s="3"/>
      <c r="B13" s="6">
        <v>9</v>
      </c>
      <c r="C13" s="7"/>
      <c r="D13" s="8"/>
      <c r="E13" s="103" t="str">
        <f>HYPERLINK("https://rabota.by/resume/a1e5d5e70007d88e520013a3fa446c41376167","Изготовитель полуфабрикатов")</f>
        <v>Изготовитель полуфабрикатов</v>
      </c>
      <c r="F13" s="8">
        <v>1000</v>
      </c>
    </row>
    <row r="14" spans="1:6" ht="14.25" x14ac:dyDescent="0.2">
      <c r="A14" s="3"/>
      <c r="B14" s="6">
        <v>10</v>
      </c>
      <c r="C14" s="7"/>
      <c r="D14" s="8"/>
      <c r="E14" s="103" t="str">
        <f>HYPERLINK("https://rabota.by/resume/b3605f77000785ee920013a3fa30536e6a7033","Изготовитель полуфабрикатов")</f>
        <v>Изготовитель полуфабрикатов</v>
      </c>
      <c r="F14" s="8">
        <v>1000</v>
      </c>
    </row>
    <row r="15" spans="1:6" ht="14.25" x14ac:dyDescent="0.2">
      <c r="A15" s="3"/>
      <c r="B15" s="6">
        <v>11</v>
      </c>
      <c r="C15" s="7"/>
      <c r="D15" s="8"/>
      <c r="E15" s="103" t="str">
        <f>HYPERLINK("https://rabota.by/resume/1d9ca0470002e571b40013a3fa464433476c30","Изготовитель полуфабрикатов")</f>
        <v>Изготовитель полуфабрикатов</v>
      </c>
      <c r="F15" s="8">
        <v>1000</v>
      </c>
    </row>
    <row r="16" spans="1:6" ht="14.25" x14ac:dyDescent="0.2">
      <c r="A16" s="3"/>
      <c r="B16" s="6">
        <v>12</v>
      </c>
      <c r="C16" s="7"/>
      <c r="D16" s="8"/>
      <c r="E16" s="103" t="str">
        <f>HYPERLINK("https://rabota.by/resume/70403a810009ada1c40013a3fa617475307170","Изготовитель полуфабрикатов")</f>
        <v>Изготовитель полуфабрикатов</v>
      </c>
      <c r="F16" s="8">
        <v>900</v>
      </c>
    </row>
    <row r="17" spans="1:6" ht="14.25" x14ac:dyDescent="0.2">
      <c r="A17" s="3"/>
      <c r="B17" s="6">
        <v>13</v>
      </c>
      <c r="C17" s="7"/>
      <c r="D17" s="8"/>
      <c r="E17" s="103" t="str">
        <f>HYPERLINK("https://rabota.by/resume/12a793df00072fec1a0013a3fa48764b6d6c31","Изготовитель полуфабрикатов")</f>
        <v>Изготовитель полуфабрикатов</v>
      </c>
      <c r="F17" s="8">
        <v>900</v>
      </c>
    </row>
    <row r="18" spans="1:6" ht="14.25" x14ac:dyDescent="0.2">
      <c r="A18" s="3"/>
      <c r="B18" s="6">
        <v>14</v>
      </c>
      <c r="C18" s="7"/>
      <c r="D18" s="8"/>
      <c r="E18" s="103" t="str">
        <f>HYPERLINK("https://rabota.by/resume/f8e0688700072f35ce0013a3fa544a44454c57","Изготовитель полуфабрикатов")</f>
        <v>Изготовитель полуфабрикатов</v>
      </c>
      <c r="F18" s="8">
        <v>900</v>
      </c>
    </row>
    <row r="19" spans="1:6" ht="14.25" x14ac:dyDescent="0.2">
      <c r="A19" s="3"/>
      <c r="B19" s="6">
        <v>15</v>
      </c>
      <c r="C19" s="7"/>
      <c r="D19" s="8"/>
      <c r="E19" s="103" t="str">
        <f>HYPERLINK("https://rabota.by/resume/8a505ccf0003fbe0fa0013a3fa49557570306e","Изготовитель полуфабрикатов")</f>
        <v>Изготовитель полуфабрикатов</v>
      </c>
      <c r="F19" s="8">
        <v>850</v>
      </c>
    </row>
    <row r="20" spans="1:6" ht="14.25" x14ac:dyDescent="0.2">
      <c r="A20" s="3"/>
      <c r="B20" s="6">
        <v>16</v>
      </c>
      <c r="C20" s="7"/>
      <c r="D20" s="8"/>
      <c r="E20" s="103" t="str">
        <f>HYPERLINK("https://rabota.by/resume/2c971a170007a2b85d0013a3fa675969674b5a","Изготовитель полуфабрикатов")</f>
        <v>Изготовитель полуфабрикатов</v>
      </c>
      <c r="F20" s="8">
        <v>800</v>
      </c>
    </row>
    <row r="21" spans="1:6" ht="14.25" x14ac:dyDescent="0.2">
      <c r="A21" s="3"/>
      <c r="B21" s="6">
        <v>17</v>
      </c>
      <c r="C21" s="7"/>
      <c r="D21" s="8"/>
      <c r="E21" s="103" t="str">
        <f>HYPERLINK("https://rabota.by/resume/4340916d00085323bd0013a3fa4e496a6f5650","Изготовитель полуфабрикатов")</f>
        <v>Изготовитель полуфабрикатов</v>
      </c>
      <c r="F21" s="8">
        <v>800</v>
      </c>
    </row>
    <row r="22" spans="1:6" ht="14.25" x14ac:dyDescent="0.2">
      <c r="A22" s="3"/>
      <c r="B22" s="6">
        <v>18</v>
      </c>
      <c r="C22" s="7"/>
      <c r="D22" s="8"/>
      <c r="E22" s="103" t="str">
        <f>HYPERLINK("https://rabota.by/resume/8ecb73fd00035cad420013a3fa35554470464f","Изготовитель полуфабрикатов")</f>
        <v>Изготовитель полуфабрикатов</v>
      </c>
      <c r="F22" s="8">
        <v>800</v>
      </c>
    </row>
    <row r="23" spans="1:6" ht="14.25" x14ac:dyDescent="0.2">
      <c r="A23" s="3"/>
      <c r="B23" s="6">
        <v>19</v>
      </c>
      <c r="C23" s="7"/>
      <c r="D23" s="8"/>
      <c r="E23" s="103" t="str">
        <f>HYPERLINK("https://rabota.by/resume/6625f98200084ff7090013a3fa53544d6e4675","Изготовитель полуфабрикатов")</f>
        <v>Изготовитель полуфабрикатов</v>
      </c>
      <c r="F23" s="8">
        <v>750</v>
      </c>
    </row>
    <row r="24" spans="1:6" ht="14.25" x14ac:dyDescent="0.2">
      <c r="A24" s="3"/>
      <c r="B24" s="6">
        <v>20</v>
      </c>
      <c r="C24" s="7"/>
      <c r="D24" s="8"/>
      <c r="E24" s="103" t="str">
        <f>HYPERLINK("https://rabota.by/resume/522eea42000267e3d30013a3fa576b30315665","Изготовитель полуфабрикатов")</f>
        <v>Изготовитель полуфабрикатов</v>
      </c>
      <c r="F24" s="8">
        <v>600</v>
      </c>
    </row>
    <row r="25" spans="1:6" ht="14.25" x14ac:dyDescent="0.2">
      <c r="A25" s="3"/>
      <c r="B25" s="6">
        <v>21</v>
      </c>
      <c r="C25" s="7"/>
      <c r="D25" s="8"/>
      <c r="E25" s="103" t="str">
        <f>HYPERLINK("https://rabota.by/resume/8354792b0002c6cedd0013a3fa6d706154754b","Изготовитель полуфабрикатов")</f>
        <v>Изготовитель полуфабрикатов</v>
      </c>
      <c r="F25" s="8">
        <v>500</v>
      </c>
    </row>
    <row r="26" spans="1:6" ht="14.25" x14ac:dyDescent="0.2">
      <c r="A26" s="3"/>
      <c r="B26" s="6">
        <v>22</v>
      </c>
      <c r="C26" s="7"/>
      <c r="D26" s="8"/>
      <c r="E26" s="103" t="str">
        <f>HYPERLINK("https://rabota.by/resume/df932e27000180ac460013a3fa304e6f64774b","Изготовитель полуфабрикатов")</f>
        <v>Изготовитель полуфабрикатов</v>
      </c>
      <c r="F26" s="8">
        <v>300</v>
      </c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>
        <f>IFERROR(PERCENTILE(D5:D39,0.1),"-")</f>
        <v>915</v>
      </c>
      <c r="E40" s="11" t="s">
        <v>6</v>
      </c>
      <c r="F40" s="12">
        <f>IFERROR(PERCENTILE(F5:F39,0.1),"-")</f>
        <v>615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1012.5</v>
      </c>
      <c r="E41" s="14" t="s">
        <v>7</v>
      </c>
      <c r="F41" s="15">
        <f>IFERROR(QUARTILE(F5:F39, 1),"-")</f>
        <v>800</v>
      </c>
    </row>
    <row r="42" spans="1:6" ht="15" x14ac:dyDescent="0.25">
      <c r="A42" s="9"/>
      <c r="B42" s="16"/>
      <c r="C42" s="17" t="s">
        <v>8</v>
      </c>
      <c r="D42" s="18">
        <f>IFERROR(MEDIAN(D5:D39),"-")</f>
        <v>1175</v>
      </c>
      <c r="E42" s="17" t="s">
        <v>8</v>
      </c>
      <c r="F42" s="18">
        <f>IFERROR(MEDIAN(F5:F39),"-")</f>
        <v>950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1337.5</v>
      </c>
      <c r="E43" s="20" t="s">
        <v>9</v>
      </c>
      <c r="F43" s="21">
        <f>IFERROR(QUARTILE(F5:F39,3), "-")</f>
        <v>1000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1435</v>
      </c>
      <c r="E44" s="23" t="s">
        <v>10</v>
      </c>
      <c r="F44" s="24">
        <f>IFERROR(PERCENTILE(F5:F39,0.9),"-")</f>
        <v>1100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645</v>
      </c>
    </row>
    <row r="48" spans="1:6" ht="14.25" x14ac:dyDescent="0.2">
      <c r="C48" s="90" t="s">
        <v>7</v>
      </c>
      <c r="D48" s="91">
        <f>IFERROR(QUARTILE(D5:F39, 1),"-")</f>
        <v>800</v>
      </c>
    </row>
    <row r="49" spans="3:4" ht="14.25" x14ac:dyDescent="0.2">
      <c r="C49" s="92" t="s">
        <v>8</v>
      </c>
      <c r="D49" s="93">
        <f>IFERROR(MEDIAN(D5:D39,F5:F39),"-")</f>
        <v>950</v>
      </c>
    </row>
    <row r="50" spans="3:4" ht="14.25" x14ac:dyDescent="0.2">
      <c r="C50" s="94" t="s">
        <v>9</v>
      </c>
      <c r="D50" s="95">
        <f>IFERROR(QUARTILE(D5:F39,3), "-")</f>
        <v>1000</v>
      </c>
    </row>
    <row r="51" spans="3:4" ht="14.25" x14ac:dyDescent="0.2">
      <c r="C51" s="96" t="s">
        <v>10</v>
      </c>
      <c r="D51" s="97">
        <f>IFERROR(PERCENTILE(D5:F39,0.9),"-")</f>
        <v>1170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84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HYPERLINK("https://rabota.by/vacancy/52501628","Серволюкс, Группа компаний")</f>
        <v>Серволюкс, Группа компаний</v>
      </c>
      <c r="D5" s="8">
        <v>1200</v>
      </c>
      <c r="E5" s="103" t="str">
        <f>HYPERLINK("https://rabota.by/resume/5a67a6c30006c027ac0013a3fa64376839616d","Птицевод")</f>
        <v>Птицевод</v>
      </c>
      <c r="F5" s="8">
        <v>450</v>
      </c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>
        <f>IFERROR(PERCENTILE(D5:D39,0.1),"-")</f>
        <v>1200</v>
      </c>
      <c r="E40" s="11" t="s">
        <v>6</v>
      </c>
      <c r="F40" s="12">
        <f>IFERROR(PERCENTILE(F5:F39,0.1),"-")</f>
        <v>450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1200</v>
      </c>
      <c r="E41" s="14" t="s">
        <v>7</v>
      </c>
      <c r="F41" s="15">
        <f>IFERROR(QUARTILE(F5:F39, 1),"-")</f>
        <v>450</v>
      </c>
    </row>
    <row r="42" spans="1:6" ht="15" x14ac:dyDescent="0.25">
      <c r="A42" s="9"/>
      <c r="B42" s="16"/>
      <c r="C42" s="17" t="s">
        <v>8</v>
      </c>
      <c r="D42" s="18">
        <f>IFERROR(MEDIAN(D5:D39),"-")</f>
        <v>1200</v>
      </c>
      <c r="E42" s="17" t="s">
        <v>8</v>
      </c>
      <c r="F42" s="18">
        <f>IFERROR(MEDIAN(F5:F39),"-")</f>
        <v>450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1200</v>
      </c>
      <c r="E43" s="20" t="s">
        <v>9</v>
      </c>
      <c r="F43" s="21">
        <f>IFERROR(QUARTILE(F5:F39,3), "-")</f>
        <v>450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1200</v>
      </c>
      <c r="E44" s="23" t="s">
        <v>10</v>
      </c>
      <c r="F44" s="24">
        <f>IFERROR(PERCENTILE(F5:F39,0.9),"-")</f>
        <v>450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525.00000000000011</v>
      </c>
    </row>
    <row r="48" spans="1:6" ht="14.25" x14ac:dyDescent="0.2">
      <c r="C48" s="90" t="s">
        <v>7</v>
      </c>
      <c r="D48" s="91">
        <f>IFERROR(QUARTILE(D5:F39, 1),"-")</f>
        <v>637.5</v>
      </c>
    </row>
    <row r="49" spans="3:4" ht="14.25" x14ac:dyDescent="0.2">
      <c r="C49" s="92" t="s">
        <v>8</v>
      </c>
      <c r="D49" s="93">
        <f>IFERROR(MEDIAN(D5:D39,F5:F39),"-")</f>
        <v>825</v>
      </c>
    </row>
    <row r="50" spans="3:4" ht="14.25" x14ac:dyDescent="0.2">
      <c r="C50" s="94" t="s">
        <v>9</v>
      </c>
      <c r="D50" s="95">
        <f>IFERROR(QUARTILE(D5:F39,3), "-")</f>
        <v>1012.5</v>
      </c>
    </row>
    <row r="51" spans="3:4" ht="14.25" x14ac:dyDescent="0.2">
      <c r="C51" s="96" t="s">
        <v>10</v>
      </c>
      <c r="D51" s="97">
        <f>IFERROR(PERCENTILE(D5:F39,0.9),"-")</f>
        <v>1125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96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HYPERLINK("https://rabota.by/vacancy/33853462","PRIMUM")</f>
        <v>PRIMUM</v>
      </c>
      <c r="D5" s="8">
        <v>3000</v>
      </c>
      <c r="E5" s="103" t="str">
        <f>HYPERLINK("https://rabota.by/resume/4e9185f9000235a6430013a3fa696e46554564","Водитель-международник")</f>
        <v>Водитель-международник</v>
      </c>
      <c r="F5" s="8">
        <v>6000</v>
      </c>
    </row>
    <row r="6" spans="1:6" ht="14.25" x14ac:dyDescent="0.2">
      <c r="A6" s="3"/>
      <c r="B6" s="6">
        <v>2</v>
      </c>
      <c r="C6" s="102" t="str">
        <f>HYPERLINK("https://rabota.by/vacancy/49359568","APS")</f>
        <v>APS</v>
      </c>
      <c r="D6" s="8">
        <v>2500</v>
      </c>
      <c r="E6" s="103" t="str">
        <f>HYPERLINK("https://rabota.by/resume/82efac4e0000f012b20013a3fa5a6e30424e47","Водитель-международник")</f>
        <v>Водитель-международник</v>
      </c>
      <c r="F6" s="8">
        <v>5500</v>
      </c>
    </row>
    <row r="7" spans="1:6" ht="14.25" x14ac:dyDescent="0.2">
      <c r="A7" s="3"/>
      <c r="B7" s="6">
        <v>3</v>
      </c>
      <c r="C7" s="102" t="str">
        <f>HYPERLINK("https://rabota.by/vacancy/37134777","PRIMUM")</f>
        <v>PRIMUM</v>
      </c>
      <c r="D7" s="8">
        <v>3000</v>
      </c>
      <c r="E7" s="103" t="str">
        <f>HYPERLINK("https://rabota.by/resume/a1a752af0003f59d930013a3fa55374a4e3671","Водитель-международник")</f>
        <v>Водитель-международник</v>
      </c>
      <c r="F7" s="8">
        <v>4500</v>
      </c>
    </row>
    <row r="8" spans="1:6" ht="14.25" x14ac:dyDescent="0.2">
      <c r="A8" s="3"/>
      <c r="B8" s="6">
        <v>4</v>
      </c>
      <c r="C8" s="102" t="str">
        <f>HYPERLINK("https://rabota.by/vacancy/52315532","ООО ТрансКомБел Экспедиция")</f>
        <v>ООО ТрансКомБел Экспедиция</v>
      </c>
      <c r="D8" s="8">
        <v>1800</v>
      </c>
      <c r="E8" s="103" t="str">
        <f>HYPERLINK("https://rabota.by/resume/982f917b00090a5f5b0013a3fa674d51724e47","Водитель-международник")</f>
        <v>Водитель-международник</v>
      </c>
      <c r="F8" s="8">
        <v>4000</v>
      </c>
    </row>
    <row r="9" spans="1:6" ht="14.25" x14ac:dyDescent="0.2">
      <c r="A9" s="3"/>
      <c r="B9" s="6">
        <v>5</v>
      </c>
      <c r="C9" s="102" t="str">
        <f>HYPERLINK("https://rabota.by/vacancy/52042259","БЕЛПРУСС")</f>
        <v>БЕЛПРУСС</v>
      </c>
      <c r="D9" s="8">
        <v>4000</v>
      </c>
      <c r="E9" s="103" t="str">
        <f>HYPERLINK("https://rabota.by/resume/0113c61e0007bd5b270013a3fa5a44374c3633","Водитель-международник")</f>
        <v>Водитель-международник</v>
      </c>
      <c r="F9" s="8">
        <v>4000</v>
      </c>
    </row>
    <row r="10" spans="1:6" ht="14.25" x14ac:dyDescent="0.2">
      <c r="A10" s="3"/>
      <c r="B10" s="6">
        <v>6</v>
      </c>
      <c r="C10" s="102" t="str">
        <f>HYPERLINK("https://rabota.by/vacancy/51868585","БЕЛПРУСС")</f>
        <v>БЕЛПРУСС</v>
      </c>
      <c r="D10" s="8">
        <v>4000</v>
      </c>
      <c r="E10" s="103" t="str">
        <f>HYPERLINK("https://rabota.by/resume/764cb97500071997650013a3fa5a3459543262","Водитель-международник")</f>
        <v>Водитель-международник</v>
      </c>
      <c r="F10" s="8">
        <v>3500</v>
      </c>
    </row>
    <row r="11" spans="1:6" ht="14.25" x14ac:dyDescent="0.2">
      <c r="A11" s="3"/>
      <c r="B11" s="6">
        <v>7</v>
      </c>
      <c r="C11" s="102" t="str">
        <f>HYPERLINK("https://rabota.by/vacancy/36347051","JENTY")</f>
        <v>JENTY</v>
      </c>
      <c r="D11" s="8">
        <v>2500</v>
      </c>
      <c r="E11" s="103" t="str">
        <f>HYPERLINK("https://rabota.by/resume/133af6cf00028f0a6a0013a3fa63396f63396d","Водитель-международник")</f>
        <v>Водитель-международник</v>
      </c>
      <c r="F11" s="8">
        <v>3500</v>
      </c>
    </row>
    <row r="12" spans="1:6" ht="14.25" x14ac:dyDescent="0.2">
      <c r="A12" s="3"/>
      <c r="B12" s="6">
        <v>8</v>
      </c>
      <c r="C12" s="102" t="str">
        <f>HYPERLINK("https://rabota.by/vacancy/52060569","R Group")</f>
        <v>R Group</v>
      </c>
      <c r="D12" s="8">
        <v>3000</v>
      </c>
      <c r="E12" s="103" t="str">
        <f>HYPERLINK("https://rabota.by/resume/38853ed400091f4b190013a3fa6d36446b6f36","Водитель-международник")</f>
        <v>Водитель-международник</v>
      </c>
      <c r="F12" s="8">
        <v>3500</v>
      </c>
    </row>
    <row r="13" spans="1:6" ht="14.25" x14ac:dyDescent="0.2">
      <c r="A13" s="3"/>
      <c r="B13" s="6">
        <v>9</v>
      </c>
      <c r="C13" s="102" t="str">
        <f>HYPERLINK("https://rabota.by/vacancy/52388021","ОАО АТЭК-Могилев")</f>
        <v>ОАО АТЭК-Могилев</v>
      </c>
      <c r="D13" s="8">
        <v>1800</v>
      </c>
      <c r="E13" s="103" t="str">
        <f>HYPERLINK("https://rabota.by/resume/20e46b6e00067e435c0013a3fa393455486b68","Водитель-международник")</f>
        <v>Водитель-международник</v>
      </c>
      <c r="F13" s="8">
        <v>3100</v>
      </c>
    </row>
    <row r="14" spans="1:6" ht="14.25" x14ac:dyDescent="0.2">
      <c r="A14" s="3"/>
      <c r="B14" s="6">
        <v>10</v>
      </c>
      <c r="C14" s="102" t="str">
        <f>HYPERLINK("https://rabota.by/vacancy/52321725","УП КГК")</f>
        <v>УП КГК</v>
      </c>
      <c r="D14" s="8">
        <v>2200</v>
      </c>
      <c r="E14" s="103" t="str">
        <f>HYPERLINK("https://rabota.by/resume/bac3b54100091b3f330013a3fa765355313772","Водитель-международник")</f>
        <v>Водитель-международник</v>
      </c>
      <c r="F14" s="8">
        <v>3000</v>
      </c>
    </row>
    <row r="15" spans="1:6" ht="14.25" x14ac:dyDescent="0.2">
      <c r="A15" s="3"/>
      <c r="B15" s="6">
        <v>11</v>
      </c>
      <c r="C15" s="102" t="str">
        <f>HYPERLINK("https://rabota.by/vacancy/52308699","ИП Ковалев С. С.")</f>
        <v>ИП Ковалев С. С.</v>
      </c>
      <c r="D15" s="8">
        <v>2500</v>
      </c>
      <c r="E15" s="103" t="str">
        <f>HYPERLINK("https://rabota.by/resume/b8ac689d000896f5ec0013a3fa426d776b4d6d","Водитель-международник")</f>
        <v>Водитель-международник</v>
      </c>
      <c r="F15" s="8">
        <v>3000</v>
      </c>
    </row>
    <row r="16" spans="1:6" ht="14.25" x14ac:dyDescent="0.2">
      <c r="A16" s="3"/>
      <c r="B16" s="6">
        <v>12</v>
      </c>
      <c r="C16" s="102" t="str">
        <f>HYPERLINK("https://rabota.by/vacancy/52249274","ИП Бурдова Е. В.")</f>
        <v>ИП Бурдова Е. В.</v>
      </c>
      <c r="D16" s="8">
        <v>2500</v>
      </c>
      <c r="E16" s="103" t="str">
        <f>HYPERLINK("https://rabota.by/resume/6c5a4cc00009586d6c0013a3fa4b6261734574","Водитель-международник")</f>
        <v>Водитель-международник</v>
      </c>
      <c r="F16" s="8">
        <v>3000</v>
      </c>
    </row>
    <row r="17" spans="1:6" ht="14.25" x14ac:dyDescent="0.2">
      <c r="A17" s="3"/>
      <c r="B17" s="6">
        <v>13</v>
      </c>
      <c r="C17" s="102" t="str">
        <f>HYPERLINK("https://rabota.by/vacancy/52152920","ИП Валиев Р.В.")</f>
        <v>ИП Валиев Р.В.</v>
      </c>
      <c r="D17" s="8">
        <v>1300</v>
      </c>
      <c r="E17" s="103" t="str">
        <f>HYPERLINK("https://rabota.by/resume/d375e3b7000961918c0013a3fa65334f6b6464","Водитель-международник")</f>
        <v>Водитель-международник</v>
      </c>
      <c r="F17" s="8">
        <v>3000</v>
      </c>
    </row>
    <row r="18" spans="1:6" ht="14.25" x14ac:dyDescent="0.2">
      <c r="A18" s="3"/>
      <c r="B18" s="6">
        <v>14</v>
      </c>
      <c r="C18" s="102" t="str">
        <f>HYPERLINK("https://rabota.by/vacancy/51939779","ООО НВК-ТрансГрупп")</f>
        <v>ООО НВК-ТрансГрупп</v>
      </c>
      <c r="D18" s="8">
        <v>1000</v>
      </c>
      <c r="E18" s="103" t="str">
        <f>HYPERLINK("https://rabota.by/resume/8b9f9a29000858b6040013a3fa387777453557","Водитель-международник")</f>
        <v>Водитель-международник</v>
      </c>
      <c r="F18" s="8">
        <v>3000</v>
      </c>
    </row>
    <row r="19" spans="1:6" ht="14.25" x14ac:dyDescent="0.2">
      <c r="A19" s="3"/>
      <c r="B19" s="6">
        <v>15</v>
      </c>
      <c r="C19" s="102" t="str">
        <f>HYPERLINK("https://rabota.by/vacancy/52153564","УП ПАВАС")</f>
        <v>УП ПАВАС</v>
      </c>
      <c r="D19" s="8">
        <v>2300</v>
      </c>
      <c r="E19" s="103" t="str">
        <f>HYPERLINK("https://rabota.by/resume/7927dacf00085bc2270013a3fa4d5a7a337258","Водитель-международник")</f>
        <v>Водитель-международник</v>
      </c>
      <c r="F19" s="8">
        <v>3000</v>
      </c>
    </row>
    <row r="20" spans="1:6" ht="14.25" x14ac:dyDescent="0.2">
      <c r="A20" s="3"/>
      <c r="B20" s="6">
        <v>16</v>
      </c>
      <c r="C20" s="102" t="str">
        <f>HYPERLINK("https://rabota.by/vacancy/52033535","УП ЛокиАвто")</f>
        <v>УП ЛокиАвто</v>
      </c>
      <c r="D20" s="8">
        <v>2000</v>
      </c>
      <c r="E20" s="103" t="str">
        <f>HYPERLINK("https://rabota.by/resume/3592eedf00097ea67c0013a3fa6d4844764665","Водитель-международник")</f>
        <v>Водитель-международник</v>
      </c>
      <c r="F20" s="8">
        <v>3000</v>
      </c>
    </row>
    <row r="21" spans="1:6" ht="14.25" x14ac:dyDescent="0.2">
      <c r="A21" s="3"/>
      <c r="B21" s="6">
        <v>17</v>
      </c>
      <c r="C21" s="102" t="str">
        <f>HYPERLINK("https://rabota.by/vacancy/51912579","ООО Свет Маяка")</f>
        <v>ООО Свет Маяка</v>
      </c>
      <c r="D21" s="8">
        <v>2600</v>
      </c>
      <c r="E21" s="103" t="str">
        <f>HYPERLINK("https://rabota.by/resume/ac7a8a100008f077fa0013a3fa766d44384d50","Водитель-международник")</f>
        <v>Водитель-международник</v>
      </c>
      <c r="F21" s="8">
        <v>2600</v>
      </c>
    </row>
    <row r="22" spans="1:6" ht="14.25" x14ac:dyDescent="0.2">
      <c r="A22" s="3"/>
      <c r="B22" s="6">
        <v>18</v>
      </c>
      <c r="C22" s="102" t="str">
        <f>HYPERLINK("https://rabota.by/vacancy/52099824","Аврора Энерджи")</f>
        <v>Аврора Энерджи</v>
      </c>
      <c r="D22" s="8">
        <v>1800</v>
      </c>
      <c r="E22" s="103" t="str">
        <f>HYPERLINK("https://rabota.by/resume/14d3eb3b00071ef7a00013a3fa533333504f52","Водитель-международник")</f>
        <v>Водитель-международник</v>
      </c>
      <c r="F22" s="8">
        <v>2500</v>
      </c>
    </row>
    <row r="23" spans="1:6" ht="14.25" x14ac:dyDescent="0.2">
      <c r="A23" s="3"/>
      <c r="B23" s="6">
        <v>19</v>
      </c>
      <c r="C23" s="102" t="str">
        <f>HYPERLINK("https://rabota.by/vacancy/51813271","ИП Чубиков И. А.")</f>
        <v>ИП Чубиков И. А.</v>
      </c>
      <c r="D23" s="8">
        <v>2500</v>
      </c>
      <c r="E23" s="103" t="str">
        <f>HYPERLINK("https://rabota.by/resume/29581ce40008a40ead0013a3fa52716f327751","Водитель-международник")</f>
        <v>Водитель-международник</v>
      </c>
      <c r="F23" s="8">
        <v>2500</v>
      </c>
    </row>
    <row r="24" spans="1:6" ht="14.25" x14ac:dyDescent="0.2">
      <c r="A24" s="3"/>
      <c r="B24" s="6">
        <v>20</v>
      </c>
      <c r="C24" s="102" t="str">
        <f>HYPERLINK("https://rabota.by/vacancy/51776775","ЧТУП ЕвРосТранс")</f>
        <v>ЧТУП ЕвРосТранс</v>
      </c>
      <c r="D24" s="8">
        <v>2500</v>
      </c>
      <c r="E24" s="103" t="str">
        <f>HYPERLINK("https://rabota.by/resume/b38729080007d75f0c0013a3fa784a67326a33","Водитель-международник")</f>
        <v>Водитель-международник</v>
      </c>
      <c r="F24" s="8">
        <v>2500</v>
      </c>
    </row>
    <row r="25" spans="1:6" ht="14.25" x14ac:dyDescent="0.2">
      <c r="A25" s="3"/>
      <c r="B25" s="6">
        <v>21</v>
      </c>
      <c r="C25" s="7"/>
      <c r="D25" s="8"/>
      <c r="E25" s="103" t="str">
        <f>HYPERLINK("https://rabota.by/resume/d05883db0009888b4e0013a3fa515a62307a57","Водитель-международник")</f>
        <v>Водитель-международник</v>
      </c>
      <c r="F25" s="8">
        <v>2500</v>
      </c>
    </row>
    <row r="26" spans="1:6" ht="14.25" x14ac:dyDescent="0.2">
      <c r="A26" s="3"/>
      <c r="B26" s="6">
        <v>22</v>
      </c>
      <c r="C26" s="7"/>
      <c r="D26" s="8"/>
      <c r="E26" s="103" t="str">
        <f>HYPERLINK("https://rabota.by/resume/b2473dd900077b2c360013a3fa583938626f71","Водитель-международник")</f>
        <v>Водитель-международник</v>
      </c>
      <c r="F26" s="8">
        <v>2200</v>
      </c>
    </row>
    <row r="27" spans="1:6" ht="14.25" x14ac:dyDescent="0.2">
      <c r="A27" s="3"/>
      <c r="B27" s="6">
        <v>23</v>
      </c>
      <c r="C27" s="7"/>
      <c r="D27" s="8"/>
      <c r="E27" s="103" t="str">
        <f>HYPERLINK("https://rabota.by/resume/2f656b7900095b69cb0013a3fa784d786b4632","Водитель-международник")</f>
        <v>Водитель-международник</v>
      </c>
      <c r="F27" s="8">
        <v>2000</v>
      </c>
    </row>
    <row r="28" spans="1:6" ht="14.25" x14ac:dyDescent="0.2">
      <c r="A28" s="3"/>
      <c r="B28" s="6">
        <v>24</v>
      </c>
      <c r="C28" s="7"/>
      <c r="D28" s="8"/>
      <c r="E28" s="103" t="str">
        <f>HYPERLINK("https://rabota.by/resume/3048bd5b000976cf8c0013a3fa6270374c6c72","Водитель-международник")</f>
        <v>Водитель-международник</v>
      </c>
      <c r="F28" s="8">
        <v>2000</v>
      </c>
    </row>
    <row r="29" spans="1:6" ht="14.25" x14ac:dyDescent="0.2">
      <c r="A29" s="3"/>
      <c r="B29" s="6">
        <v>25</v>
      </c>
      <c r="C29" s="7"/>
      <c r="D29" s="8"/>
      <c r="E29" s="103" t="str">
        <f>HYPERLINK("https://rabota.by/resume/6e044d8e0007f8ac0f0013a3fa745a7449346e","Водитель-международник")</f>
        <v>Водитель-международник</v>
      </c>
      <c r="F29" s="8">
        <v>2000</v>
      </c>
    </row>
    <row r="30" spans="1:6" ht="14.25" x14ac:dyDescent="0.2">
      <c r="A30" s="3"/>
      <c r="B30" s="6">
        <v>26</v>
      </c>
      <c r="C30" s="7"/>
      <c r="D30" s="8"/>
      <c r="E30" s="103" t="str">
        <f>HYPERLINK("https://rabota.by/resume/40b4983500077e721e0013a3fa743438684e6f","Водитель-международник")</f>
        <v>Водитель-международник</v>
      </c>
      <c r="F30" s="8">
        <v>2000</v>
      </c>
    </row>
    <row r="31" spans="1:6" ht="14.25" x14ac:dyDescent="0.2">
      <c r="A31" s="3"/>
      <c r="B31" s="6">
        <v>27</v>
      </c>
      <c r="C31" s="7"/>
      <c r="D31" s="8"/>
      <c r="E31" s="103" t="str">
        <f>HYPERLINK("https://rabota.by/resume/b878f3b300091a3a290013a3fa334467444870","Водитель-международник")</f>
        <v>Водитель-международник</v>
      </c>
      <c r="F31" s="8">
        <v>2000</v>
      </c>
    </row>
    <row r="32" spans="1:6" ht="14.25" x14ac:dyDescent="0.2">
      <c r="A32" s="3"/>
      <c r="B32" s="6">
        <v>28</v>
      </c>
      <c r="C32" s="7"/>
      <c r="D32" s="8"/>
      <c r="E32" s="103" t="str">
        <f>HYPERLINK("https://rabota.by/resume/d4f1f42300063431a90013a3fa4f366d4e4c6f","Водитель-международник")</f>
        <v>Водитель-международник</v>
      </c>
      <c r="F32" s="8">
        <v>2000</v>
      </c>
    </row>
    <row r="33" spans="1:6" ht="14.25" x14ac:dyDescent="0.2">
      <c r="A33" s="3"/>
      <c r="B33" s="6">
        <v>29</v>
      </c>
      <c r="C33" s="7"/>
      <c r="D33" s="8"/>
      <c r="E33" s="103" t="str">
        <f>HYPERLINK("https://rabota.by/resume/7f0d269b0005eaf64e0013a3fa51705835316b","Водитель-международник")</f>
        <v>Водитель-международник</v>
      </c>
      <c r="F33" s="8">
        <v>2000</v>
      </c>
    </row>
    <row r="34" spans="1:6" ht="14.25" x14ac:dyDescent="0.2">
      <c r="A34" s="3"/>
      <c r="B34" s="6">
        <v>30</v>
      </c>
      <c r="C34" s="7"/>
      <c r="D34" s="8"/>
      <c r="E34" s="103" t="str">
        <f>HYPERLINK("https://rabota.by/resume/f34d7c8500080aee510013a3fa5151735a794d","Водитель-международник")</f>
        <v>Водитель-международник</v>
      </c>
      <c r="F34" s="8">
        <v>2000</v>
      </c>
    </row>
    <row r="35" spans="1:6" ht="14.25" x14ac:dyDescent="0.2">
      <c r="A35" s="3"/>
      <c r="B35" s="6">
        <v>31</v>
      </c>
      <c r="C35" s="7"/>
      <c r="D35" s="8"/>
      <c r="E35" s="103" t="str">
        <f>HYPERLINK("https://rabota.by/resume/aa37607600082792680013a3fa546b43384e30","Водитель-международник")</f>
        <v>Водитель-международник</v>
      </c>
      <c r="F35" s="8">
        <v>2000</v>
      </c>
    </row>
    <row r="36" spans="1:6" ht="14.25" x14ac:dyDescent="0.2">
      <c r="A36" s="3"/>
      <c r="B36" s="6">
        <v>32</v>
      </c>
      <c r="C36" s="7"/>
      <c r="D36" s="8"/>
      <c r="E36" s="103" t="str">
        <f>HYPERLINK("https://rabota.by/resume/cd1dd56c0008327be50013a3fa456d33485955","Водитель-международник")</f>
        <v>Водитель-международник</v>
      </c>
      <c r="F36" s="8">
        <v>2000</v>
      </c>
    </row>
    <row r="37" spans="1:6" ht="14.25" x14ac:dyDescent="0.2">
      <c r="A37" s="3"/>
      <c r="B37" s="6">
        <v>33</v>
      </c>
      <c r="C37" s="7"/>
      <c r="D37" s="8"/>
      <c r="E37" s="103" t="str">
        <f>HYPERLINK("https://rabota.by/resume/149372280008630b4b0013a3fa347347734154","Водитель-международник")</f>
        <v>Водитель-международник</v>
      </c>
      <c r="F37" s="8">
        <v>2000</v>
      </c>
    </row>
    <row r="38" spans="1:6" ht="14.25" x14ac:dyDescent="0.2">
      <c r="A38" s="3"/>
      <c r="B38" s="6">
        <v>34</v>
      </c>
      <c r="C38" s="7"/>
      <c r="D38" s="8"/>
      <c r="E38" s="103" t="str">
        <f>HYPERLINK("https://rabota.by/resume/4506075d0008116dcd0013a3fa4a6c6f79494d","Водитель-международник")</f>
        <v>Водитель-международник</v>
      </c>
      <c r="F38" s="8">
        <v>2000</v>
      </c>
    </row>
    <row r="39" spans="1:6" ht="14.25" x14ac:dyDescent="0.2">
      <c r="A39" s="3"/>
      <c r="B39" s="6">
        <v>35</v>
      </c>
      <c r="C39" s="7"/>
      <c r="D39" s="8"/>
      <c r="E39" s="103" t="str">
        <f>HYPERLINK("https://rabota.by/resume/e07d89230007f7ce850013a3fa41695539486b","Водитель-международник")</f>
        <v>Водитель-международник</v>
      </c>
      <c r="F39" s="8">
        <v>2000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1750.0000000000002</v>
      </c>
      <c r="E40" s="11" t="s">
        <v>6</v>
      </c>
      <c r="F40" s="12">
        <f>IFERROR(PERCENTILE(F5:F39,0.1),"-")</f>
        <v>2000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1950</v>
      </c>
      <c r="E41" s="14" t="s">
        <v>7</v>
      </c>
      <c r="F41" s="15">
        <f>IFERROR(QUARTILE(F5:F39, 1),"-")</f>
        <v>2000</v>
      </c>
    </row>
    <row r="42" spans="1:6" ht="15" x14ac:dyDescent="0.25">
      <c r="A42" s="9"/>
      <c r="B42" s="16"/>
      <c r="C42" s="17" t="s">
        <v>8</v>
      </c>
      <c r="D42" s="18">
        <f>IFERROR(MEDIAN(D5:D39),"-")</f>
        <v>2500</v>
      </c>
      <c r="E42" s="17" t="s">
        <v>8</v>
      </c>
      <c r="F42" s="18">
        <f>IFERROR(MEDIAN(F5:F39),"-")</f>
        <v>2500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2700</v>
      </c>
      <c r="E43" s="20" t="s">
        <v>9</v>
      </c>
      <c r="F43" s="21">
        <f>IFERROR(QUARTILE(F5:F39,3), "-")</f>
        <v>3050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3100.0000000000014</v>
      </c>
      <c r="E44" s="23" t="s">
        <v>10</v>
      </c>
      <c r="F44" s="24">
        <f>IFERROR(PERCENTILE(F5:F39,0.9),"-")</f>
        <v>4000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2000</v>
      </c>
    </row>
    <row r="48" spans="1:6" ht="14.25" x14ac:dyDescent="0.2">
      <c r="C48" s="90" t="s">
        <v>7</v>
      </c>
      <c r="D48" s="91">
        <f>IFERROR(QUARTILE(D5:F39, 1),"-")</f>
        <v>2000</v>
      </c>
    </row>
    <row r="49" spans="3:4" ht="14.25" x14ac:dyDescent="0.2">
      <c r="C49" s="92" t="s">
        <v>8</v>
      </c>
      <c r="D49" s="93">
        <f>IFERROR(MEDIAN(D5:D39,F5:F39),"-")</f>
        <v>2500</v>
      </c>
    </row>
    <row r="50" spans="3:4" ht="14.25" x14ac:dyDescent="0.2">
      <c r="C50" s="94" t="s">
        <v>9</v>
      </c>
      <c r="D50" s="95">
        <f>IFERROR(QUARTILE(D5:F39,3), "-")</f>
        <v>3000</v>
      </c>
    </row>
    <row r="51" spans="3:4" ht="14.25" x14ac:dyDescent="0.2">
      <c r="C51" s="96" t="s">
        <v>10</v>
      </c>
      <c r="D51" s="97">
        <f>IFERROR(PERCENTILE(D5:F39,0.9),"-")</f>
        <v>4000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94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HYPERLINK("https://rabota.by/vacancy/52260254","ООО Полная Мощность")</f>
        <v>ООО Полная Мощность</v>
      </c>
      <c r="D5" s="8">
        <v>2000</v>
      </c>
      <c r="E5" s="103" t="str">
        <f>HYPERLINK("https://rabota.by/resume/a39afdb400079fb75e0013a3fa756564503345","Водитель")</f>
        <v>Водитель</v>
      </c>
      <c r="F5" s="8">
        <v>1500</v>
      </c>
    </row>
    <row r="6" spans="1:6" ht="14.25" x14ac:dyDescent="0.2">
      <c r="A6" s="3"/>
      <c r="B6" s="6">
        <v>2</v>
      </c>
      <c r="C6" s="102" t="str">
        <f>HYPERLINK("https://rabota.by/vacancy/49880355","Интерпоинт")</f>
        <v>Интерпоинт</v>
      </c>
      <c r="D6" s="8">
        <v>900</v>
      </c>
      <c r="E6" s="103" t="str">
        <f>HYPERLINK("https://rabota.by/resume/06fcfa2e0007ed796f0013a3fa4350556e4379","Водитель")</f>
        <v>Водитель</v>
      </c>
      <c r="F6" s="8">
        <v>1500</v>
      </c>
    </row>
    <row r="7" spans="1:6" ht="14.25" x14ac:dyDescent="0.2">
      <c r="A7" s="3"/>
      <c r="B7" s="6">
        <v>3</v>
      </c>
      <c r="C7" s="102" t="str">
        <f>HYPERLINK("https://rabota.by/vacancy/51004637","ЗАО Минский завод виноградных вин")</f>
        <v>ЗАО Минский завод виноградных вин</v>
      </c>
      <c r="D7" s="8">
        <v>1300</v>
      </c>
      <c r="E7" s="103" t="str">
        <f>HYPERLINK("https://rabota.by/resume/79e3b9f500079902120013a3fa515a66676665","Водитель")</f>
        <v>Водитель</v>
      </c>
      <c r="F7" s="8">
        <v>1500</v>
      </c>
    </row>
    <row r="8" spans="1:6" ht="14.25" x14ac:dyDescent="0.2">
      <c r="A8" s="3"/>
      <c r="B8" s="6">
        <v>4</v>
      </c>
      <c r="C8" s="102" t="str">
        <f>HYPERLINK("https://rabota.by/vacancy/52316689","ООО Компания Азимут")</f>
        <v>ООО Компания Азимут</v>
      </c>
      <c r="D8" s="8">
        <v>1000</v>
      </c>
      <c r="E8" s="103" t="str">
        <f>HYPERLINK("https://rabota.by/resume/2139232e0009aea0db0013a3fa596e30497665","Водитель")</f>
        <v>Водитель</v>
      </c>
      <c r="F8" s="8">
        <v>1500</v>
      </c>
    </row>
    <row r="9" spans="1:6" ht="14.25" x14ac:dyDescent="0.2">
      <c r="A9" s="3"/>
      <c r="B9" s="6">
        <v>5</v>
      </c>
      <c r="C9" s="102" t="str">
        <f>HYPERLINK("https://rabota.by/vacancy/51423955","ООО АльКовТранс")</f>
        <v>ООО АльКовТранс</v>
      </c>
      <c r="D9" s="8">
        <v>1300</v>
      </c>
      <c r="E9" s="103" t="str">
        <f>HYPERLINK("https://rabota.by/resume/9a60cad800098168ed0013a3fa696538416c65","Водитель")</f>
        <v>Водитель</v>
      </c>
      <c r="F9" s="8">
        <v>1500</v>
      </c>
    </row>
    <row r="10" spans="1:6" ht="14.25" x14ac:dyDescent="0.2">
      <c r="A10" s="3"/>
      <c r="B10" s="6">
        <v>6</v>
      </c>
      <c r="C10" s="102" t="str">
        <f>HYPERLINK("https://rabota.by/vacancy/52059866","Группа Компаний Армтек")</f>
        <v>Группа Компаний Армтек</v>
      </c>
      <c r="D10" s="8">
        <v>1360</v>
      </c>
      <c r="E10" s="103" t="str">
        <f>HYPERLINK("https://rabota.by/resume/562aa647000946a92b0013a3fa7959666e5167","Водитель")</f>
        <v>Водитель</v>
      </c>
      <c r="F10" s="8">
        <v>1500</v>
      </c>
    </row>
    <row r="11" spans="1:6" ht="14.25" x14ac:dyDescent="0.2">
      <c r="A11" s="3"/>
      <c r="B11" s="6">
        <v>7</v>
      </c>
      <c r="C11" s="102" t="str">
        <f>HYPERLINK("https://rabota.by/vacancy/52104592","ООО Пеллетайзер")</f>
        <v>ООО Пеллетайзер</v>
      </c>
      <c r="D11" s="8">
        <v>1700</v>
      </c>
      <c r="E11" s="103" t="str">
        <f>HYPERLINK("https://rabota.by/resume/ac0e6814000525e66f0013a3fa30784d635275","Водитель")</f>
        <v>Водитель</v>
      </c>
      <c r="F11" s="8">
        <v>1300</v>
      </c>
    </row>
    <row r="12" spans="1:6" ht="14.25" x14ac:dyDescent="0.2">
      <c r="A12" s="3"/>
      <c r="B12" s="6">
        <v>8</v>
      </c>
      <c r="C12" s="102" t="str">
        <f>HYPERLINK("https://rabota.by/vacancy/51846760","ОАО Ольса")</f>
        <v>ОАО Ольса</v>
      </c>
      <c r="D12" s="8">
        <v>1900</v>
      </c>
      <c r="E12" s="103" t="str">
        <f>HYPERLINK("https://rabota.by/resume/202049f6000798dde30013a3fa384445634f72","Водитель")</f>
        <v>Водитель</v>
      </c>
      <c r="F12" s="8">
        <v>1300</v>
      </c>
    </row>
    <row r="13" spans="1:6" ht="14.25" x14ac:dyDescent="0.2">
      <c r="A13" s="3"/>
      <c r="B13" s="6">
        <v>9</v>
      </c>
      <c r="C13" s="102" t="str">
        <f>HYPERLINK("https://rabota.by/vacancy/52114249","Автолайтэкспресс")</f>
        <v>Автолайтэкспресс</v>
      </c>
      <c r="D13" s="8">
        <v>1500</v>
      </c>
      <c r="E13" s="103" t="str">
        <f>HYPERLINK("https://rabota.by/resume/3b89134a00037ed5fd0013a3fa6a6a754a6947","Водитель")</f>
        <v>Водитель</v>
      </c>
      <c r="F13" s="8">
        <v>1300</v>
      </c>
    </row>
    <row r="14" spans="1:6" ht="14.25" x14ac:dyDescent="0.2">
      <c r="A14" s="3"/>
      <c r="B14" s="6">
        <v>10</v>
      </c>
      <c r="C14" s="102" t="str">
        <f>HYPERLINK("https://rabota.by/vacancy/51276355","ООО Миниреф")</f>
        <v>ООО Миниреф</v>
      </c>
      <c r="D14" s="8">
        <v>1300</v>
      </c>
      <c r="E14" s="103" t="str">
        <f>HYPERLINK("https://rabota.by/resume/be4118a40008cefdef0013a3fa45565631446a","Водитель")</f>
        <v>Водитель</v>
      </c>
      <c r="F14" s="8">
        <v>1300</v>
      </c>
    </row>
    <row r="15" spans="1:6" ht="14.25" x14ac:dyDescent="0.2">
      <c r="A15" s="3"/>
      <c r="B15" s="6">
        <v>11</v>
      </c>
      <c r="C15" s="102" t="str">
        <f>HYPERLINK("https://rabota.by/vacancy/51499762","Интерпоинт")</f>
        <v>Интерпоинт</v>
      </c>
      <c r="D15" s="8">
        <v>900</v>
      </c>
      <c r="E15" s="103" t="str">
        <f>HYPERLINK("https://rabota.by/resume/4af70ee000097da1330013a3fa42634e52776d","Водитель")</f>
        <v>Водитель</v>
      </c>
      <c r="F15" s="8">
        <v>1300</v>
      </c>
    </row>
    <row r="16" spans="1:6" ht="14.25" x14ac:dyDescent="0.2">
      <c r="A16" s="3"/>
      <c r="B16" s="6">
        <v>12</v>
      </c>
      <c r="C16" s="102" t="str">
        <f>HYPERLINK("https://hh.ru/vacancy/49835348","Подключение водителей к сервису Максим")</f>
        <v>Подключение водителей к сервису Максим</v>
      </c>
      <c r="D16" s="8">
        <v>1700</v>
      </c>
      <c r="E16" s="103" t="str">
        <f>HYPERLINK("https://rabota.by/resume/8e70a1d10008ea6aa70013a3fa597668386248","Водитель")</f>
        <v>Водитель</v>
      </c>
      <c r="F16" s="8">
        <v>1300</v>
      </c>
    </row>
    <row r="17" spans="1:6" ht="14.25" x14ac:dyDescent="0.2">
      <c r="A17" s="3"/>
      <c r="B17" s="6">
        <v>13</v>
      </c>
      <c r="C17" s="102" t="str">
        <f>HYPERLINK("https://hh.ru/vacancy/49835768","Подключение водителей к сервису Максим")</f>
        <v>Подключение водителей к сервису Максим</v>
      </c>
      <c r="D17" s="8">
        <v>1800</v>
      </c>
      <c r="E17" s="103" t="str">
        <f>HYPERLINK("https://rabota.by/resume/2b26b44200098afdae0013a3fa7a5236774557","Водитель")</f>
        <v>Водитель</v>
      </c>
      <c r="F17" s="8">
        <v>1200</v>
      </c>
    </row>
    <row r="18" spans="1:6" ht="14.25" x14ac:dyDescent="0.2">
      <c r="A18" s="3"/>
      <c r="B18" s="6">
        <v>14</v>
      </c>
      <c r="C18" s="102" t="str">
        <f>HYPERLINK("https://rabota.by/vacancy/50736571","ОАО Молочные горки")</f>
        <v>ОАО Молочные горки</v>
      </c>
      <c r="D18" s="8">
        <v>700</v>
      </c>
      <c r="E18" s="103" t="str">
        <f>HYPERLINK("https://rabota.by/resume/c46809f6000954ef8e0013a3fa6c3237536775","Водитель")</f>
        <v>Водитель</v>
      </c>
      <c r="F18" s="8">
        <v>1200</v>
      </c>
    </row>
    <row r="19" spans="1:6" ht="14.25" x14ac:dyDescent="0.2">
      <c r="A19" s="3"/>
      <c r="B19" s="6">
        <v>15</v>
      </c>
      <c r="C19" s="102" t="str">
        <f>HYPERLINK("https://rabota.by/vacancy/52180301","ОДО Белита-Витэкс-Могилев")</f>
        <v>ОДО Белита-Витэкс-Могилев</v>
      </c>
      <c r="D19" s="8">
        <v>1000</v>
      </c>
      <c r="E19" s="103" t="str">
        <f>HYPERLINK("https://rabota.by/resume/a1102d81000902e9610013a3fa6b68656d5a50","Водитель")</f>
        <v>Водитель</v>
      </c>
      <c r="F19" s="8">
        <v>1200</v>
      </c>
    </row>
    <row r="20" spans="1:6" ht="14.25" x14ac:dyDescent="0.2">
      <c r="A20" s="3"/>
      <c r="B20" s="6">
        <v>16</v>
      </c>
      <c r="C20" s="102" t="str">
        <f>HYPERLINK("https://rabota.by/vacancy/52016403","ОАО Бакалея Могилев")</f>
        <v>ОАО Бакалея Могилев</v>
      </c>
      <c r="D20" s="8">
        <v>600</v>
      </c>
      <c r="E20" s="103" t="str">
        <f>HYPERLINK("https://rabota.by/resume/16b9a6ea0009861bdb0013a3fa4d4248475656","Водитель")</f>
        <v>Водитель</v>
      </c>
      <c r="F20" s="8">
        <v>1200</v>
      </c>
    </row>
    <row r="21" spans="1:6" ht="14.25" x14ac:dyDescent="0.2">
      <c r="A21" s="3"/>
      <c r="B21" s="6">
        <v>17</v>
      </c>
      <c r="C21" s="102" t="str">
        <f>HYPERLINK("https://rabota.by/vacancy/52082085","ЗАО Бобруйский бровар")</f>
        <v>ЗАО Бобруйский бровар</v>
      </c>
      <c r="D21" s="8">
        <v>1100</v>
      </c>
      <c r="E21" s="103" t="str">
        <f>HYPERLINK("https://rabota.by/resume/6823d23f000945b0930013a3fa7864556d7035","Водитель")</f>
        <v>Водитель</v>
      </c>
      <c r="F21" s="8">
        <v>1200</v>
      </c>
    </row>
    <row r="22" spans="1:6" ht="14.25" x14ac:dyDescent="0.2">
      <c r="A22" s="3"/>
      <c r="B22" s="6">
        <v>18</v>
      </c>
      <c r="C22" s="102" t="str">
        <f>HYPERLINK("https://rabota.by/vacancy/52230300","БЕЛВНЕШРЫБТОРГ")</f>
        <v>БЕЛВНЕШРЫБТОРГ</v>
      </c>
      <c r="D22" s="8">
        <v>950</v>
      </c>
      <c r="E22" s="103" t="str">
        <f>HYPERLINK("https://rabota.by/resume/79472c240009011a1f0013a3fa574d4c413678","Водитель")</f>
        <v>Водитель</v>
      </c>
      <c r="F22" s="8">
        <v>1200</v>
      </c>
    </row>
    <row r="23" spans="1:6" ht="14.25" x14ac:dyDescent="0.2">
      <c r="A23" s="3"/>
      <c r="B23" s="6">
        <v>19</v>
      </c>
      <c r="C23" s="102" t="str">
        <f>HYPERLINK("https://rabota.by/vacancy/52335127","ОАО Могилевская фабрика мороженого")</f>
        <v>ОАО Могилевская фабрика мороженого</v>
      </c>
      <c r="D23" s="8">
        <v>800</v>
      </c>
      <c r="E23" s="103" t="str">
        <f>HYPERLINK("https://rabota.by/resume/5cee0afa0003b6bc8e0013a3fa537252536c37","Водитель")</f>
        <v>Водитель</v>
      </c>
      <c r="F23" s="8">
        <v>1200</v>
      </c>
    </row>
    <row r="24" spans="1:6" ht="14.25" x14ac:dyDescent="0.2">
      <c r="A24" s="3"/>
      <c r="B24" s="6">
        <v>20</v>
      </c>
      <c r="C24" s="102" t="str">
        <f>HYPERLINK("https://rabota.by/vacancy/52411315","ООО МРКМ ЗАПАД")</f>
        <v>ООО МРКМ ЗАПАД</v>
      </c>
      <c r="D24" s="8">
        <v>850</v>
      </c>
      <c r="E24" s="103" t="str">
        <f>HYPERLINK("https://rabota.by/resume/cf7381af0009a95b7f0013a3fa3430484f556f","Водитель")</f>
        <v>Водитель</v>
      </c>
      <c r="F24" s="8">
        <v>1200</v>
      </c>
    </row>
    <row r="25" spans="1:6" ht="14.25" x14ac:dyDescent="0.2">
      <c r="A25" s="3"/>
      <c r="B25" s="6">
        <v>21</v>
      </c>
      <c r="C25" s="102" t="str">
        <f>HYPERLINK("https://rabota.by/vacancy/52480017","УП Алоторг")</f>
        <v>УП Алоторг</v>
      </c>
      <c r="D25" s="8">
        <v>1600</v>
      </c>
      <c r="E25" s="103" t="str">
        <f>HYPERLINK("https://rabota.by/resume/f97a24b8000995be5c0013a3fa4179416a6332","Водитель")</f>
        <v>Водитель</v>
      </c>
      <c r="F25" s="8">
        <v>1000</v>
      </c>
    </row>
    <row r="26" spans="1:6" ht="14.25" x14ac:dyDescent="0.2">
      <c r="A26" s="3"/>
      <c r="B26" s="6">
        <v>22</v>
      </c>
      <c r="C26" s="102" t="str">
        <f>HYPERLINK("https://rabota.by/vacancy/43959103","ТУТ и ТАМ Логистикс")</f>
        <v>ТУТ и ТАМ Логистикс</v>
      </c>
      <c r="D26" s="8">
        <v>2300</v>
      </c>
      <c r="E26" s="103" t="str">
        <f>HYPERLINK("https://rabota.by/resume/3e934d3d0007939b840013a3fa51576f783579","Водитель")</f>
        <v>Водитель</v>
      </c>
      <c r="F26" s="8">
        <v>1000</v>
      </c>
    </row>
    <row r="27" spans="1:6" ht="14.25" x14ac:dyDescent="0.2">
      <c r="A27" s="3"/>
      <c r="B27" s="6">
        <v>23</v>
      </c>
      <c r="C27" s="102" t="str">
        <f>HYPERLINK("https://rabota.by/vacancy/52284314","ООО Слеповрон")</f>
        <v>ООО Слеповрон</v>
      </c>
      <c r="D27" s="8">
        <v>2000</v>
      </c>
      <c r="E27" s="103" t="str">
        <f>HYPERLINK("https://rabota.by/resume/376207cd0008adaf7d0013a3fa794b644d6764","Водитель")</f>
        <v>Водитель</v>
      </c>
      <c r="F27" s="8">
        <v>1000</v>
      </c>
    </row>
    <row r="28" spans="1:6" ht="14.25" x14ac:dyDescent="0.2">
      <c r="A28" s="3"/>
      <c r="B28" s="6">
        <v>24</v>
      </c>
      <c r="C28" s="102" t="str">
        <f>HYPERLINK("https://rabota.by/vacancy/52429928","Мотехсавтозапчасти")</f>
        <v>Мотехсавтозапчасти</v>
      </c>
      <c r="D28" s="8">
        <v>900</v>
      </c>
      <c r="E28" s="103" t="str">
        <f>HYPERLINK("https://rabota.by/resume/42a5149900098e30e60013a3fa623870586249","Водитель")</f>
        <v>Водитель</v>
      </c>
      <c r="F28" s="8">
        <v>1000</v>
      </c>
    </row>
    <row r="29" spans="1:6" ht="14.25" x14ac:dyDescent="0.2">
      <c r="A29" s="3"/>
      <c r="B29" s="6">
        <v>25</v>
      </c>
      <c r="C29" s="102" t="str">
        <f>HYPERLINK("https://rabota.by/vacancy/52541171","Представительство ООО Модуль (Российская Федерация) в Республике Беларусь")</f>
        <v>Представительство ООО Модуль (Российская Федерация) в Республике Беларусь</v>
      </c>
      <c r="D29" s="8">
        <v>100000</v>
      </c>
      <c r="E29" s="103" t="str">
        <f>HYPERLINK("https://rabota.by/resume/6f50fd3e0008fde2f60013a3fa48646f6b6b6f","Водитель")</f>
        <v>Водитель</v>
      </c>
      <c r="F29" s="8">
        <v>1000</v>
      </c>
    </row>
    <row r="30" spans="1:6" ht="14.25" x14ac:dyDescent="0.2">
      <c r="A30" s="3"/>
      <c r="B30" s="6">
        <v>26</v>
      </c>
      <c r="C30" s="102" t="str">
        <f>HYPERLINK("https://rabota.by/vacancy/50707984","ОАО Могилевский мясокомбинат")</f>
        <v>ОАО Могилевский мясокомбинат</v>
      </c>
      <c r="D30" s="8">
        <v>1200</v>
      </c>
      <c r="E30" s="103" t="str">
        <f>HYPERLINK("https://rabota.by/resume/c2ce8acc0007f1d3060013a3fa635835564967","Водитель")</f>
        <v>Водитель</v>
      </c>
      <c r="F30" s="8">
        <v>1000</v>
      </c>
    </row>
    <row r="31" spans="1:6" ht="14.25" x14ac:dyDescent="0.2">
      <c r="A31" s="3"/>
      <c r="B31" s="6">
        <v>27</v>
      </c>
      <c r="C31" s="102" t="str">
        <f>HYPERLINK("https://rabota.by/vacancy/51989157","Керамин-Столица Инвест, Унитарное предприятие")</f>
        <v>Керамин-Столица Инвест, Унитарное предприятие</v>
      </c>
      <c r="D31" s="8">
        <v>830</v>
      </c>
      <c r="E31" s="103" t="str">
        <f>HYPERLINK("https://rabota.by/resume/8789b82300037654ae0013a3fa4541484f746d","Водитель")</f>
        <v>Водитель</v>
      </c>
      <c r="F31" s="8">
        <v>1000</v>
      </c>
    </row>
    <row r="32" spans="1:6" ht="14.25" x14ac:dyDescent="0.2">
      <c r="A32" s="3"/>
      <c r="B32" s="6">
        <v>28</v>
      </c>
      <c r="C32" s="102" t="str">
        <f>HYPERLINK("https://rabota.by/vacancy/52188515","ОАО Могилевский мясокомбинат")</f>
        <v>ОАО Могилевский мясокомбинат</v>
      </c>
      <c r="D32" s="8">
        <v>1200</v>
      </c>
      <c r="E32" s="103" t="str">
        <f>HYPERLINK("https://rabota.by/resume/d6a813d000091302540013a3fa7237586b6f48","Водитель")</f>
        <v>Водитель</v>
      </c>
      <c r="F32" s="8">
        <v>1000</v>
      </c>
    </row>
    <row r="33" spans="1:6" ht="14.25" x14ac:dyDescent="0.2">
      <c r="A33" s="3"/>
      <c r="B33" s="6">
        <v>29</v>
      </c>
      <c r="C33" s="102" t="str">
        <f>HYPERLINK("https://rabota.by/vacancy/52473966","ООО ЛайтАвтоТрэвел")</f>
        <v>ООО ЛайтАвтоТрэвел</v>
      </c>
      <c r="D33" s="8">
        <v>900</v>
      </c>
      <c r="E33" s="103" t="str">
        <f>HYPERLINK("https://rabota.by/resume/ffd076d40007f79e4b0013a3fa6b6966696334","Водитель")</f>
        <v>Водитель</v>
      </c>
      <c r="F33" s="8">
        <v>1000</v>
      </c>
    </row>
    <row r="34" spans="1:6" ht="14.25" x14ac:dyDescent="0.2">
      <c r="A34" s="3"/>
      <c r="B34" s="6">
        <v>30</v>
      </c>
      <c r="C34" s="102" t="str">
        <f>HYPERLINK("https://rabota.by/vacancy/52461761","ООО АйсЛогистик")</f>
        <v>ООО АйсЛогистик</v>
      </c>
      <c r="D34" s="8">
        <v>2300</v>
      </c>
      <c r="E34" s="103" t="str">
        <f>HYPERLINK("https://rabota.by/resume/0156316b0006815a1e0013a3fa5942484f4861","Водитель")</f>
        <v>Водитель</v>
      </c>
      <c r="F34" s="8">
        <v>1000</v>
      </c>
    </row>
    <row r="35" spans="1:6" ht="14.25" x14ac:dyDescent="0.2">
      <c r="A35" s="3"/>
      <c r="B35" s="6">
        <v>31</v>
      </c>
      <c r="C35" s="102" t="str">
        <f>HYPERLINK("https://rabota.by/vacancy/52402915","ООО АЛВАЛАЙН")</f>
        <v>ООО АЛВАЛАЙН</v>
      </c>
      <c r="D35" s="8">
        <v>3500</v>
      </c>
      <c r="E35" s="103" t="str">
        <f>HYPERLINK("https://rabota.by/resume/66dc85a1000951aabe0013a3fa346341646a7a","Водитель")</f>
        <v>Водитель</v>
      </c>
      <c r="F35" s="8">
        <v>1000</v>
      </c>
    </row>
    <row r="36" spans="1:6" ht="14.25" x14ac:dyDescent="0.2">
      <c r="A36" s="3"/>
      <c r="B36" s="6">
        <v>32</v>
      </c>
      <c r="C36" s="102" t="str">
        <f>HYPERLINK("https://rabota.by/vacancy/52303436","ИП Фалевич И. Г.")</f>
        <v>ИП Фалевич И. Г.</v>
      </c>
      <c r="D36" s="8">
        <v>1000</v>
      </c>
      <c r="E36" s="103" t="str">
        <f>HYPERLINK("https://rabota.by/resume/4a4034ab000714c0be0013a3fa4a4256304e35","Водитель")</f>
        <v>Водитель</v>
      </c>
      <c r="F36" s="8">
        <v>1000</v>
      </c>
    </row>
    <row r="37" spans="1:6" ht="14.25" x14ac:dyDescent="0.2">
      <c r="A37" s="3"/>
      <c r="B37" s="6">
        <v>33</v>
      </c>
      <c r="C37" s="102" t="str">
        <f>HYPERLINK("https://rabota.by/vacancy/52181360","ООО Старый Орёл")</f>
        <v>ООО Старый Орёл</v>
      </c>
      <c r="D37" s="8">
        <v>5000</v>
      </c>
      <c r="E37" s="103" t="str">
        <f>HYPERLINK("https://rabota.by/resume/e714f7ec0007a7c48b0013a3fa504b67636a35","Водитель")</f>
        <v>Водитель</v>
      </c>
      <c r="F37" s="8">
        <v>1000</v>
      </c>
    </row>
    <row r="38" spans="1:6" ht="14.25" x14ac:dyDescent="0.2">
      <c r="A38" s="3"/>
      <c r="B38" s="6">
        <v>34</v>
      </c>
      <c r="C38" s="102" t="str">
        <f>HYPERLINK("https://rabota.by/vacancy/52277245","АвтоСевлад")</f>
        <v>АвтоСевлад</v>
      </c>
      <c r="D38" s="8">
        <v>900</v>
      </c>
      <c r="E38" s="103" t="str">
        <f>HYPERLINK("https://rabota.by/resume/4dee49e20008ad19ce0013a3fa704e6376557a","Водитель")</f>
        <v>Водитель</v>
      </c>
      <c r="F38" s="8">
        <v>1000</v>
      </c>
    </row>
    <row r="39" spans="1:6" ht="14.25" x14ac:dyDescent="0.2">
      <c r="A39" s="3"/>
      <c r="B39" s="6">
        <v>35</v>
      </c>
      <c r="C39" s="102" t="str">
        <f>HYPERLINK("https://rabota.by/vacancy/52138625","ИП Стефаненко И. Н.")</f>
        <v>ИП Стефаненко И. Н.</v>
      </c>
      <c r="D39" s="8">
        <v>2700</v>
      </c>
      <c r="E39" s="103" t="str">
        <f>HYPERLINK("https://rabota.by/resume/72d7558100027ad26c0013a3fa373431506930","Водитель")</f>
        <v>Водитель</v>
      </c>
      <c r="F39" s="8">
        <v>1000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838</v>
      </c>
      <c r="E40" s="11" t="s">
        <v>6</v>
      </c>
      <c r="F40" s="12">
        <f>IFERROR(PERCENTILE(F5:F39,0.1),"-")</f>
        <v>1000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900</v>
      </c>
      <c r="E41" s="14" t="s">
        <v>7</v>
      </c>
      <c r="F41" s="15">
        <f>IFERROR(QUARTILE(F5:F39, 1),"-")</f>
        <v>1000</v>
      </c>
    </row>
    <row r="42" spans="1:6" ht="15" x14ac:dyDescent="0.25">
      <c r="A42" s="9"/>
      <c r="B42" s="16"/>
      <c r="C42" s="17" t="s">
        <v>8</v>
      </c>
      <c r="D42" s="18">
        <f>IFERROR(MEDIAN(D5:D39),"-")</f>
        <v>1300</v>
      </c>
      <c r="E42" s="17" t="s">
        <v>8</v>
      </c>
      <c r="F42" s="18">
        <f>IFERROR(MEDIAN(F5:F39),"-")</f>
        <v>1200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1850</v>
      </c>
      <c r="E43" s="20" t="s">
        <v>9</v>
      </c>
      <c r="F43" s="21">
        <f>IFERROR(QUARTILE(F5:F39,3), "-")</f>
        <v>1300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2540.0000000000005</v>
      </c>
      <c r="E44" s="23" t="s">
        <v>10</v>
      </c>
      <c r="F44" s="24">
        <f>IFERROR(PERCENTILE(F5:F39,0.9),"-")</f>
        <v>1500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900</v>
      </c>
    </row>
    <row r="48" spans="1:6" ht="14.25" x14ac:dyDescent="0.2">
      <c r="C48" s="90" t="s">
        <v>7</v>
      </c>
      <c r="D48" s="91">
        <f>IFERROR(QUARTILE(D5:F39, 1),"-")</f>
        <v>1000</v>
      </c>
    </row>
    <row r="49" spans="3:4" ht="14.25" x14ac:dyDescent="0.2">
      <c r="C49" s="92" t="s">
        <v>8</v>
      </c>
      <c r="D49" s="93">
        <f>IFERROR(MEDIAN(D5:D39,F5:F39),"-")</f>
        <v>1200</v>
      </c>
    </row>
    <row r="50" spans="3:4" ht="14.25" x14ac:dyDescent="0.2">
      <c r="C50" s="94" t="s">
        <v>9</v>
      </c>
      <c r="D50" s="95">
        <f>IFERROR(QUARTILE(D5:F39,3), "-")</f>
        <v>1500</v>
      </c>
    </row>
    <row r="51" spans="3:4" ht="14.25" x14ac:dyDescent="0.2">
      <c r="C51" s="96" t="s">
        <v>10</v>
      </c>
      <c r="D51" s="97">
        <f>IFERROR(PERCENTILE(D5:F39,0.9),"-")</f>
        <v>2000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11</v>
      </c>
      <c r="B1" s="29" t="s">
        <v>12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13</v>
      </c>
      <c r="C3" s="33"/>
      <c r="D3" s="33"/>
      <c r="E3" s="33"/>
      <c r="F3" s="33"/>
      <c r="G3" s="34"/>
    </row>
    <row r="4" spans="1:53" x14ac:dyDescent="0.2">
      <c r="A4" s="35" t="s">
        <v>14</v>
      </c>
      <c r="B4" s="36" t="s">
        <v>15</v>
      </c>
      <c r="C4" s="37" t="s">
        <v>16</v>
      </c>
      <c r="D4" s="37" t="s">
        <v>17</v>
      </c>
      <c r="E4" s="37" t="s">
        <v>18</v>
      </c>
      <c r="F4" s="37" t="s">
        <v>19</v>
      </c>
      <c r="G4" s="38" t="s">
        <v>20</v>
      </c>
    </row>
    <row r="5" spans="1:53" x14ac:dyDescent="0.2">
      <c r="A5" s="39" t="s">
        <v>21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22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23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24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25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26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27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28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29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30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31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32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33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34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35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36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37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14</v>
      </c>
      <c r="B1" s="54" t="s">
        <v>38</v>
      </c>
      <c r="C1" s="54" t="s">
        <v>39</v>
      </c>
      <c r="D1" s="54" t="s">
        <v>11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hidden="1" x14ac:dyDescent="0.2">
      <c r="A2" s="61" t="s">
        <v>21</v>
      </c>
      <c r="B2" s="61" t="s">
        <v>46</v>
      </c>
      <c r="C2" s="61" t="s">
        <v>47</v>
      </c>
      <c r="D2" s="61" t="s">
        <v>48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22</v>
      </c>
      <c r="B3" s="61" t="s">
        <v>46</v>
      </c>
      <c r="C3" s="61" t="s">
        <v>47</v>
      </c>
      <c r="D3" s="61" t="s">
        <v>48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23</v>
      </c>
      <c r="B4" s="61" t="s">
        <v>46</v>
      </c>
      <c r="C4" s="61" t="s">
        <v>47</v>
      </c>
      <c r="D4" s="61" t="s">
        <v>48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24</v>
      </c>
      <c r="B5" s="61" t="s">
        <v>46</v>
      </c>
      <c r="C5" s="61" t="s">
        <v>47</v>
      </c>
      <c r="D5" s="61" t="s">
        <v>48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25</v>
      </c>
      <c r="B6" s="61" t="s">
        <v>46</v>
      </c>
      <c r="C6" s="61" t="s">
        <v>47</v>
      </c>
      <c r="D6" s="61" t="s">
        <v>48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26</v>
      </c>
      <c r="B7" s="61" t="s">
        <v>46</v>
      </c>
      <c r="C7" s="61" t="s">
        <v>47</v>
      </c>
      <c r="D7" s="61" t="s">
        <v>48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29</v>
      </c>
      <c r="B8" s="61" t="s">
        <v>46</v>
      </c>
      <c r="C8" s="61" t="s">
        <v>47</v>
      </c>
      <c r="D8" s="61" t="s">
        <v>48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30</v>
      </c>
      <c r="B9" s="61" t="s">
        <v>46</v>
      </c>
      <c r="C9" s="61" t="s">
        <v>47</v>
      </c>
      <c r="D9" s="61" t="s">
        <v>48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31</v>
      </c>
      <c r="B10" s="61" t="s">
        <v>46</v>
      </c>
      <c r="C10" s="61" t="s">
        <v>47</v>
      </c>
      <c r="D10" s="61" t="s">
        <v>48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32</v>
      </c>
      <c r="B11" s="61" t="s">
        <v>46</v>
      </c>
      <c r="C11" s="61" t="s">
        <v>47</v>
      </c>
      <c r="D11" s="61" t="s">
        <v>48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33</v>
      </c>
      <c r="B12" s="61" t="s">
        <v>46</v>
      </c>
      <c r="C12" s="61" t="s">
        <v>47</v>
      </c>
      <c r="D12" s="61" t="s">
        <v>48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34</v>
      </c>
      <c r="B13" s="61" t="s">
        <v>46</v>
      </c>
      <c r="C13" s="61" t="s">
        <v>47</v>
      </c>
      <c r="D13" s="61" t="s">
        <v>48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36</v>
      </c>
      <c r="B14" s="61" t="s">
        <v>46</v>
      </c>
      <c r="C14" s="61" t="s">
        <v>47</v>
      </c>
      <c r="D14" s="61" t="s">
        <v>48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21</v>
      </c>
      <c r="B15" s="61" t="s">
        <v>46</v>
      </c>
      <c r="C15" s="61" t="s">
        <v>47</v>
      </c>
      <c r="D15" s="61" t="s">
        <v>49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22</v>
      </c>
      <c r="B16" s="61" t="s">
        <v>46</v>
      </c>
      <c r="C16" s="61" t="s">
        <v>47</v>
      </c>
      <c r="D16" s="61" t="s">
        <v>49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23</v>
      </c>
      <c r="B17" s="61" t="s">
        <v>46</v>
      </c>
      <c r="C17" s="61" t="s">
        <v>47</v>
      </c>
      <c r="D17" s="61" t="s">
        <v>49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24</v>
      </c>
      <c r="B18" s="61" t="s">
        <v>46</v>
      </c>
      <c r="C18" s="61" t="s">
        <v>47</v>
      </c>
      <c r="D18" s="61" t="s">
        <v>49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25</v>
      </c>
      <c r="B19" s="61" t="s">
        <v>46</v>
      </c>
      <c r="C19" s="61" t="s">
        <v>47</v>
      </c>
      <c r="D19" s="61" t="s">
        <v>49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26</v>
      </c>
      <c r="B20" s="61" t="s">
        <v>46</v>
      </c>
      <c r="C20" s="61" t="s">
        <v>47</v>
      </c>
      <c r="D20" s="61" t="s">
        <v>49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29</v>
      </c>
      <c r="B21" s="61" t="s">
        <v>46</v>
      </c>
      <c r="C21" s="61" t="s">
        <v>47</v>
      </c>
      <c r="D21" s="61" t="s">
        <v>49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30</v>
      </c>
      <c r="B22" s="61" t="s">
        <v>46</v>
      </c>
      <c r="C22" s="61" t="s">
        <v>47</v>
      </c>
      <c r="D22" s="61" t="s">
        <v>49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31</v>
      </c>
      <c r="B23" s="61" t="s">
        <v>46</v>
      </c>
      <c r="C23" s="61" t="s">
        <v>47</v>
      </c>
      <c r="D23" s="61" t="s">
        <v>49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32</v>
      </c>
      <c r="B24" s="61" t="s">
        <v>46</v>
      </c>
      <c r="C24" s="61" t="s">
        <v>47</v>
      </c>
      <c r="D24" s="61" t="s">
        <v>49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33</v>
      </c>
      <c r="B25" s="61" t="s">
        <v>46</v>
      </c>
      <c r="C25" s="61" t="s">
        <v>47</v>
      </c>
      <c r="D25" s="61" t="s">
        <v>49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34</v>
      </c>
      <c r="B26" s="61" t="s">
        <v>46</v>
      </c>
      <c r="C26" s="61" t="s">
        <v>47</v>
      </c>
      <c r="D26" s="61" t="s">
        <v>49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36</v>
      </c>
      <c r="B27" s="61" t="s">
        <v>46</v>
      </c>
      <c r="C27" s="61" t="s">
        <v>47</v>
      </c>
      <c r="D27" s="61" t="s">
        <v>49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21</v>
      </c>
      <c r="B28" s="61" t="s">
        <v>46</v>
      </c>
      <c r="C28" s="61" t="s">
        <v>47</v>
      </c>
      <c r="D28" s="61" t="s">
        <v>50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22</v>
      </c>
      <c r="B29" s="61" t="s">
        <v>46</v>
      </c>
      <c r="C29" s="61" t="s">
        <v>47</v>
      </c>
      <c r="D29" s="61" t="s">
        <v>50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23</v>
      </c>
      <c r="B30" s="61" t="s">
        <v>46</v>
      </c>
      <c r="C30" s="61" t="s">
        <v>47</v>
      </c>
      <c r="D30" s="61" t="s">
        <v>50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24</v>
      </c>
      <c r="B31" s="61" t="s">
        <v>46</v>
      </c>
      <c r="C31" s="61" t="s">
        <v>47</v>
      </c>
      <c r="D31" s="61" t="s">
        <v>50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25</v>
      </c>
      <c r="B32" s="61" t="s">
        <v>46</v>
      </c>
      <c r="C32" s="61" t="s">
        <v>47</v>
      </c>
      <c r="D32" s="61" t="s">
        <v>50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26</v>
      </c>
      <c r="B33" s="61" t="s">
        <v>46</v>
      </c>
      <c r="C33" s="61" t="s">
        <v>47</v>
      </c>
      <c r="D33" s="61" t="s">
        <v>50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29</v>
      </c>
      <c r="B34" s="61" t="s">
        <v>46</v>
      </c>
      <c r="C34" s="61" t="s">
        <v>47</v>
      </c>
      <c r="D34" s="61" t="s">
        <v>50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30</v>
      </c>
      <c r="B35" s="61" t="s">
        <v>46</v>
      </c>
      <c r="C35" s="61" t="s">
        <v>47</v>
      </c>
      <c r="D35" s="61" t="s">
        <v>50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31</v>
      </c>
      <c r="B36" s="61" t="s">
        <v>46</v>
      </c>
      <c r="C36" s="61" t="s">
        <v>47</v>
      </c>
      <c r="D36" s="61" t="s">
        <v>50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32</v>
      </c>
      <c r="B37" s="61" t="s">
        <v>46</v>
      </c>
      <c r="C37" s="61" t="s">
        <v>47</v>
      </c>
      <c r="D37" s="61" t="s">
        <v>50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33</v>
      </c>
      <c r="B38" s="61" t="s">
        <v>46</v>
      </c>
      <c r="C38" s="61" t="s">
        <v>47</v>
      </c>
      <c r="D38" s="61" t="s">
        <v>50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34</v>
      </c>
      <c r="B39" s="61" t="s">
        <v>46</v>
      </c>
      <c r="C39" s="61" t="s">
        <v>47</v>
      </c>
      <c r="D39" s="61" t="s">
        <v>50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36</v>
      </c>
      <c r="B40" s="61" t="s">
        <v>46</v>
      </c>
      <c r="C40" s="61" t="s">
        <v>47</v>
      </c>
      <c r="D40" s="61" t="s">
        <v>50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21</v>
      </c>
      <c r="B41" s="61" t="s">
        <v>46</v>
      </c>
      <c r="C41" s="61" t="s">
        <v>47</v>
      </c>
      <c r="D41" s="61" t="s">
        <v>51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22</v>
      </c>
      <c r="B42" s="61" t="s">
        <v>46</v>
      </c>
      <c r="C42" s="61" t="s">
        <v>47</v>
      </c>
      <c r="D42" s="61" t="s">
        <v>51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23</v>
      </c>
      <c r="B43" s="61" t="s">
        <v>46</v>
      </c>
      <c r="C43" s="61" t="s">
        <v>47</v>
      </c>
      <c r="D43" s="61" t="s">
        <v>51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24</v>
      </c>
      <c r="B44" s="61" t="s">
        <v>46</v>
      </c>
      <c r="C44" s="61" t="s">
        <v>47</v>
      </c>
      <c r="D44" s="61" t="s">
        <v>51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25</v>
      </c>
      <c r="B45" s="61" t="s">
        <v>46</v>
      </c>
      <c r="C45" s="61" t="s">
        <v>47</v>
      </c>
      <c r="D45" s="61" t="s">
        <v>51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26</v>
      </c>
      <c r="B46" s="61" t="s">
        <v>46</v>
      </c>
      <c r="C46" s="61" t="s">
        <v>47</v>
      </c>
      <c r="D46" s="61" t="s">
        <v>51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29</v>
      </c>
      <c r="B47" s="61" t="s">
        <v>46</v>
      </c>
      <c r="C47" s="61" t="s">
        <v>47</v>
      </c>
      <c r="D47" s="61" t="s">
        <v>51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30</v>
      </c>
      <c r="B48" s="61" t="s">
        <v>46</v>
      </c>
      <c r="C48" s="61" t="s">
        <v>47</v>
      </c>
      <c r="D48" s="61" t="s">
        <v>51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31</v>
      </c>
      <c r="B49" s="61" t="s">
        <v>46</v>
      </c>
      <c r="C49" s="61" t="s">
        <v>47</v>
      </c>
      <c r="D49" s="61" t="s">
        <v>51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32</v>
      </c>
      <c r="B50" s="61" t="s">
        <v>46</v>
      </c>
      <c r="C50" s="61" t="s">
        <v>47</v>
      </c>
      <c r="D50" s="61" t="s">
        <v>51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33</v>
      </c>
      <c r="B51" s="61" t="s">
        <v>46</v>
      </c>
      <c r="C51" s="61" t="s">
        <v>47</v>
      </c>
      <c r="D51" s="61" t="s">
        <v>51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34</v>
      </c>
      <c r="B52" s="61" t="s">
        <v>46</v>
      </c>
      <c r="C52" s="61" t="s">
        <v>47</v>
      </c>
      <c r="D52" s="61" t="s">
        <v>51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36</v>
      </c>
      <c r="B53" s="61" t="s">
        <v>46</v>
      </c>
      <c r="C53" s="61" t="s">
        <v>47</v>
      </c>
      <c r="D53" s="61" t="s">
        <v>51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21</v>
      </c>
      <c r="B54" s="61" t="s">
        <v>46</v>
      </c>
      <c r="C54" s="61" t="s">
        <v>47</v>
      </c>
      <c r="D54" s="61" t="s">
        <v>52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22</v>
      </c>
      <c r="B55" s="61" t="s">
        <v>46</v>
      </c>
      <c r="C55" s="61" t="s">
        <v>47</v>
      </c>
      <c r="D55" s="61" t="s">
        <v>52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23</v>
      </c>
      <c r="B56" s="61" t="s">
        <v>46</v>
      </c>
      <c r="C56" s="61" t="s">
        <v>47</v>
      </c>
      <c r="D56" s="61" t="s">
        <v>52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24</v>
      </c>
      <c r="B57" s="61" t="s">
        <v>46</v>
      </c>
      <c r="C57" s="61" t="s">
        <v>47</v>
      </c>
      <c r="D57" s="61" t="s">
        <v>52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25</v>
      </c>
      <c r="B58" s="61" t="s">
        <v>46</v>
      </c>
      <c r="C58" s="61" t="s">
        <v>47</v>
      </c>
      <c r="D58" s="61" t="s">
        <v>52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26</v>
      </c>
      <c r="B59" s="61" t="s">
        <v>46</v>
      </c>
      <c r="C59" s="61" t="s">
        <v>47</v>
      </c>
      <c r="D59" s="61" t="s">
        <v>52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29</v>
      </c>
      <c r="B60" s="61" t="s">
        <v>46</v>
      </c>
      <c r="C60" s="61" t="s">
        <v>47</v>
      </c>
      <c r="D60" s="61" t="s">
        <v>52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30</v>
      </c>
      <c r="B61" s="61" t="s">
        <v>46</v>
      </c>
      <c r="C61" s="61" t="s">
        <v>47</v>
      </c>
      <c r="D61" s="61" t="s">
        <v>52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31</v>
      </c>
      <c r="B62" s="61" t="s">
        <v>46</v>
      </c>
      <c r="C62" s="61" t="s">
        <v>47</v>
      </c>
      <c r="D62" s="61" t="s">
        <v>52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32</v>
      </c>
      <c r="B63" s="61" t="s">
        <v>46</v>
      </c>
      <c r="C63" s="61" t="s">
        <v>47</v>
      </c>
      <c r="D63" s="61" t="s">
        <v>52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33</v>
      </c>
      <c r="B64" s="61" t="s">
        <v>46</v>
      </c>
      <c r="C64" s="61" t="s">
        <v>47</v>
      </c>
      <c r="D64" s="61" t="s">
        <v>52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34</v>
      </c>
      <c r="B65" s="61" t="s">
        <v>46</v>
      </c>
      <c r="C65" s="61" t="s">
        <v>47</v>
      </c>
      <c r="D65" s="61" t="s">
        <v>52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36</v>
      </c>
      <c r="B66" s="61" t="s">
        <v>46</v>
      </c>
      <c r="C66" s="61" t="s">
        <v>47</v>
      </c>
      <c r="D66" s="61" t="s">
        <v>52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21</v>
      </c>
      <c r="B67" s="61" t="s">
        <v>46</v>
      </c>
      <c r="C67" s="61" t="s">
        <v>47</v>
      </c>
      <c r="D67" s="61" t="s">
        <v>53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22</v>
      </c>
      <c r="B68" s="61" t="s">
        <v>46</v>
      </c>
      <c r="C68" s="61" t="s">
        <v>47</v>
      </c>
      <c r="D68" s="61" t="s">
        <v>53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23</v>
      </c>
      <c r="B69" s="61" t="s">
        <v>46</v>
      </c>
      <c r="C69" s="61" t="s">
        <v>47</v>
      </c>
      <c r="D69" s="61" t="s">
        <v>53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24</v>
      </c>
      <c r="B70" s="61" t="s">
        <v>46</v>
      </c>
      <c r="C70" s="61" t="s">
        <v>47</v>
      </c>
      <c r="D70" s="61" t="s">
        <v>53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25</v>
      </c>
      <c r="B71" s="61" t="s">
        <v>46</v>
      </c>
      <c r="C71" s="61" t="s">
        <v>47</v>
      </c>
      <c r="D71" s="61" t="s">
        <v>53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26</v>
      </c>
      <c r="B72" s="61" t="s">
        <v>46</v>
      </c>
      <c r="C72" s="61" t="s">
        <v>47</v>
      </c>
      <c r="D72" s="61" t="s">
        <v>53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29</v>
      </c>
      <c r="B73" s="61" t="s">
        <v>46</v>
      </c>
      <c r="C73" s="61" t="s">
        <v>47</v>
      </c>
      <c r="D73" s="61" t="s">
        <v>53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30</v>
      </c>
      <c r="B74" s="61" t="s">
        <v>46</v>
      </c>
      <c r="C74" s="61" t="s">
        <v>47</v>
      </c>
      <c r="D74" s="61" t="s">
        <v>53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31</v>
      </c>
      <c r="B75" s="61" t="s">
        <v>46</v>
      </c>
      <c r="C75" s="61" t="s">
        <v>47</v>
      </c>
      <c r="D75" s="61" t="s">
        <v>53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32</v>
      </c>
      <c r="B76" s="61" t="s">
        <v>46</v>
      </c>
      <c r="C76" s="61" t="s">
        <v>47</v>
      </c>
      <c r="D76" s="61" t="s">
        <v>53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33</v>
      </c>
      <c r="B77" s="61" t="s">
        <v>46</v>
      </c>
      <c r="C77" s="61" t="s">
        <v>47</v>
      </c>
      <c r="D77" s="61" t="s">
        <v>53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34</v>
      </c>
      <c r="B78" s="61" t="s">
        <v>46</v>
      </c>
      <c r="C78" s="61" t="s">
        <v>47</v>
      </c>
      <c r="D78" s="61" t="s">
        <v>53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36</v>
      </c>
      <c r="B79" s="61" t="s">
        <v>46</v>
      </c>
      <c r="C79" s="61" t="s">
        <v>47</v>
      </c>
      <c r="D79" s="61" t="s">
        <v>53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21</v>
      </c>
      <c r="B80" s="62" t="s">
        <v>54</v>
      </c>
      <c r="C80" s="62" t="s">
        <v>55</v>
      </c>
      <c r="D80" s="62" t="s">
        <v>50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22</v>
      </c>
      <c r="B81" s="62" t="s">
        <v>54</v>
      </c>
      <c r="C81" s="62" t="s">
        <v>55</v>
      </c>
      <c r="D81" s="62" t="s">
        <v>50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23</v>
      </c>
      <c r="B82" s="62" t="s">
        <v>54</v>
      </c>
      <c r="C82" s="62" t="s">
        <v>55</v>
      </c>
      <c r="D82" s="62" t="s">
        <v>50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24</v>
      </c>
      <c r="B83" s="62" t="s">
        <v>54</v>
      </c>
      <c r="C83" s="62" t="s">
        <v>55</v>
      </c>
      <c r="D83" s="62" t="s">
        <v>50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25</v>
      </c>
      <c r="B84" s="62" t="s">
        <v>54</v>
      </c>
      <c r="C84" s="62" t="s">
        <v>55</v>
      </c>
      <c r="D84" s="62" t="s">
        <v>50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26</v>
      </c>
      <c r="B85" s="62" t="s">
        <v>54</v>
      </c>
      <c r="C85" s="62" t="s">
        <v>55</v>
      </c>
      <c r="D85" s="62" t="s">
        <v>50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29</v>
      </c>
      <c r="B86" s="62" t="s">
        <v>54</v>
      </c>
      <c r="C86" s="62" t="s">
        <v>55</v>
      </c>
      <c r="D86" s="62" t="s">
        <v>50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30</v>
      </c>
      <c r="B87" s="62" t="s">
        <v>54</v>
      </c>
      <c r="C87" s="62" t="s">
        <v>55</v>
      </c>
      <c r="D87" s="62" t="s">
        <v>50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31</v>
      </c>
      <c r="B88" s="62" t="s">
        <v>54</v>
      </c>
      <c r="C88" s="62" t="s">
        <v>55</v>
      </c>
      <c r="D88" s="62" t="s">
        <v>50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32</v>
      </c>
      <c r="B89" s="62" t="s">
        <v>54</v>
      </c>
      <c r="C89" s="62" t="s">
        <v>55</v>
      </c>
      <c r="D89" s="62" t="s">
        <v>50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33</v>
      </c>
      <c r="B90" s="62" t="s">
        <v>54</v>
      </c>
      <c r="C90" s="62" t="s">
        <v>55</v>
      </c>
      <c r="D90" s="62" t="s">
        <v>50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34</v>
      </c>
      <c r="B91" s="62" t="s">
        <v>54</v>
      </c>
      <c r="C91" s="62" t="s">
        <v>55</v>
      </c>
      <c r="D91" s="62" t="s">
        <v>50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36</v>
      </c>
      <c r="B92" s="62" t="s">
        <v>54</v>
      </c>
      <c r="C92" s="62" t="s">
        <v>55</v>
      </c>
      <c r="D92" s="62" t="s">
        <v>50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21</v>
      </c>
      <c r="B93" s="62" t="s">
        <v>54</v>
      </c>
      <c r="C93" s="62" t="s">
        <v>55</v>
      </c>
      <c r="D93" s="62" t="s">
        <v>51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22</v>
      </c>
      <c r="B94" s="62" t="s">
        <v>54</v>
      </c>
      <c r="C94" s="62" t="s">
        <v>55</v>
      </c>
      <c r="D94" s="62" t="s">
        <v>51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23</v>
      </c>
      <c r="B95" s="62" t="s">
        <v>54</v>
      </c>
      <c r="C95" s="62" t="s">
        <v>55</v>
      </c>
      <c r="D95" s="62" t="s">
        <v>51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24</v>
      </c>
      <c r="B96" s="62" t="s">
        <v>54</v>
      </c>
      <c r="C96" s="62" t="s">
        <v>55</v>
      </c>
      <c r="D96" s="62" t="s">
        <v>51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25</v>
      </c>
      <c r="B97" s="62" t="s">
        <v>54</v>
      </c>
      <c r="C97" s="62" t="s">
        <v>55</v>
      </c>
      <c r="D97" s="62" t="s">
        <v>51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26</v>
      </c>
      <c r="B98" s="62" t="s">
        <v>54</v>
      </c>
      <c r="C98" s="62" t="s">
        <v>55</v>
      </c>
      <c r="D98" s="62" t="s">
        <v>51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29</v>
      </c>
      <c r="B99" s="62" t="s">
        <v>54</v>
      </c>
      <c r="C99" s="62" t="s">
        <v>55</v>
      </c>
      <c r="D99" s="62" t="s">
        <v>51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30</v>
      </c>
      <c r="B100" s="62" t="s">
        <v>54</v>
      </c>
      <c r="C100" s="62" t="s">
        <v>55</v>
      </c>
      <c r="D100" s="62" t="s">
        <v>51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31</v>
      </c>
      <c r="B101" s="62" t="s">
        <v>54</v>
      </c>
      <c r="C101" s="62" t="s">
        <v>55</v>
      </c>
      <c r="D101" s="62" t="s">
        <v>51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32</v>
      </c>
      <c r="B102" s="62" t="s">
        <v>54</v>
      </c>
      <c r="C102" s="62" t="s">
        <v>55</v>
      </c>
      <c r="D102" s="62" t="s">
        <v>51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33</v>
      </c>
      <c r="B103" s="62" t="s">
        <v>54</v>
      </c>
      <c r="C103" s="62" t="s">
        <v>55</v>
      </c>
      <c r="D103" s="62" t="s">
        <v>51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34</v>
      </c>
      <c r="B104" s="62" t="s">
        <v>54</v>
      </c>
      <c r="C104" s="62" t="s">
        <v>55</v>
      </c>
      <c r="D104" s="62" t="s">
        <v>51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36</v>
      </c>
      <c r="B105" s="62" t="s">
        <v>54</v>
      </c>
      <c r="C105" s="62" t="s">
        <v>55</v>
      </c>
      <c r="D105" s="62" t="s">
        <v>51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21</v>
      </c>
      <c r="B106" s="62" t="s">
        <v>54</v>
      </c>
      <c r="C106" s="62" t="s">
        <v>55</v>
      </c>
      <c r="D106" s="62" t="s">
        <v>52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22</v>
      </c>
      <c r="B107" s="62" t="s">
        <v>54</v>
      </c>
      <c r="C107" s="62" t="s">
        <v>55</v>
      </c>
      <c r="D107" s="62" t="s">
        <v>52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23</v>
      </c>
      <c r="B108" s="62" t="s">
        <v>54</v>
      </c>
      <c r="C108" s="62" t="s">
        <v>55</v>
      </c>
      <c r="D108" s="62" t="s">
        <v>52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24</v>
      </c>
      <c r="B109" s="62" t="s">
        <v>54</v>
      </c>
      <c r="C109" s="62" t="s">
        <v>55</v>
      </c>
      <c r="D109" s="62" t="s">
        <v>52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25</v>
      </c>
      <c r="B110" s="62" t="s">
        <v>54</v>
      </c>
      <c r="C110" s="62" t="s">
        <v>55</v>
      </c>
      <c r="D110" s="62" t="s">
        <v>52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26</v>
      </c>
      <c r="B111" s="62" t="s">
        <v>54</v>
      </c>
      <c r="C111" s="62" t="s">
        <v>55</v>
      </c>
      <c r="D111" s="62" t="s">
        <v>52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29</v>
      </c>
      <c r="B112" s="62" t="s">
        <v>54</v>
      </c>
      <c r="C112" s="62" t="s">
        <v>55</v>
      </c>
      <c r="D112" s="62" t="s">
        <v>52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30</v>
      </c>
      <c r="B113" s="62" t="s">
        <v>54</v>
      </c>
      <c r="C113" s="62" t="s">
        <v>55</v>
      </c>
      <c r="D113" s="62" t="s">
        <v>52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31</v>
      </c>
      <c r="B114" s="62" t="s">
        <v>54</v>
      </c>
      <c r="C114" s="62" t="s">
        <v>55</v>
      </c>
      <c r="D114" s="62" t="s">
        <v>52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32</v>
      </c>
      <c r="B115" s="62" t="s">
        <v>54</v>
      </c>
      <c r="C115" s="62" t="s">
        <v>55</v>
      </c>
      <c r="D115" s="62" t="s">
        <v>52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33</v>
      </c>
      <c r="B116" s="62" t="s">
        <v>54</v>
      </c>
      <c r="C116" s="62" t="s">
        <v>55</v>
      </c>
      <c r="D116" s="62" t="s">
        <v>52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34</v>
      </c>
      <c r="B117" s="62" t="s">
        <v>54</v>
      </c>
      <c r="C117" s="62" t="s">
        <v>55</v>
      </c>
      <c r="D117" s="62" t="s">
        <v>52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36</v>
      </c>
      <c r="B118" s="62" t="s">
        <v>54</v>
      </c>
      <c r="C118" s="62" t="s">
        <v>55</v>
      </c>
      <c r="D118" s="62" t="s">
        <v>52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21</v>
      </c>
      <c r="B119" s="62" t="s">
        <v>54</v>
      </c>
      <c r="C119" s="62" t="s">
        <v>55</v>
      </c>
      <c r="D119" s="62" t="s">
        <v>53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22</v>
      </c>
      <c r="B120" s="62" t="s">
        <v>54</v>
      </c>
      <c r="C120" s="62" t="s">
        <v>55</v>
      </c>
      <c r="D120" s="62" t="s">
        <v>53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23</v>
      </c>
      <c r="B121" s="62" t="s">
        <v>54</v>
      </c>
      <c r="C121" s="62" t="s">
        <v>55</v>
      </c>
      <c r="D121" s="62" t="s">
        <v>53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24</v>
      </c>
      <c r="B122" s="62" t="s">
        <v>54</v>
      </c>
      <c r="C122" s="62" t="s">
        <v>55</v>
      </c>
      <c r="D122" s="62" t="s">
        <v>53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25</v>
      </c>
      <c r="B123" s="62" t="s">
        <v>54</v>
      </c>
      <c r="C123" s="62" t="s">
        <v>55</v>
      </c>
      <c r="D123" s="62" t="s">
        <v>53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26</v>
      </c>
      <c r="B124" s="62" t="s">
        <v>54</v>
      </c>
      <c r="C124" s="62" t="s">
        <v>55</v>
      </c>
      <c r="D124" s="62" t="s">
        <v>53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29</v>
      </c>
      <c r="B125" s="62" t="s">
        <v>54</v>
      </c>
      <c r="C125" s="62" t="s">
        <v>55</v>
      </c>
      <c r="D125" s="62" t="s">
        <v>53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30</v>
      </c>
      <c r="B126" s="62" t="s">
        <v>54</v>
      </c>
      <c r="C126" s="62" t="s">
        <v>55</v>
      </c>
      <c r="D126" s="62" t="s">
        <v>53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31</v>
      </c>
      <c r="B127" s="62" t="s">
        <v>54</v>
      </c>
      <c r="C127" s="62" t="s">
        <v>55</v>
      </c>
      <c r="D127" s="62" t="s">
        <v>53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32</v>
      </c>
      <c r="B128" s="62" t="s">
        <v>54</v>
      </c>
      <c r="C128" s="62" t="s">
        <v>55</v>
      </c>
      <c r="D128" s="62" t="s">
        <v>53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33</v>
      </c>
      <c r="B129" s="62" t="s">
        <v>54</v>
      </c>
      <c r="C129" s="62" t="s">
        <v>55</v>
      </c>
      <c r="D129" s="62" t="s">
        <v>53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34</v>
      </c>
      <c r="B130" s="62" t="s">
        <v>54</v>
      </c>
      <c r="C130" s="62" t="s">
        <v>55</v>
      </c>
      <c r="D130" s="62" t="s">
        <v>53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36</v>
      </c>
      <c r="B131" s="62" t="s">
        <v>54</v>
      </c>
      <c r="C131" s="62" t="s">
        <v>55</v>
      </c>
      <c r="D131" s="62" t="s">
        <v>53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21</v>
      </c>
      <c r="B132" s="62" t="s">
        <v>54</v>
      </c>
      <c r="C132" s="62" t="s">
        <v>55</v>
      </c>
      <c r="D132" s="62" t="s">
        <v>56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22</v>
      </c>
      <c r="B133" s="62" t="s">
        <v>54</v>
      </c>
      <c r="C133" s="62" t="s">
        <v>55</v>
      </c>
      <c r="D133" s="62" t="s">
        <v>56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23</v>
      </c>
      <c r="B134" s="62" t="s">
        <v>54</v>
      </c>
      <c r="C134" s="62" t="s">
        <v>55</v>
      </c>
      <c r="D134" s="62" t="s">
        <v>56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24</v>
      </c>
      <c r="B135" s="62" t="s">
        <v>54</v>
      </c>
      <c r="C135" s="62" t="s">
        <v>55</v>
      </c>
      <c r="D135" s="62" t="s">
        <v>56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25</v>
      </c>
      <c r="B136" s="62" t="s">
        <v>54</v>
      </c>
      <c r="C136" s="62" t="s">
        <v>55</v>
      </c>
      <c r="D136" s="62" t="s">
        <v>56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26</v>
      </c>
      <c r="B137" s="62" t="s">
        <v>54</v>
      </c>
      <c r="C137" s="62" t="s">
        <v>55</v>
      </c>
      <c r="D137" s="62" t="s">
        <v>56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29</v>
      </c>
      <c r="B138" s="62" t="s">
        <v>54</v>
      </c>
      <c r="C138" s="62" t="s">
        <v>55</v>
      </c>
      <c r="D138" s="62" t="s">
        <v>56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30</v>
      </c>
      <c r="B139" s="62" t="s">
        <v>54</v>
      </c>
      <c r="C139" s="62" t="s">
        <v>55</v>
      </c>
      <c r="D139" s="62" t="s">
        <v>56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31</v>
      </c>
      <c r="B140" s="62" t="s">
        <v>54</v>
      </c>
      <c r="C140" s="62" t="s">
        <v>55</v>
      </c>
      <c r="D140" s="62" t="s">
        <v>56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32</v>
      </c>
      <c r="B141" s="62" t="s">
        <v>54</v>
      </c>
      <c r="C141" s="62" t="s">
        <v>55</v>
      </c>
      <c r="D141" s="62" t="s">
        <v>56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33</v>
      </c>
      <c r="B142" s="62" t="s">
        <v>54</v>
      </c>
      <c r="C142" s="62" t="s">
        <v>55</v>
      </c>
      <c r="D142" s="62" t="s">
        <v>56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34</v>
      </c>
      <c r="B143" s="62" t="s">
        <v>54</v>
      </c>
      <c r="C143" s="62" t="s">
        <v>55</v>
      </c>
      <c r="D143" s="62" t="s">
        <v>56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36</v>
      </c>
      <c r="B144" s="62" t="s">
        <v>54</v>
      </c>
      <c r="C144" s="62" t="s">
        <v>55</v>
      </c>
      <c r="D144" s="62" t="s">
        <v>56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21</v>
      </c>
      <c r="B145" s="62" t="s">
        <v>54</v>
      </c>
      <c r="C145" s="62" t="s">
        <v>55</v>
      </c>
      <c r="D145" s="62" t="s">
        <v>57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22</v>
      </c>
      <c r="B146" s="62" t="s">
        <v>54</v>
      </c>
      <c r="C146" s="62" t="s">
        <v>55</v>
      </c>
      <c r="D146" s="62" t="s">
        <v>57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23</v>
      </c>
      <c r="B147" s="62" t="s">
        <v>54</v>
      </c>
      <c r="C147" s="62" t="s">
        <v>55</v>
      </c>
      <c r="D147" s="62" t="s">
        <v>57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24</v>
      </c>
      <c r="B148" s="62" t="s">
        <v>54</v>
      </c>
      <c r="C148" s="62" t="s">
        <v>55</v>
      </c>
      <c r="D148" s="62" t="s">
        <v>57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25</v>
      </c>
      <c r="B149" s="62" t="s">
        <v>54</v>
      </c>
      <c r="C149" s="62" t="s">
        <v>55</v>
      </c>
      <c r="D149" s="62" t="s">
        <v>57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26</v>
      </c>
      <c r="B150" s="62" t="s">
        <v>54</v>
      </c>
      <c r="C150" s="62" t="s">
        <v>55</v>
      </c>
      <c r="D150" s="62" t="s">
        <v>57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29</v>
      </c>
      <c r="B151" s="62" t="s">
        <v>54</v>
      </c>
      <c r="C151" s="62" t="s">
        <v>55</v>
      </c>
      <c r="D151" s="62" t="s">
        <v>57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30</v>
      </c>
      <c r="B152" s="62" t="s">
        <v>54</v>
      </c>
      <c r="C152" s="62" t="s">
        <v>55</v>
      </c>
      <c r="D152" s="62" t="s">
        <v>57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31</v>
      </c>
      <c r="B153" s="62" t="s">
        <v>54</v>
      </c>
      <c r="C153" s="62" t="s">
        <v>55</v>
      </c>
      <c r="D153" s="62" t="s">
        <v>57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32</v>
      </c>
      <c r="B154" s="62" t="s">
        <v>54</v>
      </c>
      <c r="C154" s="62" t="s">
        <v>55</v>
      </c>
      <c r="D154" s="62" t="s">
        <v>57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33</v>
      </c>
      <c r="B155" s="62" t="s">
        <v>54</v>
      </c>
      <c r="C155" s="62" t="s">
        <v>55</v>
      </c>
      <c r="D155" s="62" t="s">
        <v>57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34</v>
      </c>
      <c r="B156" s="62" t="s">
        <v>54</v>
      </c>
      <c r="C156" s="62" t="s">
        <v>55</v>
      </c>
      <c r="D156" s="62" t="s">
        <v>57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36</v>
      </c>
      <c r="B157" s="62" t="s">
        <v>54</v>
      </c>
      <c r="C157" s="62" t="s">
        <v>55</v>
      </c>
      <c r="D157" s="62" t="s">
        <v>57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21</v>
      </c>
      <c r="B158" s="67" t="s">
        <v>54</v>
      </c>
      <c r="C158" s="67" t="s">
        <v>55</v>
      </c>
      <c r="D158" s="67" t="s">
        <v>58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22</v>
      </c>
      <c r="B159" s="70" t="s">
        <v>54</v>
      </c>
      <c r="C159" s="70" t="s">
        <v>55</v>
      </c>
      <c r="D159" s="70" t="s">
        <v>58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23</v>
      </c>
      <c r="B160" s="70" t="s">
        <v>54</v>
      </c>
      <c r="C160" s="70" t="s">
        <v>55</v>
      </c>
      <c r="D160" s="70" t="s">
        <v>58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24</v>
      </c>
      <c r="B161" s="70" t="s">
        <v>54</v>
      </c>
      <c r="C161" s="70" t="s">
        <v>55</v>
      </c>
      <c r="D161" s="70" t="s">
        <v>58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25</v>
      </c>
      <c r="B162" s="70" t="s">
        <v>54</v>
      </c>
      <c r="C162" s="70" t="s">
        <v>55</v>
      </c>
      <c r="D162" s="70" t="s">
        <v>58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26</v>
      </c>
      <c r="B163" s="70" t="s">
        <v>54</v>
      </c>
      <c r="C163" s="70" t="s">
        <v>55</v>
      </c>
      <c r="D163" s="70" t="s">
        <v>58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29</v>
      </c>
      <c r="B164" s="70" t="s">
        <v>54</v>
      </c>
      <c r="C164" s="70" t="s">
        <v>55</v>
      </c>
      <c r="D164" s="70" t="s">
        <v>58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30</v>
      </c>
      <c r="B165" s="70" t="s">
        <v>54</v>
      </c>
      <c r="C165" s="70" t="s">
        <v>55</v>
      </c>
      <c r="D165" s="70" t="s">
        <v>58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31</v>
      </c>
      <c r="B166" s="70" t="s">
        <v>54</v>
      </c>
      <c r="C166" s="70" t="s">
        <v>55</v>
      </c>
      <c r="D166" s="70" t="s">
        <v>58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32</v>
      </c>
      <c r="B167" s="70" t="s">
        <v>54</v>
      </c>
      <c r="C167" s="70" t="s">
        <v>55</v>
      </c>
      <c r="D167" s="70" t="s">
        <v>58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33</v>
      </c>
      <c r="B168" s="70" t="s">
        <v>54</v>
      </c>
      <c r="C168" s="70" t="s">
        <v>55</v>
      </c>
      <c r="D168" s="70" t="s">
        <v>58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34</v>
      </c>
      <c r="B169" s="70" t="s">
        <v>54</v>
      </c>
      <c r="C169" s="70" t="s">
        <v>55</v>
      </c>
      <c r="D169" s="70" t="s">
        <v>58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36</v>
      </c>
      <c r="B170" s="70" t="s">
        <v>54</v>
      </c>
      <c r="C170" s="70" t="s">
        <v>55</v>
      </c>
      <c r="D170" s="70" t="s">
        <v>58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21</v>
      </c>
      <c r="B171" s="67" t="s">
        <v>54</v>
      </c>
      <c r="C171" s="67" t="s">
        <v>55</v>
      </c>
      <c r="D171" s="67" t="s">
        <v>59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22</v>
      </c>
      <c r="B172" s="70" t="s">
        <v>54</v>
      </c>
      <c r="C172" s="70" t="s">
        <v>55</v>
      </c>
      <c r="D172" s="70" t="s">
        <v>59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23</v>
      </c>
      <c r="B173" s="70" t="s">
        <v>54</v>
      </c>
      <c r="C173" s="70" t="s">
        <v>55</v>
      </c>
      <c r="D173" s="70" t="s">
        <v>59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24</v>
      </c>
      <c r="B174" s="70" t="s">
        <v>54</v>
      </c>
      <c r="C174" s="70" t="s">
        <v>55</v>
      </c>
      <c r="D174" s="70" t="s">
        <v>59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25</v>
      </c>
      <c r="B175" s="70" t="s">
        <v>54</v>
      </c>
      <c r="C175" s="70" t="s">
        <v>55</v>
      </c>
      <c r="D175" s="70" t="s">
        <v>59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26</v>
      </c>
      <c r="B176" s="70" t="s">
        <v>54</v>
      </c>
      <c r="C176" s="70" t="s">
        <v>55</v>
      </c>
      <c r="D176" s="70" t="s">
        <v>59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29</v>
      </c>
      <c r="B177" s="70" t="s">
        <v>54</v>
      </c>
      <c r="C177" s="70" t="s">
        <v>55</v>
      </c>
      <c r="D177" s="70" t="s">
        <v>59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30</v>
      </c>
      <c r="B178" s="70" t="s">
        <v>54</v>
      </c>
      <c r="C178" s="70" t="s">
        <v>55</v>
      </c>
      <c r="D178" s="70" t="s">
        <v>59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31</v>
      </c>
      <c r="B179" s="70" t="s">
        <v>54</v>
      </c>
      <c r="C179" s="70" t="s">
        <v>55</v>
      </c>
      <c r="D179" s="70" t="s">
        <v>59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32</v>
      </c>
      <c r="B180" s="70" t="s">
        <v>54</v>
      </c>
      <c r="C180" s="70" t="s">
        <v>55</v>
      </c>
      <c r="D180" s="70" t="s">
        <v>59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33</v>
      </c>
      <c r="B181" s="70" t="s">
        <v>54</v>
      </c>
      <c r="C181" s="70" t="s">
        <v>55</v>
      </c>
      <c r="D181" s="70" t="s">
        <v>59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34</v>
      </c>
      <c r="B182" s="70" t="s">
        <v>54</v>
      </c>
      <c r="C182" s="70" t="s">
        <v>55</v>
      </c>
      <c r="D182" s="70" t="s">
        <v>59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36</v>
      </c>
      <c r="B183" s="70" t="s">
        <v>54</v>
      </c>
      <c r="C183" s="70" t="s">
        <v>55</v>
      </c>
      <c r="D183" s="70" t="s">
        <v>59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21</v>
      </c>
      <c r="B184" s="67" t="s">
        <v>54</v>
      </c>
      <c r="C184" s="67" t="s">
        <v>55</v>
      </c>
      <c r="D184" s="67" t="s">
        <v>60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22</v>
      </c>
      <c r="B185" s="70" t="s">
        <v>54</v>
      </c>
      <c r="C185" s="70" t="s">
        <v>55</v>
      </c>
      <c r="D185" s="70" t="s">
        <v>60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23</v>
      </c>
      <c r="B186" s="70" t="s">
        <v>54</v>
      </c>
      <c r="C186" s="70" t="s">
        <v>55</v>
      </c>
      <c r="D186" s="70" t="s">
        <v>60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24</v>
      </c>
      <c r="B187" s="70" t="s">
        <v>54</v>
      </c>
      <c r="C187" s="70" t="s">
        <v>55</v>
      </c>
      <c r="D187" s="70" t="s">
        <v>60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25</v>
      </c>
      <c r="B188" s="70" t="s">
        <v>54</v>
      </c>
      <c r="C188" s="70" t="s">
        <v>55</v>
      </c>
      <c r="D188" s="70" t="s">
        <v>60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26</v>
      </c>
      <c r="B189" s="70" t="s">
        <v>54</v>
      </c>
      <c r="C189" s="70" t="s">
        <v>55</v>
      </c>
      <c r="D189" s="70" t="s">
        <v>60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29</v>
      </c>
      <c r="B190" s="70" t="s">
        <v>54</v>
      </c>
      <c r="C190" s="70" t="s">
        <v>55</v>
      </c>
      <c r="D190" s="70" t="s">
        <v>60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30</v>
      </c>
      <c r="B191" s="70" t="s">
        <v>54</v>
      </c>
      <c r="C191" s="70" t="s">
        <v>55</v>
      </c>
      <c r="D191" s="70" t="s">
        <v>60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31</v>
      </c>
      <c r="B192" s="70" t="s">
        <v>54</v>
      </c>
      <c r="C192" s="70" t="s">
        <v>55</v>
      </c>
      <c r="D192" s="70" t="s">
        <v>60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32</v>
      </c>
      <c r="B193" s="70" t="s">
        <v>54</v>
      </c>
      <c r="C193" s="70" t="s">
        <v>55</v>
      </c>
      <c r="D193" s="70" t="s">
        <v>60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33</v>
      </c>
      <c r="B194" s="70" t="s">
        <v>54</v>
      </c>
      <c r="C194" s="70" t="s">
        <v>55</v>
      </c>
      <c r="D194" s="70" t="s">
        <v>60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34</v>
      </c>
      <c r="B195" s="70" t="s">
        <v>54</v>
      </c>
      <c r="C195" s="70" t="s">
        <v>55</v>
      </c>
      <c r="D195" s="70" t="s">
        <v>60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36</v>
      </c>
      <c r="B196" s="70" t="s">
        <v>54</v>
      </c>
      <c r="C196" s="70" t="s">
        <v>55</v>
      </c>
      <c r="D196" s="70" t="s">
        <v>60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23</v>
      </c>
      <c r="B197" s="74" t="s">
        <v>61</v>
      </c>
      <c r="C197" s="74" t="s">
        <v>47</v>
      </c>
      <c r="D197" s="74" t="s">
        <v>48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24</v>
      </c>
      <c r="B198" s="74" t="s">
        <v>61</v>
      </c>
      <c r="C198" s="74" t="s">
        <v>47</v>
      </c>
      <c r="D198" s="74" t="s">
        <v>48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25</v>
      </c>
      <c r="B199" s="74" t="s">
        <v>61</v>
      </c>
      <c r="C199" s="74" t="s">
        <v>47</v>
      </c>
      <c r="D199" s="74" t="s">
        <v>48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27</v>
      </c>
      <c r="B200" s="74" t="s">
        <v>61</v>
      </c>
      <c r="C200" s="74" t="s">
        <v>47</v>
      </c>
      <c r="D200" s="74" t="s">
        <v>48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27</v>
      </c>
      <c r="B201" s="74" t="s">
        <v>61</v>
      </c>
      <c r="C201" s="74" t="s">
        <v>55</v>
      </c>
      <c r="D201" s="74" t="s">
        <v>48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28</v>
      </c>
      <c r="B202" s="74" t="s">
        <v>61</v>
      </c>
      <c r="C202" s="74" t="s">
        <v>47</v>
      </c>
      <c r="D202" s="74" t="s">
        <v>48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28</v>
      </c>
      <c r="B203" s="74" t="s">
        <v>61</v>
      </c>
      <c r="C203" s="74" t="s">
        <v>55</v>
      </c>
      <c r="D203" s="74" t="s">
        <v>48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31</v>
      </c>
      <c r="B204" s="74" t="s">
        <v>61</v>
      </c>
      <c r="C204" s="74" t="s">
        <v>47</v>
      </c>
      <c r="D204" s="74" t="s">
        <v>48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31</v>
      </c>
      <c r="B205" s="74" t="s">
        <v>61</v>
      </c>
      <c r="C205" s="74" t="s">
        <v>55</v>
      </c>
      <c r="D205" s="74" t="s">
        <v>48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33</v>
      </c>
      <c r="B206" s="74" t="s">
        <v>61</v>
      </c>
      <c r="C206" s="74" t="s">
        <v>47</v>
      </c>
      <c r="D206" s="74" t="s">
        <v>48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33</v>
      </c>
      <c r="B207" s="74" t="s">
        <v>61</v>
      </c>
      <c r="C207" s="74" t="s">
        <v>55</v>
      </c>
      <c r="D207" s="74" t="s">
        <v>48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35</v>
      </c>
      <c r="B208" s="74" t="s">
        <v>61</v>
      </c>
      <c r="C208" s="74" t="s">
        <v>47</v>
      </c>
      <c r="D208" s="74" t="s">
        <v>48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35</v>
      </c>
      <c r="B209" s="74" t="s">
        <v>61</v>
      </c>
      <c r="C209" s="74" t="s">
        <v>55</v>
      </c>
      <c r="D209" s="74" t="s">
        <v>48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23</v>
      </c>
      <c r="B210" s="74" t="s">
        <v>61</v>
      </c>
      <c r="C210" s="74" t="s">
        <v>47</v>
      </c>
      <c r="D210" s="74" t="s">
        <v>49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24</v>
      </c>
      <c r="B211" s="74" t="s">
        <v>61</v>
      </c>
      <c r="C211" s="74" t="s">
        <v>47</v>
      </c>
      <c r="D211" s="74" t="s">
        <v>49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25</v>
      </c>
      <c r="B212" s="74" t="s">
        <v>61</v>
      </c>
      <c r="C212" s="74" t="s">
        <v>47</v>
      </c>
      <c r="D212" s="74" t="s">
        <v>49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27</v>
      </c>
      <c r="B213" s="74" t="s">
        <v>61</v>
      </c>
      <c r="C213" s="74" t="s">
        <v>47</v>
      </c>
      <c r="D213" s="74" t="s">
        <v>49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27</v>
      </c>
      <c r="B214" s="74" t="s">
        <v>61</v>
      </c>
      <c r="C214" s="74" t="s">
        <v>55</v>
      </c>
      <c r="D214" s="74" t="s">
        <v>49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28</v>
      </c>
      <c r="B215" s="74" t="s">
        <v>61</v>
      </c>
      <c r="C215" s="74" t="s">
        <v>47</v>
      </c>
      <c r="D215" s="74" t="s">
        <v>49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28</v>
      </c>
      <c r="B216" s="74" t="s">
        <v>61</v>
      </c>
      <c r="C216" s="74" t="s">
        <v>55</v>
      </c>
      <c r="D216" s="74" t="s">
        <v>49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31</v>
      </c>
      <c r="B217" s="74" t="s">
        <v>61</v>
      </c>
      <c r="C217" s="74" t="s">
        <v>47</v>
      </c>
      <c r="D217" s="74" t="s">
        <v>49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31</v>
      </c>
      <c r="B218" s="74" t="s">
        <v>61</v>
      </c>
      <c r="C218" s="74" t="s">
        <v>55</v>
      </c>
      <c r="D218" s="74" t="s">
        <v>49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33</v>
      </c>
      <c r="B219" s="74" t="s">
        <v>61</v>
      </c>
      <c r="C219" s="74" t="s">
        <v>47</v>
      </c>
      <c r="D219" s="74" t="s">
        <v>49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33</v>
      </c>
      <c r="B220" s="74" t="s">
        <v>61</v>
      </c>
      <c r="C220" s="74" t="s">
        <v>55</v>
      </c>
      <c r="D220" s="74" t="s">
        <v>49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35</v>
      </c>
      <c r="B221" s="74" t="s">
        <v>61</v>
      </c>
      <c r="C221" s="74" t="s">
        <v>47</v>
      </c>
      <c r="D221" s="74" t="s">
        <v>49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35</v>
      </c>
      <c r="B222" s="74" t="s">
        <v>61</v>
      </c>
      <c r="C222" s="74" t="s">
        <v>55</v>
      </c>
      <c r="D222" s="74" t="s">
        <v>49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23</v>
      </c>
      <c r="B223" s="74" t="s">
        <v>61</v>
      </c>
      <c r="C223" s="74" t="s">
        <v>47</v>
      </c>
      <c r="D223" s="75" t="s">
        <v>50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24</v>
      </c>
      <c r="B224" s="74" t="s">
        <v>61</v>
      </c>
      <c r="C224" s="74" t="s">
        <v>47</v>
      </c>
      <c r="D224" s="75" t="s">
        <v>50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25</v>
      </c>
      <c r="B225" s="74" t="s">
        <v>61</v>
      </c>
      <c r="C225" s="74" t="s">
        <v>47</v>
      </c>
      <c r="D225" s="75" t="s">
        <v>50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27</v>
      </c>
      <c r="B226" s="74" t="s">
        <v>61</v>
      </c>
      <c r="C226" s="74" t="s">
        <v>47</v>
      </c>
      <c r="D226" s="75" t="s">
        <v>50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27</v>
      </c>
      <c r="B227" s="74" t="s">
        <v>61</v>
      </c>
      <c r="C227" s="74" t="s">
        <v>55</v>
      </c>
      <c r="D227" s="75" t="s">
        <v>50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28</v>
      </c>
      <c r="B228" s="74" t="s">
        <v>61</v>
      </c>
      <c r="C228" s="74" t="s">
        <v>47</v>
      </c>
      <c r="D228" s="75" t="s">
        <v>50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28</v>
      </c>
      <c r="B229" s="74" t="s">
        <v>61</v>
      </c>
      <c r="C229" s="74" t="s">
        <v>55</v>
      </c>
      <c r="D229" s="75" t="s">
        <v>50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31</v>
      </c>
      <c r="B230" s="74" t="s">
        <v>61</v>
      </c>
      <c r="C230" s="74" t="s">
        <v>47</v>
      </c>
      <c r="D230" s="75" t="s">
        <v>50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31</v>
      </c>
      <c r="B231" s="74" t="s">
        <v>61</v>
      </c>
      <c r="C231" s="74" t="s">
        <v>55</v>
      </c>
      <c r="D231" s="75" t="s">
        <v>50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33</v>
      </c>
      <c r="B232" s="74" t="s">
        <v>61</v>
      </c>
      <c r="C232" s="74" t="s">
        <v>47</v>
      </c>
      <c r="D232" s="75" t="s">
        <v>50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33</v>
      </c>
      <c r="B233" s="74" t="s">
        <v>61</v>
      </c>
      <c r="C233" s="74" t="s">
        <v>55</v>
      </c>
      <c r="D233" s="75" t="s">
        <v>50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35</v>
      </c>
      <c r="B234" s="74" t="s">
        <v>61</v>
      </c>
      <c r="C234" s="74" t="s">
        <v>47</v>
      </c>
      <c r="D234" s="75" t="s">
        <v>50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35</v>
      </c>
      <c r="B235" s="74" t="s">
        <v>61</v>
      </c>
      <c r="C235" s="74" t="s">
        <v>47</v>
      </c>
      <c r="D235" s="75" t="s">
        <v>50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23</v>
      </c>
      <c r="B236" s="74" t="s">
        <v>61</v>
      </c>
      <c r="C236" s="74" t="s">
        <v>47</v>
      </c>
      <c r="D236" s="75" t="s">
        <v>51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24</v>
      </c>
      <c r="B237" s="74" t="s">
        <v>61</v>
      </c>
      <c r="C237" s="74" t="s">
        <v>47</v>
      </c>
      <c r="D237" s="75" t="s">
        <v>51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25</v>
      </c>
      <c r="B238" s="74" t="s">
        <v>61</v>
      </c>
      <c r="C238" s="74" t="s">
        <v>47</v>
      </c>
      <c r="D238" s="75" t="s">
        <v>51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27</v>
      </c>
      <c r="B239" s="74" t="s">
        <v>61</v>
      </c>
      <c r="C239" s="74" t="s">
        <v>47</v>
      </c>
      <c r="D239" s="75" t="s">
        <v>51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27</v>
      </c>
      <c r="B240" s="74" t="s">
        <v>61</v>
      </c>
      <c r="C240" s="74" t="s">
        <v>55</v>
      </c>
      <c r="D240" s="75" t="s">
        <v>51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28</v>
      </c>
      <c r="B241" s="74" t="s">
        <v>61</v>
      </c>
      <c r="C241" s="74" t="s">
        <v>47</v>
      </c>
      <c r="D241" s="75" t="s">
        <v>51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28</v>
      </c>
      <c r="B242" s="74" t="s">
        <v>61</v>
      </c>
      <c r="C242" s="74" t="s">
        <v>55</v>
      </c>
      <c r="D242" s="75" t="s">
        <v>51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31</v>
      </c>
      <c r="B243" s="74" t="s">
        <v>61</v>
      </c>
      <c r="C243" s="74" t="s">
        <v>47</v>
      </c>
      <c r="D243" s="75" t="s">
        <v>51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31</v>
      </c>
      <c r="B244" s="74" t="s">
        <v>61</v>
      </c>
      <c r="C244" s="74" t="s">
        <v>55</v>
      </c>
      <c r="D244" s="75" t="s">
        <v>51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33</v>
      </c>
      <c r="B245" s="74" t="s">
        <v>61</v>
      </c>
      <c r="C245" s="74" t="s">
        <v>47</v>
      </c>
      <c r="D245" s="75" t="s">
        <v>51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33</v>
      </c>
      <c r="B246" s="74" t="s">
        <v>61</v>
      </c>
      <c r="C246" s="74" t="s">
        <v>55</v>
      </c>
      <c r="D246" s="75" t="s">
        <v>51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35</v>
      </c>
      <c r="B247" s="74" t="s">
        <v>61</v>
      </c>
      <c r="C247" s="74" t="s">
        <v>47</v>
      </c>
      <c r="D247" s="75" t="s">
        <v>51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35</v>
      </c>
      <c r="B248" s="74" t="s">
        <v>61</v>
      </c>
      <c r="C248" s="74" t="s">
        <v>55</v>
      </c>
      <c r="D248" s="75" t="s">
        <v>51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23</v>
      </c>
      <c r="B249" s="74" t="s">
        <v>61</v>
      </c>
      <c r="C249" s="74" t="s">
        <v>47</v>
      </c>
      <c r="D249" s="75" t="s">
        <v>52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24</v>
      </c>
      <c r="B250" s="74" t="s">
        <v>61</v>
      </c>
      <c r="C250" s="74" t="s">
        <v>47</v>
      </c>
      <c r="D250" s="75" t="s">
        <v>52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25</v>
      </c>
      <c r="B251" s="74" t="s">
        <v>61</v>
      </c>
      <c r="C251" s="74" t="s">
        <v>47</v>
      </c>
      <c r="D251" s="75" t="s">
        <v>52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27</v>
      </c>
      <c r="B252" s="74" t="s">
        <v>61</v>
      </c>
      <c r="C252" s="74" t="s">
        <v>47</v>
      </c>
      <c r="D252" s="75" t="s">
        <v>52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27</v>
      </c>
      <c r="B253" s="74" t="s">
        <v>61</v>
      </c>
      <c r="C253" s="74" t="s">
        <v>55</v>
      </c>
      <c r="D253" s="75" t="s">
        <v>52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28</v>
      </c>
      <c r="B254" s="74" t="s">
        <v>61</v>
      </c>
      <c r="C254" s="74" t="s">
        <v>47</v>
      </c>
      <c r="D254" s="75" t="s">
        <v>52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28</v>
      </c>
      <c r="B255" s="74" t="s">
        <v>61</v>
      </c>
      <c r="C255" s="74" t="s">
        <v>55</v>
      </c>
      <c r="D255" s="75" t="s">
        <v>52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31</v>
      </c>
      <c r="B256" s="74" t="s">
        <v>61</v>
      </c>
      <c r="C256" s="74" t="s">
        <v>47</v>
      </c>
      <c r="D256" s="75" t="s">
        <v>52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31</v>
      </c>
      <c r="B257" s="74" t="s">
        <v>61</v>
      </c>
      <c r="C257" s="74" t="s">
        <v>55</v>
      </c>
      <c r="D257" s="75" t="s">
        <v>52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33</v>
      </c>
      <c r="B258" s="74" t="s">
        <v>61</v>
      </c>
      <c r="C258" s="74" t="s">
        <v>47</v>
      </c>
      <c r="D258" s="75" t="s">
        <v>52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33</v>
      </c>
      <c r="B259" s="74" t="s">
        <v>61</v>
      </c>
      <c r="C259" s="74" t="s">
        <v>55</v>
      </c>
      <c r="D259" s="75" t="s">
        <v>52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35</v>
      </c>
      <c r="B260" s="74" t="s">
        <v>61</v>
      </c>
      <c r="C260" s="74" t="s">
        <v>47</v>
      </c>
      <c r="D260" s="75" t="s">
        <v>52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35</v>
      </c>
      <c r="B261" s="74" t="s">
        <v>61</v>
      </c>
      <c r="C261" s="74" t="s">
        <v>55</v>
      </c>
      <c r="D261" s="75" t="s">
        <v>52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23</v>
      </c>
      <c r="B262" s="74" t="s">
        <v>61</v>
      </c>
      <c r="C262" s="74" t="s">
        <v>47</v>
      </c>
      <c r="D262" s="75" t="s">
        <v>53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24</v>
      </c>
      <c r="B263" s="74" t="s">
        <v>61</v>
      </c>
      <c r="C263" s="74" t="s">
        <v>47</v>
      </c>
      <c r="D263" s="75" t="s">
        <v>53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25</v>
      </c>
      <c r="B264" s="74" t="s">
        <v>61</v>
      </c>
      <c r="C264" s="74" t="s">
        <v>47</v>
      </c>
      <c r="D264" s="75" t="s">
        <v>53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27</v>
      </c>
      <c r="B265" s="74" t="s">
        <v>61</v>
      </c>
      <c r="C265" s="74" t="s">
        <v>47</v>
      </c>
      <c r="D265" s="75" t="s">
        <v>53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27</v>
      </c>
      <c r="B266" s="74" t="s">
        <v>61</v>
      </c>
      <c r="C266" s="74" t="s">
        <v>55</v>
      </c>
      <c r="D266" s="75" t="s">
        <v>53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28</v>
      </c>
      <c r="B267" s="74" t="s">
        <v>61</v>
      </c>
      <c r="C267" s="74" t="s">
        <v>47</v>
      </c>
      <c r="D267" s="75" t="s">
        <v>53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28</v>
      </c>
      <c r="B268" s="74" t="s">
        <v>61</v>
      </c>
      <c r="C268" s="74" t="s">
        <v>55</v>
      </c>
      <c r="D268" s="75" t="s">
        <v>53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31</v>
      </c>
      <c r="B269" s="74" t="s">
        <v>61</v>
      </c>
      <c r="C269" s="74" t="s">
        <v>47</v>
      </c>
      <c r="D269" s="75" t="s">
        <v>53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31</v>
      </c>
      <c r="B270" s="74" t="s">
        <v>61</v>
      </c>
      <c r="C270" s="74" t="s">
        <v>55</v>
      </c>
      <c r="D270" s="75" t="s">
        <v>53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33</v>
      </c>
      <c r="B271" s="74" t="s">
        <v>61</v>
      </c>
      <c r="C271" s="74" t="s">
        <v>47</v>
      </c>
      <c r="D271" s="75" t="s">
        <v>53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33</v>
      </c>
      <c r="B272" s="74" t="s">
        <v>61</v>
      </c>
      <c r="C272" s="74" t="s">
        <v>55</v>
      </c>
      <c r="D272" s="75" t="s">
        <v>53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35</v>
      </c>
      <c r="B273" s="74" t="s">
        <v>61</v>
      </c>
      <c r="C273" s="74" t="s">
        <v>47</v>
      </c>
      <c r="D273" s="75" t="s">
        <v>53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35</v>
      </c>
      <c r="B274" s="74" t="s">
        <v>61</v>
      </c>
      <c r="C274" s="74" t="s">
        <v>55</v>
      </c>
      <c r="D274" s="75" t="s">
        <v>53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23</v>
      </c>
      <c r="B275" s="74" t="s">
        <v>61</v>
      </c>
      <c r="C275" s="74" t="s">
        <v>47</v>
      </c>
      <c r="D275" s="75" t="s">
        <v>56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24</v>
      </c>
      <c r="B276" s="74" t="s">
        <v>61</v>
      </c>
      <c r="C276" s="74" t="s">
        <v>47</v>
      </c>
      <c r="D276" s="75" t="s">
        <v>56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25</v>
      </c>
      <c r="B277" s="74" t="s">
        <v>61</v>
      </c>
      <c r="C277" s="74" t="s">
        <v>47</v>
      </c>
      <c r="D277" s="75" t="s">
        <v>56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27</v>
      </c>
      <c r="B278" s="74" t="s">
        <v>61</v>
      </c>
      <c r="C278" s="74" t="s">
        <v>47</v>
      </c>
      <c r="D278" s="75" t="s">
        <v>56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27</v>
      </c>
      <c r="B279" s="74" t="s">
        <v>61</v>
      </c>
      <c r="C279" s="74" t="s">
        <v>55</v>
      </c>
      <c r="D279" s="75" t="s">
        <v>56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28</v>
      </c>
      <c r="B280" s="74" t="s">
        <v>61</v>
      </c>
      <c r="C280" s="74" t="s">
        <v>47</v>
      </c>
      <c r="D280" s="75" t="s">
        <v>56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28</v>
      </c>
      <c r="B281" s="74" t="s">
        <v>61</v>
      </c>
      <c r="C281" s="74" t="s">
        <v>55</v>
      </c>
      <c r="D281" s="75" t="s">
        <v>56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31</v>
      </c>
      <c r="B282" s="74" t="s">
        <v>61</v>
      </c>
      <c r="C282" s="74" t="s">
        <v>47</v>
      </c>
      <c r="D282" s="75" t="s">
        <v>56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31</v>
      </c>
      <c r="B283" s="74" t="s">
        <v>61</v>
      </c>
      <c r="C283" s="74" t="s">
        <v>55</v>
      </c>
      <c r="D283" s="75" t="s">
        <v>56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33</v>
      </c>
      <c r="B284" s="74" t="s">
        <v>61</v>
      </c>
      <c r="C284" s="74" t="s">
        <v>47</v>
      </c>
      <c r="D284" s="75" t="s">
        <v>56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33</v>
      </c>
      <c r="B285" s="74" t="s">
        <v>61</v>
      </c>
      <c r="C285" s="74" t="s">
        <v>55</v>
      </c>
      <c r="D285" s="75" t="s">
        <v>56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35</v>
      </c>
      <c r="B286" s="74" t="s">
        <v>61</v>
      </c>
      <c r="C286" s="74" t="s">
        <v>47</v>
      </c>
      <c r="D286" s="75" t="s">
        <v>56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35</v>
      </c>
      <c r="B287" s="74" t="s">
        <v>61</v>
      </c>
      <c r="C287" s="74" t="s">
        <v>55</v>
      </c>
      <c r="D287" s="75" t="s">
        <v>56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23</v>
      </c>
      <c r="B288" s="74" t="s">
        <v>61</v>
      </c>
      <c r="C288" s="74" t="s">
        <v>47</v>
      </c>
      <c r="D288" s="75" t="s">
        <v>57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24</v>
      </c>
      <c r="B289" s="74" t="s">
        <v>61</v>
      </c>
      <c r="C289" s="74" t="s">
        <v>47</v>
      </c>
      <c r="D289" s="75" t="s">
        <v>57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25</v>
      </c>
      <c r="B290" s="74" t="s">
        <v>61</v>
      </c>
      <c r="C290" s="74" t="s">
        <v>47</v>
      </c>
      <c r="D290" s="75" t="s">
        <v>57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27</v>
      </c>
      <c r="B291" s="74" t="s">
        <v>61</v>
      </c>
      <c r="C291" s="74" t="s">
        <v>47</v>
      </c>
      <c r="D291" s="75" t="s">
        <v>57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27</v>
      </c>
      <c r="B292" s="74" t="s">
        <v>61</v>
      </c>
      <c r="C292" s="74" t="s">
        <v>55</v>
      </c>
      <c r="D292" s="75" t="s">
        <v>57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28</v>
      </c>
      <c r="B293" s="74" t="s">
        <v>61</v>
      </c>
      <c r="C293" s="74" t="s">
        <v>47</v>
      </c>
      <c r="D293" s="75" t="s">
        <v>57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28</v>
      </c>
      <c r="B294" s="74" t="s">
        <v>61</v>
      </c>
      <c r="C294" s="74" t="s">
        <v>55</v>
      </c>
      <c r="D294" s="75" t="s">
        <v>57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31</v>
      </c>
      <c r="B295" s="74" t="s">
        <v>61</v>
      </c>
      <c r="C295" s="74" t="s">
        <v>47</v>
      </c>
      <c r="D295" s="75" t="s">
        <v>57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31</v>
      </c>
      <c r="B296" s="74" t="s">
        <v>61</v>
      </c>
      <c r="C296" s="74" t="s">
        <v>55</v>
      </c>
      <c r="D296" s="75" t="s">
        <v>57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33</v>
      </c>
      <c r="B297" s="74" t="s">
        <v>61</v>
      </c>
      <c r="C297" s="74" t="s">
        <v>47</v>
      </c>
      <c r="D297" s="75" t="s">
        <v>57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33</v>
      </c>
      <c r="B298" s="74" t="s">
        <v>61</v>
      </c>
      <c r="C298" s="74" t="s">
        <v>55</v>
      </c>
      <c r="D298" s="75" t="s">
        <v>57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35</v>
      </c>
      <c r="B299" s="74" t="s">
        <v>61</v>
      </c>
      <c r="C299" s="74" t="s">
        <v>47</v>
      </c>
      <c r="D299" s="75" t="s">
        <v>57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35</v>
      </c>
      <c r="B300" s="74" t="s">
        <v>61</v>
      </c>
      <c r="C300" s="74" t="s">
        <v>55</v>
      </c>
      <c r="D300" s="75" t="s">
        <v>57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23</v>
      </c>
      <c r="B301" s="74" t="s">
        <v>61</v>
      </c>
      <c r="C301" s="74" t="s">
        <v>47</v>
      </c>
      <c r="D301" s="75" t="s">
        <v>58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24</v>
      </c>
      <c r="B302" s="74" t="s">
        <v>61</v>
      </c>
      <c r="C302" s="74" t="s">
        <v>47</v>
      </c>
      <c r="D302" s="75" t="s">
        <v>58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25</v>
      </c>
      <c r="B303" s="74" t="s">
        <v>61</v>
      </c>
      <c r="C303" s="74" t="s">
        <v>47</v>
      </c>
      <c r="D303" s="75" t="s">
        <v>58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27</v>
      </c>
      <c r="B304" s="74" t="s">
        <v>61</v>
      </c>
      <c r="C304" s="74" t="s">
        <v>47</v>
      </c>
      <c r="D304" s="75" t="s">
        <v>58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27</v>
      </c>
      <c r="B305" s="74" t="s">
        <v>61</v>
      </c>
      <c r="C305" s="74" t="s">
        <v>55</v>
      </c>
      <c r="D305" s="75" t="s">
        <v>58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28</v>
      </c>
      <c r="B306" s="74" t="s">
        <v>61</v>
      </c>
      <c r="C306" s="74" t="s">
        <v>47</v>
      </c>
      <c r="D306" s="75" t="s">
        <v>58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28</v>
      </c>
      <c r="B307" s="74" t="s">
        <v>61</v>
      </c>
      <c r="C307" s="74" t="s">
        <v>55</v>
      </c>
      <c r="D307" s="75" t="s">
        <v>58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31</v>
      </c>
      <c r="B308" s="74" t="s">
        <v>61</v>
      </c>
      <c r="C308" s="74" t="s">
        <v>47</v>
      </c>
      <c r="D308" s="75" t="s">
        <v>58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31</v>
      </c>
      <c r="B309" s="74" t="s">
        <v>61</v>
      </c>
      <c r="C309" s="74" t="s">
        <v>55</v>
      </c>
      <c r="D309" s="75" t="s">
        <v>58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33</v>
      </c>
      <c r="B310" s="74" t="s">
        <v>61</v>
      </c>
      <c r="C310" s="74" t="s">
        <v>47</v>
      </c>
      <c r="D310" s="75" t="s">
        <v>58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33</v>
      </c>
      <c r="B311" s="74" t="s">
        <v>61</v>
      </c>
      <c r="C311" s="74" t="s">
        <v>55</v>
      </c>
      <c r="D311" s="75" t="s">
        <v>58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35</v>
      </c>
      <c r="B312" s="74" t="s">
        <v>61</v>
      </c>
      <c r="C312" s="74" t="s">
        <v>47</v>
      </c>
      <c r="D312" s="75" t="s">
        <v>58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35</v>
      </c>
      <c r="B313" s="74" t="s">
        <v>61</v>
      </c>
      <c r="C313" s="74" t="s">
        <v>55</v>
      </c>
      <c r="D313" s="75" t="s">
        <v>58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23</v>
      </c>
      <c r="B314" s="74" t="s">
        <v>61</v>
      </c>
      <c r="C314" s="74" t="s">
        <v>47</v>
      </c>
      <c r="D314" s="75" t="s">
        <v>59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24</v>
      </c>
      <c r="B315" s="74" t="s">
        <v>61</v>
      </c>
      <c r="C315" s="74" t="s">
        <v>47</v>
      </c>
      <c r="D315" s="75" t="s">
        <v>59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25</v>
      </c>
      <c r="B316" s="74" t="s">
        <v>61</v>
      </c>
      <c r="C316" s="74" t="s">
        <v>47</v>
      </c>
      <c r="D316" s="75" t="s">
        <v>59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27</v>
      </c>
      <c r="B317" s="74" t="s">
        <v>61</v>
      </c>
      <c r="C317" s="74" t="s">
        <v>47</v>
      </c>
      <c r="D317" s="75" t="s">
        <v>59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27</v>
      </c>
      <c r="B318" s="74" t="s">
        <v>61</v>
      </c>
      <c r="C318" s="74" t="s">
        <v>55</v>
      </c>
      <c r="D318" s="75" t="s">
        <v>59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28</v>
      </c>
      <c r="B319" s="74" t="s">
        <v>61</v>
      </c>
      <c r="C319" s="74" t="s">
        <v>47</v>
      </c>
      <c r="D319" s="75" t="s">
        <v>59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28</v>
      </c>
      <c r="B320" s="74" t="s">
        <v>61</v>
      </c>
      <c r="C320" s="74" t="s">
        <v>55</v>
      </c>
      <c r="D320" s="75" t="s">
        <v>59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31</v>
      </c>
      <c r="B321" s="74" t="s">
        <v>61</v>
      </c>
      <c r="C321" s="74" t="s">
        <v>47</v>
      </c>
      <c r="D321" s="75" t="s">
        <v>59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31</v>
      </c>
      <c r="B322" s="74" t="s">
        <v>61</v>
      </c>
      <c r="C322" s="74" t="s">
        <v>55</v>
      </c>
      <c r="D322" s="75" t="s">
        <v>59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33</v>
      </c>
      <c r="B323" s="74" t="s">
        <v>61</v>
      </c>
      <c r="C323" s="74" t="s">
        <v>47</v>
      </c>
      <c r="D323" s="75" t="s">
        <v>59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33</v>
      </c>
      <c r="B324" s="74" t="s">
        <v>61</v>
      </c>
      <c r="C324" s="74" t="s">
        <v>55</v>
      </c>
      <c r="D324" s="75" t="s">
        <v>59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35</v>
      </c>
      <c r="B325" s="74" t="s">
        <v>61</v>
      </c>
      <c r="C325" s="74" t="s">
        <v>47</v>
      </c>
      <c r="D325" s="75" t="s">
        <v>59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35</v>
      </c>
      <c r="B326" s="74" t="s">
        <v>61</v>
      </c>
      <c r="C326" s="74" t="s">
        <v>55</v>
      </c>
      <c r="D326" s="75" t="s">
        <v>59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23</v>
      </c>
      <c r="B327" s="76" t="s">
        <v>61</v>
      </c>
      <c r="C327" s="76" t="s">
        <v>47</v>
      </c>
      <c r="D327" s="77" t="s">
        <v>60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24</v>
      </c>
      <c r="B328" s="78" t="s">
        <v>61</v>
      </c>
      <c r="C328" s="78" t="s">
        <v>47</v>
      </c>
      <c r="D328" s="79" t="s">
        <v>60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25</v>
      </c>
      <c r="B329" s="76" t="s">
        <v>61</v>
      </c>
      <c r="C329" s="76" t="s">
        <v>47</v>
      </c>
      <c r="D329" s="77" t="s">
        <v>60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27</v>
      </c>
      <c r="B330" s="78" t="s">
        <v>61</v>
      </c>
      <c r="C330" s="78" t="s">
        <v>47</v>
      </c>
      <c r="D330" s="79" t="s">
        <v>60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27</v>
      </c>
      <c r="B331" s="76" t="s">
        <v>61</v>
      </c>
      <c r="C331" s="76" t="s">
        <v>55</v>
      </c>
      <c r="D331" s="77" t="s">
        <v>60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28</v>
      </c>
      <c r="B332" s="78" t="s">
        <v>61</v>
      </c>
      <c r="C332" s="78" t="s">
        <v>47</v>
      </c>
      <c r="D332" s="79" t="s">
        <v>60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28</v>
      </c>
      <c r="B333" s="76" t="s">
        <v>61</v>
      </c>
      <c r="C333" s="76" t="s">
        <v>55</v>
      </c>
      <c r="D333" s="77" t="s">
        <v>60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31</v>
      </c>
      <c r="B334" s="78" t="s">
        <v>61</v>
      </c>
      <c r="C334" s="78" t="s">
        <v>47</v>
      </c>
      <c r="D334" s="79" t="s">
        <v>60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31</v>
      </c>
      <c r="B335" s="76" t="s">
        <v>61</v>
      </c>
      <c r="C335" s="76" t="s">
        <v>55</v>
      </c>
      <c r="D335" s="77" t="s">
        <v>60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33</v>
      </c>
      <c r="B336" s="78" t="s">
        <v>61</v>
      </c>
      <c r="C336" s="78" t="s">
        <v>47</v>
      </c>
      <c r="D336" s="79" t="s">
        <v>60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33</v>
      </c>
      <c r="B337" s="76" t="s">
        <v>61</v>
      </c>
      <c r="C337" s="76" t="s">
        <v>55</v>
      </c>
      <c r="D337" s="77" t="s">
        <v>60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35</v>
      </c>
      <c r="B338" s="78" t="s">
        <v>61</v>
      </c>
      <c r="C338" s="78" t="s">
        <v>47</v>
      </c>
      <c r="D338" s="79" t="s">
        <v>60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35</v>
      </c>
      <c r="B339" s="76" t="s">
        <v>61</v>
      </c>
      <c r="C339" s="76" t="s">
        <v>55</v>
      </c>
      <c r="D339" s="77" t="s">
        <v>60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62</v>
      </c>
      <c r="B1" s="54" t="s">
        <v>38</v>
      </c>
      <c r="C1" s="54" t="s">
        <v>39</v>
      </c>
      <c r="D1" s="54" t="s">
        <v>63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x14ac:dyDescent="0.2">
      <c r="A2" s="61" t="s">
        <v>21</v>
      </c>
      <c r="B2" s="61" t="s">
        <v>46</v>
      </c>
      <c r="C2" s="61" t="s">
        <v>47</v>
      </c>
      <c r="D2" s="61" t="s">
        <v>64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22</v>
      </c>
      <c r="B3" s="61" t="s">
        <v>46</v>
      </c>
      <c r="C3" s="61" t="s">
        <v>47</v>
      </c>
      <c r="D3" s="61" t="s">
        <v>64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23</v>
      </c>
      <c r="B4" s="61" t="s">
        <v>46</v>
      </c>
      <c r="C4" s="61" t="s">
        <v>47</v>
      </c>
      <c r="D4" s="61" t="s">
        <v>64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24</v>
      </c>
      <c r="B5" s="61" t="s">
        <v>46</v>
      </c>
      <c r="C5" s="61" t="s">
        <v>47</v>
      </c>
      <c r="D5" s="61" t="s">
        <v>64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25</v>
      </c>
      <c r="B6" s="61" t="s">
        <v>46</v>
      </c>
      <c r="C6" s="61" t="s">
        <v>47</v>
      </c>
      <c r="D6" s="61" t="s">
        <v>64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26</v>
      </c>
      <c r="B7" s="61" t="s">
        <v>46</v>
      </c>
      <c r="C7" s="61" t="s">
        <v>47</v>
      </c>
      <c r="D7" s="61" t="s">
        <v>64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29</v>
      </c>
      <c r="B8" s="61" t="s">
        <v>46</v>
      </c>
      <c r="C8" s="61" t="s">
        <v>47</v>
      </c>
      <c r="D8" s="61" t="s">
        <v>64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30</v>
      </c>
      <c r="B9" s="61" t="s">
        <v>46</v>
      </c>
      <c r="C9" s="61" t="s">
        <v>47</v>
      </c>
      <c r="D9" s="61" t="s">
        <v>64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31</v>
      </c>
      <c r="B10" s="61" t="s">
        <v>46</v>
      </c>
      <c r="C10" s="61" t="s">
        <v>47</v>
      </c>
      <c r="D10" s="61" t="s">
        <v>64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32</v>
      </c>
      <c r="B11" s="61" t="s">
        <v>46</v>
      </c>
      <c r="C11" s="61" t="s">
        <v>47</v>
      </c>
      <c r="D11" s="61" t="s">
        <v>64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33</v>
      </c>
      <c r="B12" s="61" t="s">
        <v>46</v>
      </c>
      <c r="C12" s="61" t="s">
        <v>47</v>
      </c>
      <c r="D12" s="61" t="s">
        <v>64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34</v>
      </c>
      <c r="B13" s="61" t="s">
        <v>46</v>
      </c>
      <c r="C13" s="61" t="s">
        <v>47</v>
      </c>
      <c r="D13" s="61" t="s">
        <v>64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36</v>
      </c>
      <c r="B14" s="61" t="s">
        <v>46</v>
      </c>
      <c r="C14" s="61" t="s">
        <v>47</v>
      </c>
      <c r="D14" s="61" t="s">
        <v>64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21</v>
      </c>
      <c r="B15" s="61" t="s">
        <v>46</v>
      </c>
      <c r="C15" s="61" t="s">
        <v>47</v>
      </c>
      <c r="D15" s="61" t="s">
        <v>65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22</v>
      </c>
      <c r="B16" s="61" t="s">
        <v>46</v>
      </c>
      <c r="C16" s="61" t="s">
        <v>47</v>
      </c>
      <c r="D16" s="61" t="s">
        <v>65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23</v>
      </c>
      <c r="B17" s="61" t="s">
        <v>46</v>
      </c>
      <c r="C17" s="61" t="s">
        <v>47</v>
      </c>
      <c r="D17" s="61" t="s">
        <v>65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24</v>
      </c>
      <c r="B18" s="61" t="s">
        <v>46</v>
      </c>
      <c r="C18" s="61" t="s">
        <v>47</v>
      </c>
      <c r="D18" s="61" t="s">
        <v>65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25</v>
      </c>
      <c r="B19" s="61" t="s">
        <v>46</v>
      </c>
      <c r="C19" s="61" t="s">
        <v>47</v>
      </c>
      <c r="D19" s="61" t="s">
        <v>65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26</v>
      </c>
      <c r="B20" s="61" t="s">
        <v>46</v>
      </c>
      <c r="C20" s="61" t="s">
        <v>47</v>
      </c>
      <c r="D20" s="61" t="s">
        <v>65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29</v>
      </c>
      <c r="B21" s="61" t="s">
        <v>46</v>
      </c>
      <c r="C21" s="61" t="s">
        <v>47</v>
      </c>
      <c r="D21" s="61" t="s">
        <v>65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30</v>
      </c>
      <c r="B22" s="61" t="s">
        <v>46</v>
      </c>
      <c r="C22" s="61" t="s">
        <v>47</v>
      </c>
      <c r="D22" s="61" t="s">
        <v>65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31</v>
      </c>
      <c r="B23" s="61" t="s">
        <v>46</v>
      </c>
      <c r="C23" s="61" t="s">
        <v>47</v>
      </c>
      <c r="D23" s="61" t="s">
        <v>65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32</v>
      </c>
      <c r="B24" s="61" t="s">
        <v>46</v>
      </c>
      <c r="C24" s="61" t="s">
        <v>47</v>
      </c>
      <c r="D24" s="61" t="s">
        <v>65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33</v>
      </c>
      <c r="B25" s="61" t="s">
        <v>46</v>
      </c>
      <c r="C25" s="61" t="s">
        <v>47</v>
      </c>
      <c r="D25" s="61" t="s">
        <v>65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34</v>
      </c>
      <c r="B26" s="61" t="s">
        <v>46</v>
      </c>
      <c r="C26" s="61" t="s">
        <v>47</v>
      </c>
      <c r="D26" s="61" t="s">
        <v>65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36</v>
      </c>
      <c r="B27" s="61" t="s">
        <v>46</v>
      </c>
      <c r="C27" s="61" t="s">
        <v>47</v>
      </c>
      <c r="D27" s="61" t="s">
        <v>65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21</v>
      </c>
      <c r="B28" s="61" t="s">
        <v>46</v>
      </c>
      <c r="C28" s="61" t="s">
        <v>47</v>
      </c>
      <c r="D28" s="61" t="s">
        <v>66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22</v>
      </c>
      <c r="B29" s="61" t="s">
        <v>46</v>
      </c>
      <c r="C29" s="61" t="s">
        <v>47</v>
      </c>
      <c r="D29" s="61" t="s">
        <v>66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23</v>
      </c>
      <c r="B30" s="61" t="s">
        <v>46</v>
      </c>
      <c r="C30" s="61" t="s">
        <v>47</v>
      </c>
      <c r="D30" s="61" t="s">
        <v>66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24</v>
      </c>
      <c r="B31" s="61" t="s">
        <v>46</v>
      </c>
      <c r="C31" s="61" t="s">
        <v>47</v>
      </c>
      <c r="D31" s="61" t="s">
        <v>66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25</v>
      </c>
      <c r="B32" s="61" t="s">
        <v>46</v>
      </c>
      <c r="C32" s="61" t="s">
        <v>47</v>
      </c>
      <c r="D32" s="61" t="s">
        <v>66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26</v>
      </c>
      <c r="B33" s="61" t="s">
        <v>46</v>
      </c>
      <c r="C33" s="61" t="s">
        <v>47</v>
      </c>
      <c r="D33" s="61" t="s">
        <v>66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29</v>
      </c>
      <c r="B34" s="61" t="s">
        <v>46</v>
      </c>
      <c r="C34" s="61" t="s">
        <v>47</v>
      </c>
      <c r="D34" s="61" t="s">
        <v>66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30</v>
      </c>
      <c r="B35" s="61" t="s">
        <v>46</v>
      </c>
      <c r="C35" s="61" t="s">
        <v>47</v>
      </c>
      <c r="D35" s="61" t="s">
        <v>66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31</v>
      </c>
      <c r="B36" s="61" t="s">
        <v>46</v>
      </c>
      <c r="C36" s="61" t="s">
        <v>47</v>
      </c>
      <c r="D36" s="61" t="s">
        <v>66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32</v>
      </c>
      <c r="B37" s="61" t="s">
        <v>46</v>
      </c>
      <c r="C37" s="61" t="s">
        <v>47</v>
      </c>
      <c r="D37" s="61" t="s">
        <v>66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33</v>
      </c>
      <c r="B38" s="61" t="s">
        <v>46</v>
      </c>
      <c r="C38" s="61" t="s">
        <v>47</v>
      </c>
      <c r="D38" s="61" t="s">
        <v>66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34</v>
      </c>
      <c r="B39" s="61" t="s">
        <v>46</v>
      </c>
      <c r="C39" s="61" t="s">
        <v>47</v>
      </c>
      <c r="D39" s="61" t="s">
        <v>66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36</v>
      </c>
      <c r="B40" s="61" t="s">
        <v>46</v>
      </c>
      <c r="C40" s="61" t="s">
        <v>47</v>
      </c>
      <c r="D40" s="61" t="s">
        <v>66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21</v>
      </c>
      <c r="B41" s="61" t="s">
        <v>46</v>
      </c>
      <c r="C41" s="61" t="s">
        <v>47</v>
      </c>
      <c r="D41" s="61" t="s">
        <v>67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22</v>
      </c>
      <c r="B42" s="61" t="s">
        <v>46</v>
      </c>
      <c r="C42" s="61" t="s">
        <v>47</v>
      </c>
      <c r="D42" s="61" t="s">
        <v>67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23</v>
      </c>
      <c r="B43" s="61" t="s">
        <v>46</v>
      </c>
      <c r="C43" s="61" t="s">
        <v>47</v>
      </c>
      <c r="D43" s="61" t="s">
        <v>67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24</v>
      </c>
      <c r="B44" s="61" t="s">
        <v>46</v>
      </c>
      <c r="C44" s="61" t="s">
        <v>47</v>
      </c>
      <c r="D44" s="61" t="s">
        <v>67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25</v>
      </c>
      <c r="B45" s="61" t="s">
        <v>46</v>
      </c>
      <c r="C45" s="61" t="s">
        <v>47</v>
      </c>
      <c r="D45" s="61" t="s">
        <v>67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26</v>
      </c>
      <c r="B46" s="61" t="s">
        <v>46</v>
      </c>
      <c r="C46" s="61" t="s">
        <v>47</v>
      </c>
      <c r="D46" s="61" t="s">
        <v>67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29</v>
      </c>
      <c r="B47" s="61" t="s">
        <v>46</v>
      </c>
      <c r="C47" s="61" t="s">
        <v>47</v>
      </c>
      <c r="D47" s="61" t="s">
        <v>67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30</v>
      </c>
      <c r="B48" s="61" t="s">
        <v>46</v>
      </c>
      <c r="C48" s="61" t="s">
        <v>47</v>
      </c>
      <c r="D48" s="61" t="s">
        <v>67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31</v>
      </c>
      <c r="B49" s="61" t="s">
        <v>46</v>
      </c>
      <c r="C49" s="61" t="s">
        <v>47</v>
      </c>
      <c r="D49" s="61" t="s">
        <v>67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32</v>
      </c>
      <c r="B50" s="61" t="s">
        <v>46</v>
      </c>
      <c r="C50" s="61" t="s">
        <v>47</v>
      </c>
      <c r="D50" s="61" t="s">
        <v>67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33</v>
      </c>
      <c r="B51" s="61" t="s">
        <v>46</v>
      </c>
      <c r="C51" s="61" t="s">
        <v>47</v>
      </c>
      <c r="D51" s="61" t="s">
        <v>67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34</v>
      </c>
      <c r="B52" s="61" t="s">
        <v>46</v>
      </c>
      <c r="C52" s="61" t="s">
        <v>47</v>
      </c>
      <c r="D52" s="61" t="s">
        <v>67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36</v>
      </c>
      <c r="B53" s="61" t="s">
        <v>46</v>
      </c>
      <c r="C53" s="61" t="s">
        <v>47</v>
      </c>
      <c r="D53" s="61" t="s">
        <v>67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21</v>
      </c>
      <c r="B54" s="61" t="s">
        <v>46</v>
      </c>
      <c r="C54" s="61" t="s">
        <v>47</v>
      </c>
      <c r="D54" s="61" t="s">
        <v>68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22</v>
      </c>
      <c r="B55" s="61" t="s">
        <v>46</v>
      </c>
      <c r="C55" s="61" t="s">
        <v>47</v>
      </c>
      <c r="D55" s="61" t="s">
        <v>68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23</v>
      </c>
      <c r="B56" s="61" t="s">
        <v>46</v>
      </c>
      <c r="C56" s="61" t="s">
        <v>47</v>
      </c>
      <c r="D56" s="61" t="s">
        <v>68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24</v>
      </c>
      <c r="B57" s="61" t="s">
        <v>46</v>
      </c>
      <c r="C57" s="61" t="s">
        <v>47</v>
      </c>
      <c r="D57" s="61" t="s">
        <v>68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25</v>
      </c>
      <c r="B58" s="61" t="s">
        <v>46</v>
      </c>
      <c r="C58" s="61" t="s">
        <v>47</v>
      </c>
      <c r="D58" s="61" t="s">
        <v>68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26</v>
      </c>
      <c r="B59" s="61" t="s">
        <v>46</v>
      </c>
      <c r="C59" s="61" t="s">
        <v>47</v>
      </c>
      <c r="D59" s="61" t="s">
        <v>68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29</v>
      </c>
      <c r="B60" s="61" t="s">
        <v>46</v>
      </c>
      <c r="C60" s="61" t="s">
        <v>47</v>
      </c>
      <c r="D60" s="61" t="s">
        <v>68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30</v>
      </c>
      <c r="B61" s="61" t="s">
        <v>46</v>
      </c>
      <c r="C61" s="61" t="s">
        <v>47</v>
      </c>
      <c r="D61" s="61" t="s">
        <v>68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31</v>
      </c>
      <c r="B62" s="61" t="s">
        <v>46</v>
      </c>
      <c r="C62" s="61" t="s">
        <v>47</v>
      </c>
      <c r="D62" s="61" t="s">
        <v>68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32</v>
      </c>
      <c r="B63" s="61" t="s">
        <v>46</v>
      </c>
      <c r="C63" s="61" t="s">
        <v>47</v>
      </c>
      <c r="D63" s="61" t="s">
        <v>68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33</v>
      </c>
      <c r="B64" s="61" t="s">
        <v>46</v>
      </c>
      <c r="C64" s="61" t="s">
        <v>47</v>
      </c>
      <c r="D64" s="61" t="s">
        <v>68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34</v>
      </c>
      <c r="B65" s="61" t="s">
        <v>46</v>
      </c>
      <c r="C65" s="61" t="s">
        <v>47</v>
      </c>
      <c r="D65" s="61" t="s">
        <v>68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36</v>
      </c>
      <c r="B66" s="61" t="s">
        <v>46</v>
      </c>
      <c r="C66" s="61" t="s">
        <v>47</v>
      </c>
      <c r="D66" s="61" t="s">
        <v>68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21</v>
      </c>
      <c r="B67" s="61" t="s">
        <v>46</v>
      </c>
      <c r="C67" s="61" t="s">
        <v>47</v>
      </c>
      <c r="D67" s="61" t="s">
        <v>69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22</v>
      </c>
      <c r="B68" s="61" t="s">
        <v>46</v>
      </c>
      <c r="C68" s="61" t="s">
        <v>47</v>
      </c>
      <c r="D68" s="61" t="s">
        <v>69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23</v>
      </c>
      <c r="B69" s="61" t="s">
        <v>46</v>
      </c>
      <c r="C69" s="61" t="s">
        <v>47</v>
      </c>
      <c r="D69" s="61" t="s">
        <v>69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24</v>
      </c>
      <c r="B70" s="61" t="s">
        <v>46</v>
      </c>
      <c r="C70" s="61" t="s">
        <v>47</v>
      </c>
      <c r="D70" s="61" t="s">
        <v>69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25</v>
      </c>
      <c r="B71" s="61" t="s">
        <v>46</v>
      </c>
      <c r="C71" s="61" t="s">
        <v>47</v>
      </c>
      <c r="D71" s="61" t="s">
        <v>69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26</v>
      </c>
      <c r="B72" s="61" t="s">
        <v>46</v>
      </c>
      <c r="C72" s="61" t="s">
        <v>47</v>
      </c>
      <c r="D72" s="61" t="s">
        <v>69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29</v>
      </c>
      <c r="B73" s="61" t="s">
        <v>46</v>
      </c>
      <c r="C73" s="61" t="s">
        <v>47</v>
      </c>
      <c r="D73" s="61" t="s">
        <v>69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30</v>
      </c>
      <c r="B74" s="61" t="s">
        <v>46</v>
      </c>
      <c r="C74" s="61" t="s">
        <v>47</v>
      </c>
      <c r="D74" s="61" t="s">
        <v>69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31</v>
      </c>
      <c r="B75" s="61" t="s">
        <v>46</v>
      </c>
      <c r="C75" s="61" t="s">
        <v>47</v>
      </c>
      <c r="D75" s="61" t="s">
        <v>69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32</v>
      </c>
      <c r="B76" s="61" t="s">
        <v>46</v>
      </c>
      <c r="C76" s="61" t="s">
        <v>47</v>
      </c>
      <c r="D76" s="61" t="s">
        <v>69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33</v>
      </c>
      <c r="B77" s="61" t="s">
        <v>46</v>
      </c>
      <c r="C77" s="61" t="s">
        <v>47</v>
      </c>
      <c r="D77" s="61" t="s">
        <v>69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34</v>
      </c>
      <c r="B78" s="61" t="s">
        <v>46</v>
      </c>
      <c r="C78" s="61" t="s">
        <v>47</v>
      </c>
      <c r="D78" s="61" t="s">
        <v>69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36</v>
      </c>
      <c r="B79" s="61" t="s">
        <v>46</v>
      </c>
      <c r="C79" s="61" t="s">
        <v>47</v>
      </c>
      <c r="D79" s="61" t="s">
        <v>69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21</v>
      </c>
      <c r="B80" s="61" t="s">
        <v>46</v>
      </c>
      <c r="C80" s="61" t="s">
        <v>47</v>
      </c>
      <c r="D80" s="61" t="s">
        <v>70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22</v>
      </c>
      <c r="B81" s="61" t="s">
        <v>46</v>
      </c>
      <c r="C81" s="61" t="s">
        <v>47</v>
      </c>
      <c r="D81" s="61" t="s">
        <v>70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23</v>
      </c>
      <c r="B82" s="61" t="s">
        <v>46</v>
      </c>
      <c r="C82" s="61" t="s">
        <v>47</v>
      </c>
      <c r="D82" s="61" t="s">
        <v>70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24</v>
      </c>
      <c r="B83" s="61" t="s">
        <v>46</v>
      </c>
      <c r="C83" s="61" t="s">
        <v>47</v>
      </c>
      <c r="D83" s="61" t="s">
        <v>70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25</v>
      </c>
      <c r="B84" s="61" t="s">
        <v>46</v>
      </c>
      <c r="C84" s="61" t="s">
        <v>47</v>
      </c>
      <c r="D84" s="61" t="s">
        <v>70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26</v>
      </c>
      <c r="B85" s="61" t="s">
        <v>46</v>
      </c>
      <c r="C85" s="61" t="s">
        <v>47</v>
      </c>
      <c r="D85" s="61" t="s">
        <v>70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29</v>
      </c>
      <c r="B86" s="61" t="s">
        <v>46</v>
      </c>
      <c r="C86" s="61" t="s">
        <v>47</v>
      </c>
      <c r="D86" s="61" t="s">
        <v>70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30</v>
      </c>
      <c r="B87" s="61" t="s">
        <v>46</v>
      </c>
      <c r="C87" s="61" t="s">
        <v>47</v>
      </c>
      <c r="D87" s="61" t="s">
        <v>70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31</v>
      </c>
      <c r="B88" s="61" t="s">
        <v>46</v>
      </c>
      <c r="C88" s="61" t="s">
        <v>47</v>
      </c>
      <c r="D88" s="61" t="s">
        <v>70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32</v>
      </c>
      <c r="B89" s="61" t="s">
        <v>46</v>
      </c>
      <c r="C89" s="61" t="s">
        <v>47</v>
      </c>
      <c r="D89" s="61" t="s">
        <v>70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33</v>
      </c>
      <c r="B90" s="61" t="s">
        <v>46</v>
      </c>
      <c r="C90" s="61" t="s">
        <v>47</v>
      </c>
      <c r="D90" s="61" t="s">
        <v>70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34</v>
      </c>
      <c r="B91" s="61" t="s">
        <v>46</v>
      </c>
      <c r="C91" s="61" t="s">
        <v>47</v>
      </c>
      <c r="D91" s="61" t="s">
        <v>70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36</v>
      </c>
      <c r="B92" s="61" t="s">
        <v>46</v>
      </c>
      <c r="C92" s="61" t="s">
        <v>47</v>
      </c>
      <c r="D92" s="61" t="s">
        <v>70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21</v>
      </c>
      <c r="B93" s="61" t="s">
        <v>46</v>
      </c>
      <c r="C93" s="61" t="s">
        <v>47</v>
      </c>
      <c r="D93" s="61" t="s">
        <v>71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22</v>
      </c>
      <c r="B94" s="61" t="s">
        <v>46</v>
      </c>
      <c r="C94" s="61" t="s">
        <v>47</v>
      </c>
      <c r="D94" s="61" t="s">
        <v>71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23</v>
      </c>
      <c r="B95" s="61" t="s">
        <v>46</v>
      </c>
      <c r="C95" s="61" t="s">
        <v>47</v>
      </c>
      <c r="D95" s="61" t="s">
        <v>71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24</v>
      </c>
      <c r="B96" s="61" t="s">
        <v>46</v>
      </c>
      <c r="C96" s="61" t="s">
        <v>47</v>
      </c>
      <c r="D96" s="61" t="s">
        <v>71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25</v>
      </c>
      <c r="B97" s="61" t="s">
        <v>46</v>
      </c>
      <c r="C97" s="61" t="s">
        <v>47</v>
      </c>
      <c r="D97" s="61" t="s">
        <v>71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26</v>
      </c>
      <c r="B98" s="61" t="s">
        <v>46</v>
      </c>
      <c r="C98" s="61" t="s">
        <v>47</v>
      </c>
      <c r="D98" s="61" t="s">
        <v>71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29</v>
      </c>
      <c r="B99" s="61" t="s">
        <v>46</v>
      </c>
      <c r="C99" s="61" t="s">
        <v>47</v>
      </c>
      <c r="D99" s="61" t="s">
        <v>71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30</v>
      </c>
      <c r="B100" s="61" t="s">
        <v>46</v>
      </c>
      <c r="C100" s="61" t="s">
        <v>47</v>
      </c>
      <c r="D100" s="61" t="s">
        <v>71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31</v>
      </c>
      <c r="B101" s="61" t="s">
        <v>46</v>
      </c>
      <c r="C101" s="61" t="s">
        <v>47</v>
      </c>
      <c r="D101" s="61" t="s">
        <v>71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32</v>
      </c>
      <c r="B102" s="61" t="s">
        <v>46</v>
      </c>
      <c r="C102" s="61" t="s">
        <v>47</v>
      </c>
      <c r="D102" s="61" t="s">
        <v>71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33</v>
      </c>
      <c r="B103" s="61" t="s">
        <v>46</v>
      </c>
      <c r="C103" s="61" t="s">
        <v>47</v>
      </c>
      <c r="D103" s="61" t="s">
        <v>71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34</v>
      </c>
      <c r="B104" s="61" t="s">
        <v>46</v>
      </c>
      <c r="C104" s="61" t="s">
        <v>47</v>
      </c>
      <c r="D104" s="61" t="s">
        <v>71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36</v>
      </c>
      <c r="B105" s="61" t="s">
        <v>46</v>
      </c>
      <c r="C105" s="61" t="s">
        <v>47</v>
      </c>
      <c r="D105" s="61" t="s">
        <v>71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21</v>
      </c>
      <c r="B106" s="61" t="s">
        <v>46</v>
      </c>
      <c r="C106" s="61" t="s">
        <v>47</v>
      </c>
      <c r="D106" s="61" t="s">
        <v>72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22</v>
      </c>
      <c r="B107" s="61" t="s">
        <v>46</v>
      </c>
      <c r="C107" s="61" t="s">
        <v>47</v>
      </c>
      <c r="D107" s="61" t="s">
        <v>72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23</v>
      </c>
      <c r="B108" s="61" t="s">
        <v>46</v>
      </c>
      <c r="C108" s="61" t="s">
        <v>47</v>
      </c>
      <c r="D108" s="61" t="s">
        <v>72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24</v>
      </c>
      <c r="B109" s="61" t="s">
        <v>46</v>
      </c>
      <c r="C109" s="61" t="s">
        <v>47</v>
      </c>
      <c r="D109" s="61" t="s">
        <v>72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25</v>
      </c>
      <c r="B110" s="61" t="s">
        <v>46</v>
      </c>
      <c r="C110" s="61" t="s">
        <v>47</v>
      </c>
      <c r="D110" s="61" t="s">
        <v>72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26</v>
      </c>
      <c r="B111" s="61" t="s">
        <v>46</v>
      </c>
      <c r="C111" s="61" t="s">
        <v>47</v>
      </c>
      <c r="D111" s="61" t="s">
        <v>72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29</v>
      </c>
      <c r="B112" s="61" t="s">
        <v>46</v>
      </c>
      <c r="C112" s="61" t="s">
        <v>47</v>
      </c>
      <c r="D112" s="61" t="s">
        <v>72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30</v>
      </c>
      <c r="B113" s="61" t="s">
        <v>46</v>
      </c>
      <c r="C113" s="61" t="s">
        <v>47</v>
      </c>
      <c r="D113" s="61" t="s">
        <v>72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31</v>
      </c>
      <c r="B114" s="61" t="s">
        <v>46</v>
      </c>
      <c r="C114" s="61" t="s">
        <v>47</v>
      </c>
      <c r="D114" s="61" t="s">
        <v>72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32</v>
      </c>
      <c r="B115" s="61" t="s">
        <v>46</v>
      </c>
      <c r="C115" s="61" t="s">
        <v>47</v>
      </c>
      <c r="D115" s="61" t="s">
        <v>72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33</v>
      </c>
      <c r="B116" s="61" t="s">
        <v>46</v>
      </c>
      <c r="C116" s="61" t="s">
        <v>47</v>
      </c>
      <c r="D116" s="61" t="s">
        <v>72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34</v>
      </c>
      <c r="B117" s="61" t="s">
        <v>46</v>
      </c>
      <c r="C117" s="61" t="s">
        <v>47</v>
      </c>
      <c r="D117" s="61" t="s">
        <v>72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36</v>
      </c>
      <c r="B118" s="61" t="s">
        <v>46</v>
      </c>
      <c r="C118" s="61" t="s">
        <v>47</v>
      </c>
      <c r="D118" s="61" t="s">
        <v>72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21</v>
      </c>
      <c r="B119" s="61" t="s">
        <v>46</v>
      </c>
      <c r="C119" s="61" t="s">
        <v>47</v>
      </c>
      <c r="D119" s="61" t="s">
        <v>73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22</v>
      </c>
      <c r="B120" s="61" t="s">
        <v>46</v>
      </c>
      <c r="C120" s="61" t="s">
        <v>47</v>
      </c>
      <c r="D120" s="61" t="s">
        <v>73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23</v>
      </c>
      <c r="B121" s="61" t="s">
        <v>46</v>
      </c>
      <c r="C121" s="61" t="s">
        <v>47</v>
      </c>
      <c r="D121" s="61" t="s">
        <v>73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24</v>
      </c>
      <c r="B122" s="61" t="s">
        <v>46</v>
      </c>
      <c r="C122" s="61" t="s">
        <v>47</v>
      </c>
      <c r="D122" s="61" t="s">
        <v>73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25</v>
      </c>
      <c r="B123" s="61" t="s">
        <v>46</v>
      </c>
      <c r="C123" s="61" t="s">
        <v>47</v>
      </c>
      <c r="D123" s="61" t="s">
        <v>73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26</v>
      </c>
      <c r="B124" s="61" t="s">
        <v>46</v>
      </c>
      <c r="C124" s="61" t="s">
        <v>47</v>
      </c>
      <c r="D124" s="61" t="s">
        <v>73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29</v>
      </c>
      <c r="B125" s="61" t="s">
        <v>46</v>
      </c>
      <c r="C125" s="61" t="s">
        <v>47</v>
      </c>
      <c r="D125" s="61" t="s">
        <v>73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30</v>
      </c>
      <c r="B126" s="61" t="s">
        <v>46</v>
      </c>
      <c r="C126" s="61" t="s">
        <v>47</v>
      </c>
      <c r="D126" s="61" t="s">
        <v>73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31</v>
      </c>
      <c r="B127" s="61" t="s">
        <v>46</v>
      </c>
      <c r="C127" s="61" t="s">
        <v>47</v>
      </c>
      <c r="D127" s="61" t="s">
        <v>73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32</v>
      </c>
      <c r="B128" s="61" t="s">
        <v>46</v>
      </c>
      <c r="C128" s="61" t="s">
        <v>47</v>
      </c>
      <c r="D128" s="61" t="s">
        <v>73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33</v>
      </c>
      <c r="B129" s="61" t="s">
        <v>46</v>
      </c>
      <c r="C129" s="61" t="s">
        <v>47</v>
      </c>
      <c r="D129" s="61" t="s">
        <v>73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34</v>
      </c>
      <c r="B130" s="61" t="s">
        <v>46</v>
      </c>
      <c r="C130" s="61" t="s">
        <v>47</v>
      </c>
      <c r="D130" s="61" t="s">
        <v>73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36</v>
      </c>
      <c r="B131" s="61" t="s">
        <v>46</v>
      </c>
      <c r="C131" s="61" t="s">
        <v>47</v>
      </c>
      <c r="D131" s="61" t="s">
        <v>73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21</v>
      </c>
      <c r="B132" s="61" t="s">
        <v>46</v>
      </c>
      <c r="C132" s="61" t="s">
        <v>47</v>
      </c>
      <c r="D132" s="61" t="s">
        <v>74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22</v>
      </c>
      <c r="B133" s="61" t="s">
        <v>46</v>
      </c>
      <c r="C133" s="61" t="s">
        <v>47</v>
      </c>
      <c r="D133" s="61" t="s">
        <v>74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23</v>
      </c>
      <c r="B134" s="61" t="s">
        <v>46</v>
      </c>
      <c r="C134" s="61" t="s">
        <v>47</v>
      </c>
      <c r="D134" s="61" t="s">
        <v>74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24</v>
      </c>
      <c r="B135" s="61" t="s">
        <v>46</v>
      </c>
      <c r="C135" s="61" t="s">
        <v>47</v>
      </c>
      <c r="D135" s="61" t="s">
        <v>74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25</v>
      </c>
      <c r="B136" s="61" t="s">
        <v>46</v>
      </c>
      <c r="C136" s="61" t="s">
        <v>47</v>
      </c>
      <c r="D136" s="61" t="s">
        <v>74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26</v>
      </c>
      <c r="B137" s="61" t="s">
        <v>46</v>
      </c>
      <c r="C137" s="61" t="s">
        <v>47</v>
      </c>
      <c r="D137" s="61" t="s">
        <v>74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29</v>
      </c>
      <c r="B138" s="61" t="s">
        <v>46</v>
      </c>
      <c r="C138" s="61" t="s">
        <v>47</v>
      </c>
      <c r="D138" s="61" t="s">
        <v>74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30</v>
      </c>
      <c r="B139" s="61" t="s">
        <v>46</v>
      </c>
      <c r="C139" s="61" t="s">
        <v>47</v>
      </c>
      <c r="D139" s="61" t="s">
        <v>74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31</v>
      </c>
      <c r="B140" s="61" t="s">
        <v>46</v>
      </c>
      <c r="C140" s="61" t="s">
        <v>47</v>
      </c>
      <c r="D140" s="61" t="s">
        <v>74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32</v>
      </c>
      <c r="B141" s="61" t="s">
        <v>46</v>
      </c>
      <c r="C141" s="61" t="s">
        <v>47</v>
      </c>
      <c r="D141" s="61" t="s">
        <v>74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33</v>
      </c>
      <c r="B142" s="61" t="s">
        <v>46</v>
      </c>
      <c r="C142" s="61" t="s">
        <v>47</v>
      </c>
      <c r="D142" s="61" t="s">
        <v>74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34</v>
      </c>
      <c r="B143" s="61" t="s">
        <v>46</v>
      </c>
      <c r="C143" s="61" t="s">
        <v>47</v>
      </c>
      <c r="D143" s="61" t="s">
        <v>74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36</v>
      </c>
      <c r="B144" s="61" t="s">
        <v>46</v>
      </c>
      <c r="C144" s="61" t="s">
        <v>47</v>
      </c>
      <c r="D144" s="61" t="s">
        <v>74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21</v>
      </c>
      <c r="B145" s="61" t="s">
        <v>46</v>
      </c>
      <c r="C145" s="61" t="s">
        <v>47</v>
      </c>
      <c r="D145" s="61" t="s">
        <v>75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22</v>
      </c>
      <c r="B146" s="61" t="s">
        <v>46</v>
      </c>
      <c r="C146" s="61" t="s">
        <v>47</v>
      </c>
      <c r="D146" s="61" t="s">
        <v>75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23</v>
      </c>
      <c r="B147" s="61" t="s">
        <v>46</v>
      </c>
      <c r="C147" s="61" t="s">
        <v>47</v>
      </c>
      <c r="D147" s="61" t="s">
        <v>75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24</v>
      </c>
      <c r="B148" s="61" t="s">
        <v>46</v>
      </c>
      <c r="C148" s="61" t="s">
        <v>47</v>
      </c>
      <c r="D148" s="61" t="s">
        <v>75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25</v>
      </c>
      <c r="B149" s="61" t="s">
        <v>46</v>
      </c>
      <c r="C149" s="61" t="s">
        <v>47</v>
      </c>
      <c r="D149" s="61" t="s">
        <v>75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26</v>
      </c>
      <c r="B150" s="61" t="s">
        <v>46</v>
      </c>
      <c r="C150" s="61" t="s">
        <v>47</v>
      </c>
      <c r="D150" s="61" t="s">
        <v>75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29</v>
      </c>
      <c r="B151" s="61" t="s">
        <v>46</v>
      </c>
      <c r="C151" s="61" t="s">
        <v>47</v>
      </c>
      <c r="D151" s="61" t="s">
        <v>75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30</v>
      </c>
      <c r="B152" s="61" t="s">
        <v>46</v>
      </c>
      <c r="C152" s="61" t="s">
        <v>47</v>
      </c>
      <c r="D152" s="61" t="s">
        <v>75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31</v>
      </c>
      <c r="B153" s="61" t="s">
        <v>46</v>
      </c>
      <c r="C153" s="61" t="s">
        <v>47</v>
      </c>
      <c r="D153" s="61" t="s">
        <v>75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32</v>
      </c>
      <c r="B154" s="61" t="s">
        <v>46</v>
      </c>
      <c r="C154" s="61" t="s">
        <v>47</v>
      </c>
      <c r="D154" s="61" t="s">
        <v>75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33</v>
      </c>
      <c r="B155" s="61" t="s">
        <v>46</v>
      </c>
      <c r="C155" s="61" t="s">
        <v>47</v>
      </c>
      <c r="D155" s="61" t="s">
        <v>75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34</v>
      </c>
      <c r="B156" s="61" t="s">
        <v>46</v>
      </c>
      <c r="C156" s="61" t="s">
        <v>47</v>
      </c>
      <c r="D156" s="61" t="s">
        <v>75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36</v>
      </c>
      <c r="B157" s="61" t="s">
        <v>46</v>
      </c>
      <c r="C157" s="61" t="s">
        <v>47</v>
      </c>
      <c r="D157" s="61" t="s">
        <v>75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21</v>
      </c>
      <c r="B158" s="80" t="s">
        <v>54</v>
      </c>
      <c r="C158" s="80" t="s">
        <v>55</v>
      </c>
      <c r="D158" s="80" t="s">
        <v>64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22</v>
      </c>
      <c r="B159" s="80" t="s">
        <v>54</v>
      </c>
      <c r="C159" s="80" t="s">
        <v>55</v>
      </c>
      <c r="D159" s="80" t="s">
        <v>64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23</v>
      </c>
      <c r="B160" s="80" t="s">
        <v>54</v>
      </c>
      <c r="C160" s="80" t="s">
        <v>55</v>
      </c>
      <c r="D160" s="80" t="s">
        <v>64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24</v>
      </c>
      <c r="B161" s="80" t="s">
        <v>54</v>
      </c>
      <c r="C161" s="80" t="s">
        <v>55</v>
      </c>
      <c r="D161" s="80" t="s">
        <v>64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25</v>
      </c>
      <c r="B162" s="80" t="s">
        <v>54</v>
      </c>
      <c r="C162" s="80" t="s">
        <v>55</v>
      </c>
      <c r="D162" s="80" t="s">
        <v>64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26</v>
      </c>
      <c r="B163" s="80" t="s">
        <v>54</v>
      </c>
      <c r="C163" s="80" t="s">
        <v>55</v>
      </c>
      <c r="D163" s="80" t="s">
        <v>64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29</v>
      </c>
      <c r="B164" s="80" t="s">
        <v>54</v>
      </c>
      <c r="C164" s="80" t="s">
        <v>55</v>
      </c>
      <c r="D164" s="80" t="s">
        <v>64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30</v>
      </c>
      <c r="B165" s="80" t="s">
        <v>54</v>
      </c>
      <c r="C165" s="80" t="s">
        <v>55</v>
      </c>
      <c r="D165" s="80" t="s">
        <v>64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31</v>
      </c>
      <c r="B166" s="80" t="s">
        <v>54</v>
      </c>
      <c r="C166" s="80" t="s">
        <v>55</v>
      </c>
      <c r="D166" s="80" t="s">
        <v>64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32</v>
      </c>
      <c r="B167" s="80" t="s">
        <v>54</v>
      </c>
      <c r="C167" s="80" t="s">
        <v>55</v>
      </c>
      <c r="D167" s="80" t="s">
        <v>64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33</v>
      </c>
      <c r="B168" s="80" t="s">
        <v>54</v>
      </c>
      <c r="C168" s="80" t="s">
        <v>55</v>
      </c>
      <c r="D168" s="80" t="s">
        <v>64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34</v>
      </c>
      <c r="B169" s="80" t="s">
        <v>54</v>
      </c>
      <c r="C169" s="80" t="s">
        <v>55</v>
      </c>
      <c r="D169" s="80" t="s">
        <v>64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36</v>
      </c>
      <c r="B170" s="80" t="s">
        <v>54</v>
      </c>
      <c r="C170" s="80" t="s">
        <v>55</v>
      </c>
      <c r="D170" s="80" t="s">
        <v>64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21</v>
      </c>
      <c r="B171" s="80" t="s">
        <v>54</v>
      </c>
      <c r="C171" s="80" t="s">
        <v>55</v>
      </c>
      <c r="D171" s="80" t="s">
        <v>65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22</v>
      </c>
      <c r="B172" s="80" t="s">
        <v>54</v>
      </c>
      <c r="C172" s="80" t="s">
        <v>55</v>
      </c>
      <c r="D172" s="80" t="s">
        <v>65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23</v>
      </c>
      <c r="B173" s="80" t="s">
        <v>54</v>
      </c>
      <c r="C173" s="80" t="s">
        <v>55</v>
      </c>
      <c r="D173" s="80" t="s">
        <v>65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24</v>
      </c>
      <c r="B174" s="80" t="s">
        <v>54</v>
      </c>
      <c r="C174" s="80" t="s">
        <v>55</v>
      </c>
      <c r="D174" s="80" t="s">
        <v>65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25</v>
      </c>
      <c r="B175" s="80" t="s">
        <v>54</v>
      </c>
      <c r="C175" s="80" t="s">
        <v>55</v>
      </c>
      <c r="D175" s="80" t="s">
        <v>65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26</v>
      </c>
      <c r="B176" s="80" t="s">
        <v>54</v>
      </c>
      <c r="C176" s="80" t="s">
        <v>55</v>
      </c>
      <c r="D176" s="80" t="s">
        <v>65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29</v>
      </c>
      <c r="B177" s="80" t="s">
        <v>54</v>
      </c>
      <c r="C177" s="80" t="s">
        <v>55</v>
      </c>
      <c r="D177" s="80" t="s">
        <v>65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30</v>
      </c>
      <c r="B178" s="80" t="s">
        <v>54</v>
      </c>
      <c r="C178" s="80" t="s">
        <v>55</v>
      </c>
      <c r="D178" s="80" t="s">
        <v>65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31</v>
      </c>
      <c r="B179" s="80" t="s">
        <v>54</v>
      </c>
      <c r="C179" s="80" t="s">
        <v>55</v>
      </c>
      <c r="D179" s="80" t="s">
        <v>65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32</v>
      </c>
      <c r="B180" s="80" t="s">
        <v>54</v>
      </c>
      <c r="C180" s="80" t="s">
        <v>55</v>
      </c>
      <c r="D180" s="80" t="s">
        <v>65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33</v>
      </c>
      <c r="B181" s="80" t="s">
        <v>54</v>
      </c>
      <c r="C181" s="80" t="s">
        <v>55</v>
      </c>
      <c r="D181" s="80" t="s">
        <v>65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34</v>
      </c>
      <c r="B182" s="80" t="s">
        <v>54</v>
      </c>
      <c r="C182" s="80" t="s">
        <v>55</v>
      </c>
      <c r="D182" s="80" t="s">
        <v>65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36</v>
      </c>
      <c r="B183" s="80" t="s">
        <v>54</v>
      </c>
      <c r="C183" s="80" t="s">
        <v>55</v>
      </c>
      <c r="D183" s="80" t="s">
        <v>65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21</v>
      </c>
      <c r="B184" s="80" t="s">
        <v>54</v>
      </c>
      <c r="C184" s="80" t="s">
        <v>55</v>
      </c>
      <c r="D184" s="80" t="s">
        <v>66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22</v>
      </c>
      <c r="B185" s="80" t="s">
        <v>54</v>
      </c>
      <c r="C185" s="80" t="s">
        <v>55</v>
      </c>
      <c r="D185" s="80" t="s">
        <v>66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23</v>
      </c>
      <c r="B186" s="80" t="s">
        <v>54</v>
      </c>
      <c r="C186" s="80" t="s">
        <v>55</v>
      </c>
      <c r="D186" s="80" t="s">
        <v>66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24</v>
      </c>
      <c r="B187" s="80" t="s">
        <v>54</v>
      </c>
      <c r="C187" s="80" t="s">
        <v>55</v>
      </c>
      <c r="D187" s="80" t="s">
        <v>66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25</v>
      </c>
      <c r="B188" s="80" t="s">
        <v>54</v>
      </c>
      <c r="C188" s="80" t="s">
        <v>55</v>
      </c>
      <c r="D188" s="80" t="s">
        <v>66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26</v>
      </c>
      <c r="B189" s="80" t="s">
        <v>54</v>
      </c>
      <c r="C189" s="80" t="s">
        <v>55</v>
      </c>
      <c r="D189" s="80" t="s">
        <v>66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29</v>
      </c>
      <c r="B190" s="80" t="s">
        <v>54</v>
      </c>
      <c r="C190" s="80" t="s">
        <v>55</v>
      </c>
      <c r="D190" s="80" t="s">
        <v>66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30</v>
      </c>
      <c r="B191" s="80" t="s">
        <v>54</v>
      </c>
      <c r="C191" s="80" t="s">
        <v>55</v>
      </c>
      <c r="D191" s="80" t="s">
        <v>66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31</v>
      </c>
      <c r="B192" s="80" t="s">
        <v>54</v>
      </c>
      <c r="C192" s="80" t="s">
        <v>55</v>
      </c>
      <c r="D192" s="80" t="s">
        <v>66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32</v>
      </c>
      <c r="B193" s="80" t="s">
        <v>54</v>
      </c>
      <c r="C193" s="80" t="s">
        <v>55</v>
      </c>
      <c r="D193" s="80" t="s">
        <v>66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33</v>
      </c>
      <c r="B194" s="80" t="s">
        <v>54</v>
      </c>
      <c r="C194" s="80" t="s">
        <v>55</v>
      </c>
      <c r="D194" s="80" t="s">
        <v>66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34</v>
      </c>
      <c r="B195" s="80" t="s">
        <v>54</v>
      </c>
      <c r="C195" s="80" t="s">
        <v>55</v>
      </c>
      <c r="D195" s="80" t="s">
        <v>66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36</v>
      </c>
      <c r="B196" s="80" t="s">
        <v>54</v>
      </c>
      <c r="C196" s="80" t="s">
        <v>55</v>
      </c>
      <c r="D196" s="80" t="s">
        <v>66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21</v>
      </c>
      <c r="B197" s="80" t="s">
        <v>54</v>
      </c>
      <c r="C197" s="80" t="s">
        <v>55</v>
      </c>
      <c r="D197" s="80" t="s">
        <v>67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22</v>
      </c>
      <c r="B198" s="80" t="s">
        <v>54</v>
      </c>
      <c r="C198" s="80" t="s">
        <v>55</v>
      </c>
      <c r="D198" s="80" t="s">
        <v>67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23</v>
      </c>
      <c r="B199" s="80" t="s">
        <v>54</v>
      </c>
      <c r="C199" s="80" t="s">
        <v>55</v>
      </c>
      <c r="D199" s="80" t="s">
        <v>67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24</v>
      </c>
      <c r="B200" s="80" t="s">
        <v>54</v>
      </c>
      <c r="C200" s="80" t="s">
        <v>55</v>
      </c>
      <c r="D200" s="80" t="s">
        <v>67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25</v>
      </c>
      <c r="B201" s="80" t="s">
        <v>54</v>
      </c>
      <c r="C201" s="80" t="s">
        <v>55</v>
      </c>
      <c r="D201" s="80" t="s">
        <v>67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26</v>
      </c>
      <c r="B202" s="80" t="s">
        <v>54</v>
      </c>
      <c r="C202" s="80" t="s">
        <v>55</v>
      </c>
      <c r="D202" s="80" t="s">
        <v>67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29</v>
      </c>
      <c r="B203" s="80" t="s">
        <v>54</v>
      </c>
      <c r="C203" s="80" t="s">
        <v>55</v>
      </c>
      <c r="D203" s="80" t="s">
        <v>67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30</v>
      </c>
      <c r="B204" s="80" t="s">
        <v>54</v>
      </c>
      <c r="C204" s="80" t="s">
        <v>55</v>
      </c>
      <c r="D204" s="80" t="s">
        <v>67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31</v>
      </c>
      <c r="B205" s="80" t="s">
        <v>54</v>
      </c>
      <c r="C205" s="80" t="s">
        <v>55</v>
      </c>
      <c r="D205" s="80" t="s">
        <v>67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32</v>
      </c>
      <c r="B206" s="80" t="s">
        <v>54</v>
      </c>
      <c r="C206" s="80" t="s">
        <v>55</v>
      </c>
      <c r="D206" s="80" t="s">
        <v>67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33</v>
      </c>
      <c r="B207" s="80" t="s">
        <v>54</v>
      </c>
      <c r="C207" s="80" t="s">
        <v>55</v>
      </c>
      <c r="D207" s="80" t="s">
        <v>67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34</v>
      </c>
      <c r="B208" s="80" t="s">
        <v>54</v>
      </c>
      <c r="C208" s="80" t="s">
        <v>55</v>
      </c>
      <c r="D208" s="80" t="s">
        <v>67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36</v>
      </c>
      <c r="B209" s="80" t="s">
        <v>54</v>
      </c>
      <c r="C209" s="80" t="s">
        <v>55</v>
      </c>
      <c r="D209" s="80" t="s">
        <v>67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21</v>
      </c>
      <c r="B210" s="80" t="s">
        <v>54</v>
      </c>
      <c r="C210" s="80" t="s">
        <v>55</v>
      </c>
      <c r="D210" s="80" t="s">
        <v>68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22</v>
      </c>
      <c r="B211" s="80" t="s">
        <v>54</v>
      </c>
      <c r="C211" s="80" t="s">
        <v>55</v>
      </c>
      <c r="D211" s="80" t="s">
        <v>68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23</v>
      </c>
      <c r="B212" s="80" t="s">
        <v>54</v>
      </c>
      <c r="C212" s="80" t="s">
        <v>55</v>
      </c>
      <c r="D212" s="80" t="s">
        <v>68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24</v>
      </c>
      <c r="B213" s="80" t="s">
        <v>54</v>
      </c>
      <c r="C213" s="80" t="s">
        <v>55</v>
      </c>
      <c r="D213" s="80" t="s">
        <v>68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25</v>
      </c>
      <c r="B214" s="80" t="s">
        <v>54</v>
      </c>
      <c r="C214" s="80" t="s">
        <v>55</v>
      </c>
      <c r="D214" s="80" t="s">
        <v>68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26</v>
      </c>
      <c r="B215" s="80" t="s">
        <v>54</v>
      </c>
      <c r="C215" s="80" t="s">
        <v>55</v>
      </c>
      <c r="D215" s="80" t="s">
        <v>68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29</v>
      </c>
      <c r="B216" s="80" t="s">
        <v>54</v>
      </c>
      <c r="C216" s="80" t="s">
        <v>55</v>
      </c>
      <c r="D216" s="80" t="s">
        <v>68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30</v>
      </c>
      <c r="B217" s="80" t="s">
        <v>54</v>
      </c>
      <c r="C217" s="80" t="s">
        <v>55</v>
      </c>
      <c r="D217" s="80" t="s">
        <v>68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31</v>
      </c>
      <c r="B218" s="80" t="s">
        <v>54</v>
      </c>
      <c r="C218" s="80" t="s">
        <v>55</v>
      </c>
      <c r="D218" s="80" t="s">
        <v>68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32</v>
      </c>
      <c r="B219" s="80" t="s">
        <v>54</v>
      </c>
      <c r="C219" s="80" t="s">
        <v>55</v>
      </c>
      <c r="D219" s="80" t="s">
        <v>68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33</v>
      </c>
      <c r="B220" s="80" t="s">
        <v>54</v>
      </c>
      <c r="C220" s="80" t="s">
        <v>55</v>
      </c>
      <c r="D220" s="80" t="s">
        <v>68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34</v>
      </c>
      <c r="B221" s="80" t="s">
        <v>54</v>
      </c>
      <c r="C221" s="80" t="s">
        <v>55</v>
      </c>
      <c r="D221" s="80" t="s">
        <v>68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36</v>
      </c>
      <c r="B222" s="80" t="s">
        <v>54</v>
      </c>
      <c r="C222" s="80" t="s">
        <v>55</v>
      </c>
      <c r="D222" s="80" t="s">
        <v>68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21</v>
      </c>
      <c r="B223" s="80" t="s">
        <v>54</v>
      </c>
      <c r="C223" s="80" t="s">
        <v>55</v>
      </c>
      <c r="D223" s="80" t="s">
        <v>69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22</v>
      </c>
      <c r="B224" s="80" t="s">
        <v>54</v>
      </c>
      <c r="C224" s="80" t="s">
        <v>55</v>
      </c>
      <c r="D224" s="80" t="s">
        <v>69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23</v>
      </c>
      <c r="B225" s="80" t="s">
        <v>54</v>
      </c>
      <c r="C225" s="80" t="s">
        <v>55</v>
      </c>
      <c r="D225" s="80" t="s">
        <v>69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24</v>
      </c>
      <c r="B226" s="80" t="s">
        <v>54</v>
      </c>
      <c r="C226" s="80" t="s">
        <v>55</v>
      </c>
      <c r="D226" s="80" t="s">
        <v>69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25</v>
      </c>
      <c r="B227" s="80" t="s">
        <v>54</v>
      </c>
      <c r="C227" s="80" t="s">
        <v>55</v>
      </c>
      <c r="D227" s="80" t="s">
        <v>69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26</v>
      </c>
      <c r="B228" s="80" t="s">
        <v>54</v>
      </c>
      <c r="C228" s="80" t="s">
        <v>55</v>
      </c>
      <c r="D228" s="80" t="s">
        <v>69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29</v>
      </c>
      <c r="B229" s="80" t="s">
        <v>54</v>
      </c>
      <c r="C229" s="80" t="s">
        <v>55</v>
      </c>
      <c r="D229" s="80" t="s">
        <v>69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30</v>
      </c>
      <c r="B230" s="80" t="s">
        <v>54</v>
      </c>
      <c r="C230" s="80" t="s">
        <v>55</v>
      </c>
      <c r="D230" s="80" t="s">
        <v>69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31</v>
      </c>
      <c r="B231" s="80" t="s">
        <v>54</v>
      </c>
      <c r="C231" s="80" t="s">
        <v>55</v>
      </c>
      <c r="D231" s="80" t="s">
        <v>69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32</v>
      </c>
      <c r="B232" s="80" t="s">
        <v>54</v>
      </c>
      <c r="C232" s="80" t="s">
        <v>55</v>
      </c>
      <c r="D232" s="80" t="s">
        <v>69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33</v>
      </c>
      <c r="B233" s="80" t="s">
        <v>54</v>
      </c>
      <c r="C233" s="80" t="s">
        <v>55</v>
      </c>
      <c r="D233" s="80" t="s">
        <v>69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34</v>
      </c>
      <c r="B234" s="80" t="s">
        <v>54</v>
      </c>
      <c r="C234" s="80" t="s">
        <v>55</v>
      </c>
      <c r="D234" s="80" t="s">
        <v>69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36</v>
      </c>
      <c r="B235" s="80" t="s">
        <v>54</v>
      </c>
      <c r="C235" s="80" t="s">
        <v>55</v>
      </c>
      <c r="D235" s="80" t="s">
        <v>69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21</v>
      </c>
      <c r="B236" s="80" t="s">
        <v>54</v>
      </c>
      <c r="C236" s="80" t="s">
        <v>55</v>
      </c>
      <c r="D236" s="80" t="s">
        <v>70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22</v>
      </c>
      <c r="B237" s="80" t="s">
        <v>54</v>
      </c>
      <c r="C237" s="80" t="s">
        <v>55</v>
      </c>
      <c r="D237" s="80" t="s">
        <v>70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23</v>
      </c>
      <c r="B238" s="80" t="s">
        <v>54</v>
      </c>
      <c r="C238" s="80" t="s">
        <v>55</v>
      </c>
      <c r="D238" s="80" t="s">
        <v>70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24</v>
      </c>
      <c r="B239" s="80" t="s">
        <v>54</v>
      </c>
      <c r="C239" s="80" t="s">
        <v>55</v>
      </c>
      <c r="D239" s="80" t="s">
        <v>70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25</v>
      </c>
      <c r="B240" s="80" t="s">
        <v>54</v>
      </c>
      <c r="C240" s="80" t="s">
        <v>55</v>
      </c>
      <c r="D240" s="80" t="s">
        <v>70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26</v>
      </c>
      <c r="B241" s="80" t="s">
        <v>54</v>
      </c>
      <c r="C241" s="80" t="s">
        <v>55</v>
      </c>
      <c r="D241" s="80" t="s">
        <v>70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29</v>
      </c>
      <c r="B242" s="80" t="s">
        <v>54</v>
      </c>
      <c r="C242" s="80" t="s">
        <v>55</v>
      </c>
      <c r="D242" s="80" t="s">
        <v>70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30</v>
      </c>
      <c r="B243" s="80" t="s">
        <v>54</v>
      </c>
      <c r="C243" s="80" t="s">
        <v>55</v>
      </c>
      <c r="D243" s="80" t="s">
        <v>70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31</v>
      </c>
      <c r="B244" s="80" t="s">
        <v>54</v>
      </c>
      <c r="C244" s="80" t="s">
        <v>55</v>
      </c>
      <c r="D244" s="80" t="s">
        <v>70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32</v>
      </c>
      <c r="B245" s="80" t="s">
        <v>54</v>
      </c>
      <c r="C245" s="80" t="s">
        <v>55</v>
      </c>
      <c r="D245" s="80" t="s">
        <v>70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33</v>
      </c>
      <c r="B246" s="80" t="s">
        <v>54</v>
      </c>
      <c r="C246" s="80" t="s">
        <v>55</v>
      </c>
      <c r="D246" s="80" t="s">
        <v>70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34</v>
      </c>
      <c r="B247" s="80" t="s">
        <v>54</v>
      </c>
      <c r="C247" s="80" t="s">
        <v>55</v>
      </c>
      <c r="D247" s="80" t="s">
        <v>70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36</v>
      </c>
      <c r="B248" s="80" t="s">
        <v>54</v>
      </c>
      <c r="C248" s="80" t="s">
        <v>55</v>
      </c>
      <c r="D248" s="80" t="s">
        <v>70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21</v>
      </c>
      <c r="B249" s="80" t="s">
        <v>54</v>
      </c>
      <c r="C249" s="80" t="s">
        <v>55</v>
      </c>
      <c r="D249" s="80" t="s">
        <v>71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22</v>
      </c>
      <c r="B250" s="80" t="s">
        <v>54</v>
      </c>
      <c r="C250" s="80" t="s">
        <v>55</v>
      </c>
      <c r="D250" s="80" t="s">
        <v>71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23</v>
      </c>
      <c r="B251" s="80" t="s">
        <v>54</v>
      </c>
      <c r="C251" s="80" t="s">
        <v>55</v>
      </c>
      <c r="D251" s="80" t="s">
        <v>71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24</v>
      </c>
      <c r="B252" s="80" t="s">
        <v>54</v>
      </c>
      <c r="C252" s="80" t="s">
        <v>55</v>
      </c>
      <c r="D252" s="80" t="s">
        <v>71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25</v>
      </c>
      <c r="B253" s="80" t="s">
        <v>54</v>
      </c>
      <c r="C253" s="80" t="s">
        <v>55</v>
      </c>
      <c r="D253" s="80" t="s">
        <v>71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26</v>
      </c>
      <c r="B254" s="80" t="s">
        <v>54</v>
      </c>
      <c r="C254" s="80" t="s">
        <v>55</v>
      </c>
      <c r="D254" s="80" t="s">
        <v>71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29</v>
      </c>
      <c r="B255" s="80" t="s">
        <v>54</v>
      </c>
      <c r="C255" s="80" t="s">
        <v>55</v>
      </c>
      <c r="D255" s="80" t="s">
        <v>71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30</v>
      </c>
      <c r="B256" s="80" t="s">
        <v>54</v>
      </c>
      <c r="C256" s="80" t="s">
        <v>55</v>
      </c>
      <c r="D256" s="80" t="s">
        <v>71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31</v>
      </c>
      <c r="B257" s="80" t="s">
        <v>54</v>
      </c>
      <c r="C257" s="80" t="s">
        <v>55</v>
      </c>
      <c r="D257" s="80" t="s">
        <v>71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32</v>
      </c>
      <c r="B258" s="80" t="s">
        <v>54</v>
      </c>
      <c r="C258" s="80" t="s">
        <v>55</v>
      </c>
      <c r="D258" s="80" t="s">
        <v>71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33</v>
      </c>
      <c r="B259" s="80" t="s">
        <v>54</v>
      </c>
      <c r="C259" s="80" t="s">
        <v>55</v>
      </c>
      <c r="D259" s="80" t="s">
        <v>71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34</v>
      </c>
      <c r="B260" s="80" t="s">
        <v>54</v>
      </c>
      <c r="C260" s="80" t="s">
        <v>55</v>
      </c>
      <c r="D260" s="80" t="s">
        <v>71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36</v>
      </c>
      <c r="B261" s="80" t="s">
        <v>54</v>
      </c>
      <c r="C261" s="80" t="s">
        <v>55</v>
      </c>
      <c r="D261" s="80" t="s">
        <v>71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21</v>
      </c>
      <c r="B262" s="80" t="s">
        <v>54</v>
      </c>
      <c r="C262" s="80" t="s">
        <v>55</v>
      </c>
      <c r="D262" s="80" t="s">
        <v>72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22</v>
      </c>
      <c r="B263" s="80" t="s">
        <v>54</v>
      </c>
      <c r="C263" s="80" t="s">
        <v>55</v>
      </c>
      <c r="D263" s="80" t="s">
        <v>72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23</v>
      </c>
      <c r="B264" s="80" t="s">
        <v>54</v>
      </c>
      <c r="C264" s="80" t="s">
        <v>55</v>
      </c>
      <c r="D264" s="80" t="s">
        <v>72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24</v>
      </c>
      <c r="B265" s="80" t="s">
        <v>54</v>
      </c>
      <c r="C265" s="80" t="s">
        <v>55</v>
      </c>
      <c r="D265" s="80" t="s">
        <v>72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25</v>
      </c>
      <c r="B266" s="80" t="s">
        <v>54</v>
      </c>
      <c r="C266" s="80" t="s">
        <v>55</v>
      </c>
      <c r="D266" s="80" t="s">
        <v>72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26</v>
      </c>
      <c r="B267" s="80" t="s">
        <v>54</v>
      </c>
      <c r="C267" s="80" t="s">
        <v>55</v>
      </c>
      <c r="D267" s="80" t="s">
        <v>72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29</v>
      </c>
      <c r="B268" s="80" t="s">
        <v>54</v>
      </c>
      <c r="C268" s="80" t="s">
        <v>55</v>
      </c>
      <c r="D268" s="80" t="s">
        <v>72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30</v>
      </c>
      <c r="B269" s="80" t="s">
        <v>54</v>
      </c>
      <c r="C269" s="80" t="s">
        <v>55</v>
      </c>
      <c r="D269" s="80" t="s">
        <v>72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31</v>
      </c>
      <c r="B270" s="80" t="s">
        <v>54</v>
      </c>
      <c r="C270" s="80" t="s">
        <v>55</v>
      </c>
      <c r="D270" s="80" t="s">
        <v>72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32</v>
      </c>
      <c r="B271" s="80" t="s">
        <v>54</v>
      </c>
      <c r="C271" s="80" t="s">
        <v>55</v>
      </c>
      <c r="D271" s="80" t="s">
        <v>72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33</v>
      </c>
      <c r="B272" s="80" t="s">
        <v>54</v>
      </c>
      <c r="C272" s="80" t="s">
        <v>55</v>
      </c>
      <c r="D272" s="80" t="s">
        <v>72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34</v>
      </c>
      <c r="B273" s="80" t="s">
        <v>54</v>
      </c>
      <c r="C273" s="80" t="s">
        <v>55</v>
      </c>
      <c r="D273" s="80" t="s">
        <v>72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36</v>
      </c>
      <c r="B274" s="80" t="s">
        <v>54</v>
      </c>
      <c r="C274" s="80" t="s">
        <v>55</v>
      </c>
      <c r="D274" s="80" t="s">
        <v>72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21</v>
      </c>
      <c r="B275" s="80" t="s">
        <v>54</v>
      </c>
      <c r="C275" s="80" t="s">
        <v>55</v>
      </c>
      <c r="D275" s="80" t="s">
        <v>73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22</v>
      </c>
      <c r="B276" s="80" t="s">
        <v>54</v>
      </c>
      <c r="C276" s="80" t="s">
        <v>55</v>
      </c>
      <c r="D276" s="80" t="s">
        <v>73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23</v>
      </c>
      <c r="B277" s="80" t="s">
        <v>54</v>
      </c>
      <c r="C277" s="80" t="s">
        <v>55</v>
      </c>
      <c r="D277" s="80" t="s">
        <v>73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24</v>
      </c>
      <c r="B278" s="80" t="s">
        <v>54</v>
      </c>
      <c r="C278" s="80" t="s">
        <v>55</v>
      </c>
      <c r="D278" s="80" t="s">
        <v>73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25</v>
      </c>
      <c r="B279" s="80" t="s">
        <v>54</v>
      </c>
      <c r="C279" s="80" t="s">
        <v>55</v>
      </c>
      <c r="D279" s="80" t="s">
        <v>73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26</v>
      </c>
      <c r="B280" s="80" t="s">
        <v>54</v>
      </c>
      <c r="C280" s="80" t="s">
        <v>55</v>
      </c>
      <c r="D280" s="80" t="s">
        <v>73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29</v>
      </c>
      <c r="B281" s="80" t="s">
        <v>54</v>
      </c>
      <c r="C281" s="80" t="s">
        <v>55</v>
      </c>
      <c r="D281" s="80" t="s">
        <v>73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30</v>
      </c>
      <c r="B282" s="80" t="s">
        <v>54</v>
      </c>
      <c r="C282" s="80" t="s">
        <v>55</v>
      </c>
      <c r="D282" s="80" t="s">
        <v>73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31</v>
      </c>
      <c r="B283" s="80" t="s">
        <v>54</v>
      </c>
      <c r="C283" s="80" t="s">
        <v>55</v>
      </c>
      <c r="D283" s="80" t="s">
        <v>73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32</v>
      </c>
      <c r="B284" s="80" t="s">
        <v>54</v>
      </c>
      <c r="C284" s="80" t="s">
        <v>55</v>
      </c>
      <c r="D284" s="80" t="s">
        <v>73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33</v>
      </c>
      <c r="B285" s="80" t="s">
        <v>54</v>
      </c>
      <c r="C285" s="80" t="s">
        <v>55</v>
      </c>
      <c r="D285" s="80" t="s">
        <v>73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34</v>
      </c>
      <c r="B286" s="80" t="s">
        <v>54</v>
      </c>
      <c r="C286" s="80" t="s">
        <v>55</v>
      </c>
      <c r="D286" s="80" t="s">
        <v>73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36</v>
      </c>
      <c r="B287" s="80" t="s">
        <v>54</v>
      </c>
      <c r="C287" s="80" t="s">
        <v>55</v>
      </c>
      <c r="D287" s="80" t="s">
        <v>73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21</v>
      </c>
      <c r="B288" s="80" t="s">
        <v>54</v>
      </c>
      <c r="C288" s="80" t="s">
        <v>55</v>
      </c>
      <c r="D288" s="80" t="s">
        <v>74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22</v>
      </c>
      <c r="B289" s="80" t="s">
        <v>54</v>
      </c>
      <c r="C289" s="80" t="s">
        <v>55</v>
      </c>
      <c r="D289" s="80" t="s">
        <v>74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23</v>
      </c>
      <c r="B290" s="80" t="s">
        <v>54</v>
      </c>
      <c r="C290" s="80" t="s">
        <v>55</v>
      </c>
      <c r="D290" s="80" t="s">
        <v>74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24</v>
      </c>
      <c r="B291" s="80" t="s">
        <v>54</v>
      </c>
      <c r="C291" s="80" t="s">
        <v>55</v>
      </c>
      <c r="D291" s="80" t="s">
        <v>74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25</v>
      </c>
      <c r="B292" s="80" t="s">
        <v>54</v>
      </c>
      <c r="C292" s="80" t="s">
        <v>55</v>
      </c>
      <c r="D292" s="80" t="s">
        <v>74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26</v>
      </c>
      <c r="B293" s="80" t="s">
        <v>54</v>
      </c>
      <c r="C293" s="80" t="s">
        <v>55</v>
      </c>
      <c r="D293" s="80" t="s">
        <v>74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29</v>
      </c>
      <c r="B294" s="80" t="s">
        <v>54</v>
      </c>
      <c r="C294" s="80" t="s">
        <v>55</v>
      </c>
      <c r="D294" s="80" t="s">
        <v>74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30</v>
      </c>
      <c r="B295" s="80" t="s">
        <v>54</v>
      </c>
      <c r="C295" s="80" t="s">
        <v>55</v>
      </c>
      <c r="D295" s="80" t="s">
        <v>74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31</v>
      </c>
      <c r="B296" s="80" t="s">
        <v>54</v>
      </c>
      <c r="C296" s="80" t="s">
        <v>55</v>
      </c>
      <c r="D296" s="80" t="s">
        <v>74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32</v>
      </c>
      <c r="B297" s="80" t="s">
        <v>54</v>
      </c>
      <c r="C297" s="80" t="s">
        <v>55</v>
      </c>
      <c r="D297" s="80" t="s">
        <v>74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33</v>
      </c>
      <c r="B298" s="80" t="s">
        <v>54</v>
      </c>
      <c r="C298" s="80" t="s">
        <v>55</v>
      </c>
      <c r="D298" s="80" t="s">
        <v>74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34</v>
      </c>
      <c r="B299" s="80" t="s">
        <v>54</v>
      </c>
      <c r="C299" s="80" t="s">
        <v>55</v>
      </c>
      <c r="D299" s="80" t="s">
        <v>74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36</v>
      </c>
      <c r="B300" s="80" t="s">
        <v>54</v>
      </c>
      <c r="C300" s="80" t="s">
        <v>55</v>
      </c>
      <c r="D300" s="80" t="s">
        <v>74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21</v>
      </c>
      <c r="B301" s="80" t="s">
        <v>54</v>
      </c>
      <c r="C301" s="80" t="s">
        <v>55</v>
      </c>
      <c r="D301" s="80" t="s">
        <v>75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22</v>
      </c>
      <c r="B302" s="80" t="s">
        <v>54</v>
      </c>
      <c r="C302" s="80" t="s">
        <v>55</v>
      </c>
      <c r="D302" s="80" t="s">
        <v>75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23</v>
      </c>
      <c r="B303" s="80" t="s">
        <v>54</v>
      </c>
      <c r="C303" s="80" t="s">
        <v>55</v>
      </c>
      <c r="D303" s="80" t="s">
        <v>75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24</v>
      </c>
      <c r="B304" s="80" t="s">
        <v>54</v>
      </c>
      <c r="C304" s="80" t="s">
        <v>55</v>
      </c>
      <c r="D304" s="80" t="s">
        <v>75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25</v>
      </c>
      <c r="B305" s="80" t="s">
        <v>54</v>
      </c>
      <c r="C305" s="80" t="s">
        <v>55</v>
      </c>
      <c r="D305" s="80" t="s">
        <v>75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26</v>
      </c>
      <c r="B306" s="80" t="s">
        <v>54</v>
      </c>
      <c r="C306" s="80" t="s">
        <v>55</v>
      </c>
      <c r="D306" s="80" t="s">
        <v>75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29</v>
      </c>
      <c r="B307" s="80" t="s">
        <v>54</v>
      </c>
      <c r="C307" s="80" t="s">
        <v>55</v>
      </c>
      <c r="D307" s="80" t="s">
        <v>75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30</v>
      </c>
      <c r="B308" s="80" t="s">
        <v>54</v>
      </c>
      <c r="C308" s="80" t="s">
        <v>55</v>
      </c>
      <c r="D308" s="80" t="s">
        <v>75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31</v>
      </c>
      <c r="B309" s="80" t="s">
        <v>54</v>
      </c>
      <c r="C309" s="80" t="s">
        <v>55</v>
      </c>
      <c r="D309" s="80" t="s">
        <v>75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32</v>
      </c>
      <c r="B310" s="80" t="s">
        <v>54</v>
      </c>
      <c r="C310" s="80" t="s">
        <v>55</v>
      </c>
      <c r="D310" s="80" t="s">
        <v>75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33</v>
      </c>
      <c r="B311" s="80" t="s">
        <v>54</v>
      </c>
      <c r="C311" s="80" t="s">
        <v>55</v>
      </c>
      <c r="D311" s="80" t="s">
        <v>75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34</v>
      </c>
      <c r="B312" s="80" t="s">
        <v>54</v>
      </c>
      <c r="C312" s="80" t="s">
        <v>55</v>
      </c>
      <c r="D312" s="80" t="s">
        <v>75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36</v>
      </c>
      <c r="B313" s="80" t="s">
        <v>54</v>
      </c>
      <c r="C313" s="80" t="s">
        <v>55</v>
      </c>
      <c r="D313" s="80" t="s">
        <v>75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28</v>
      </c>
      <c r="B314" s="86" t="s">
        <v>61</v>
      </c>
      <c r="C314" s="86" t="s">
        <v>47</v>
      </c>
      <c r="D314" s="86" t="s">
        <v>64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28</v>
      </c>
      <c r="B315" s="86" t="s">
        <v>61</v>
      </c>
      <c r="C315" s="86" t="s">
        <v>55</v>
      </c>
      <c r="D315" s="86" t="s">
        <v>64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31</v>
      </c>
      <c r="B316" s="86" t="s">
        <v>61</v>
      </c>
      <c r="C316" s="86" t="s">
        <v>47</v>
      </c>
      <c r="D316" s="86" t="s">
        <v>64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31</v>
      </c>
      <c r="B317" s="86" t="s">
        <v>61</v>
      </c>
      <c r="C317" s="86" t="s">
        <v>55</v>
      </c>
      <c r="D317" s="86" t="s">
        <v>64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33</v>
      </c>
      <c r="B318" s="86" t="s">
        <v>61</v>
      </c>
      <c r="C318" s="86" t="s">
        <v>47</v>
      </c>
      <c r="D318" s="86" t="s">
        <v>64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33</v>
      </c>
      <c r="B319" s="86" t="s">
        <v>61</v>
      </c>
      <c r="C319" s="86" t="s">
        <v>55</v>
      </c>
      <c r="D319" s="86" t="s">
        <v>64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35</v>
      </c>
      <c r="B320" s="86" t="s">
        <v>61</v>
      </c>
      <c r="C320" s="86" t="s">
        <v>47</v>
      </c>
      <c r="D320" s="86" t="s">
        <v>64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35</v>
      </c>
      <c r="B321" s="86" t="s">
        <v>61</v>
      </c>
      <c r="C321" s="86" t="s">
        <v>55</v>
      </c>
      <c r="D321" s="86" t="s">
        <v>64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23</v>
      </c>
      <c r="B322" s="86" t="s">
        <v>61</v>
      </c>
      <c r="C322" s="86" t="s">
        <v>47</v>
      </c>
      <c r="D322" s="86" t="s">
        <v>65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24</v>
      </c>
      <c r="B323" s="86" t="s">
        <v>61</v>
      </c>
      <c r="C323" s="86" t="s">
        <v>47</v>
      </c>
      <c r="D323" s="86" t="s">
        <v>65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25</v>
      </c>
      <c r="B324" s="86" t="s">
        <v>61</v>
      </c>
      <c r="C324" s="86" t="s">
        <v>47</v>
      </c>
      <c r="D324" s="86" t="s">
        <v>65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27</v>
      </c>
      <c r="B325" s="86" t="s">
        <v>61</v>
      </c>
      <c r="C325" s="86" t="s">
        <v>47</v>
      </c>
      <c r="D325" s="86" t="s">
        <v>65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27</v>
      </c>
      <c r="B326" s="86" t="s">
        <v>61</v>
      </c>
      <c r="C326" s="86" t="s">
        <v>55</v>
      </c>
      <c r="D326" s="86" t="s">
        <v>65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28</v>
      </c>
      <c r="B327" s="86" t="s">
        <v>61</v>
      </c>
      <c r="C327" s="86" t="s">
        <v>47</v>
      </c>
      <c r="D327" s="86" t="s">
        <v>65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28</v>
      </c>
      <c r="B328" s="86" t="s">
        <v>61</v>
      </c>
      <c r="C328" s="86" t="s">
        <v>55</v>
      </c>
      <c r="D328" s="86" t="s">
        <v>65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31</v>
      </c>
      <c r="B329" s="86" t="s">
        <v>61</v>
      </c>
      <c r="C329" s="86" t="s">
        <v>47</v>
      </c>
      <c r="D329" s="86" t="s">
        <v>65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31</v>
      </c>
      <c r="B330" s="86" t="s">
        <v>61</v>
      </c>
      <c r="C330" s="86" t="s">
        <v>55</v>
      </c>
      <c r="D330" s="86" t="s">
        <v>65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33</v>
      </c>
      <c r="B331" s="86" t="s">
        <v>61</v>
      </c>
      <c r="C331" s="86" t="s">
        <v>47</v>
      </c>
      <c r="D331" s="86" t="s">
        <v>65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33</v>
      </c>
      <c r="B332" s="86" t="s">
        <v>61</v>
      </c>
      <c r="C332" s="86" t="s">
        <v>55</v>
      </c>
      <c r="D332" s="86" t="s">
        <v>65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35</v>
      </c>
      <c r="B333" s="86" t="s">
        <v>61</v>
      </c>
      <c r="C333" s="86" t="s">
        <v>47</v>
      </c>
      <c r="D333" s="86" t="s">
        <v>65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35</v>
      </c>
      <c r="B334" s="86" t="s">
        <v>61</v>
      </c>
      <c r="C334" s="86" t="s">
        <v>55</v>
      </c>
      <c r="D334" s="86" t="s">
        <v>65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23</v>
      </c>
      <c r="B335" s="86" t="s">
        <v>61</v>
      </c>
      <c r="C335" s="86" t="s">
        <v>47</v>
      </c>
      <c r="D335" s="86" t="s">
        <v>66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24</v>
      </c>
      <c r="B336" s="86" t="s">
        <v>61</v>
      </c>
      <c r="C336" s="86" t="s">
        <v>47</v>
      </c>
      <c r="D336" s="86" t="s">
        <v>66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25</v>
      </c>
      <c r="B337" s="86" t="s">
        <v>61</v>
      </c>
      <c r="C337" s="86" t="s">
        <v>47</v>
      </c>
      <c r="D337" s="86" t="s">
        <v>66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27</v>
      </c>
      <c r="B338" s="86" t="s">
        <v>61</v>
      </c>
      <c r="C338" s="86" t="s">
        <v>47</v>
      </c>
      <c r="D338" s="86" t="s">
        <v>66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27</v>
      </c>
      <c r="B339" s="86" t="s">
        <v>61</v>
      </c>
      <c r="C339" s="86" t="s">
        <v>55</v>
      </c>
      <c r="D339" s="86" t="s">
        <v>66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28</v>
      </c>
      <c r="B340" s="86" t="s">
        <v>61</v>
      </c>
      <c r="C340" s="86" t="s">
        <v>47</v>
      </c>
      <c r="D340" s="86" t="s">
        <v>66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28</v>
      </c>
      <c r="B341" s="86" t="s">
        <v>61</v>
      </c>
      <c r="C341" s="86" t="s">
        <v>55</v>
      </c>
      <c r="D341" s="86" t="s">
        <v>66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31</v>
      </c>
      <c r="B342" s="86" t="s">
        <v>61</v>
      </c>
      <c r="C342" s="86" t="s">
        <v>47</v>
      </c>
      <c r="D342" s="86" t="s">
        <v>66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31</v>
      </c>
      <c r="B343" s="86" t="s">
        <v>61</v>
      </c>
      <c r="C343" s="86" t="s">
        <v>55</v>
      </c>
      <c r="D343" s="86" t="s">
        <v>66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33</v>
      </c>
      <c r="B344" s="86" t="s">
        <v>61</v>
      </c>
      <c r="C344" s="86" t="s">
        <v>47</v>
      </c>
      <c r="D344" s="86" t="s">
        <v>66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33</v>
      </c>
      <c r="B345" s="86" t="s">
        <v>61</v>
      </c>
      <c r="C345" s="86" t="s">
        <v>55</v>
      </c>
      <c r="D345" s="86" t="s">
        <v>66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35</v>
      </c>
      <c r="B346" s="86" t="s">
        <v>61</v>
      </c>
      <c r="C346" s="86" t="s">
        <v>47</v>
      </c>
      <c r="D346" s="86" t="s">
        <v>66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35</v>
      </c>
      <c r="B347" s="86" t="s">
        <v>61</v>
      </c>
      <c r="C347" s="86" t="s">
        <v>55</v>
      </c>
      <c r="D347" s="86" t="s">
        <v>66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23</v>
      </c>
      <c r="B348" s="86" t="s">
        <v>61</v>
      </c>
      <c r="C348" s="86" t="s">
        <v>47</v>
      </c>
      <c r="D348" s="86" t="s">
        <v>67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24</v>
      </c>
      <c r="B349" s="86" t="s">
        <v>61</v>
      </c>
      <c r="C349" s="86" t="s">
        <v>47</v>
      </c>
      <c r="D349" s="86" t="s">
        <v>67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25</v>
      </c>
      <c r="B350" s="86" t="s">
        <v>61</v>
      </c>
      <c r="C350" s="86" t="s">
        <v>47</v>
      </c>
      <c r="D350" s="86" t="s">
        <v>67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27</v>
      </c>
      <c r="B351" s="86" t="s">
        <v>61</v>
      </c>
      <c r="C351" s="86" t="s">
        <v>47</v>
      </c>
      <c r="D351" s="86" t="s">
        <v>67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27</v>
      </c>
      <c r="B352" s="86" t="s">
        <v>61</v>
      </c>
      <c r="C352" s="86" t="s">
        <v>55</v>
      </c>
      <c r="D352" s="86" t="s">
        <v>67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28</v>
      </c>
      <c r="B353" s="86" t="s">
        <v>61</v>
      </c>
      <c r="C353" s="86" t="s">
        <v>47</v>
      </c>
      <c r="D353" s="86" t="s">
        <v>67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28</v>
      </c>
      <c r="B354" s="86" t="s">
        <v>61</v>
      </c>
      <c r="C354" s="86" t="s">
        <v>55</v>
      </c>
      <c r="D354" s="86" t="s">
        <v>67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31</v>
      </c>
      <c r="B355" s="86" t="s">
        <v>61</v>
      </c>
      <c r="C355" s="86" t="s">
        <v>47</v>
      </c>
      <c r="D355" s="86" t="s">
        <v>67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31</v>
      </c>
      <c r="B356" s="86" t="s">
        <v>61</v>
      </c>
      <c r="C356" s="86" t="s">
        <v>55</v>
      </c>
      <c r="D356" s="86" t="s">
        <v>67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33</v>
      </c>
      <c r="B357" s="86" t="s">
        <v>61</v>
      </c>
      <c r="C357" s="86" t="s">
        <v>47</v>
      </c>
      <c r="D357" s="86" t="s">
        <v>67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33</v>
      </c>
      <c r="B358" s="86" t="s">
        <v>61</v>
      </c>
      <c r="C358" s="86" t="s">
        <v>55</v>
      </c>
      <c r="D358" s="86" t="s">
        <v>67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35</v>
      </c>
      <c r="B359" s="86" t="s">
        <v>61</v>
      </c>
      <c r="C359" s="86" t="s">
        <v>47</v>
      </c>
      <c r="D359" s="86" t="s">
        <v>67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35</v>
      </c>
      <c r="B360" s="86" t="s">
        <v>61</v>
      </c>
      <c r="C360" s="86" t="s">
        <v>55</v>
      </c>
      <c r="D360" s="86" t="s">
        <v>67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23</v>
      </c>
      <c r="B361" s="86" t="s">
        <v>61</v>
      </c>
      <c r="C361" s="86" t="s">
        <v>47</v>
      </c>
      <c r="D361" s="86" t="s">
        <v>68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24</v>
      </c>
      <c r="B362" s="86" t="s">
        <v>61</v>
      </c>
      <c r="C362" s="86" t="s">
        <v>47</v>
      </c>
      <c r="D362" s="86" t="s">
        <v>68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25</v>
      </c>
      <c r="B363" s="86" t="s">
        <v>61</v>
      </c>
      <c r="C363" s="86" t="s">
        <v>47</v>
      </c>
      <c r="D363" s="86" t="s">
        <v>68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27</v>
      </c>
      <c r="B364" s="86" t="s">
        <v>61</v>
      </c>
      <c r="C364" s="86" t="s">
        <v>47</v>
      </c>
      <c r="D364" s="86" t="s">
        <v>68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27</v>
      </c>
      <c r="B365" s="86" t="s">
        <v>61</v>
      </c>
      <c r="C365" s="86" t="s">
        <v>55</v>
      </c>
      <c r="D365" s="86" t="s">
        <v>68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28</v>
      </c>
      <c r="B366" s="86" t="s">
        <v>61</v>
      </c>
      <c r="C366" s="86" t="s">
        <v>47</v>
      </c>
      <c r="D366" s="86" t="s">
        <v>68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28</v>
      </c>
      <c r="B367" s="86" t="s">
        <v>61</v>
      </c>
      <c r="C367" s="86" t="s">
        <v>55</v>
      </c>
      <c r="D367" s="86" t="s">
        <v>68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31</v>
      </c>
      <c r="B368" s="86" t="s">
        <v>61</v>
      </c>
      <c r="C368" s="86" t="s">
        <v>47</v>
      </c>
      <c r="D368" s="86" t="s">
        <v>68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31</v>
      </c>
      <c r="B369" s="86" t="s">
        <v>61</v>
      </c>
      <c r="C369" s="86" t="s">
        <v>55</v>
      </c>
      <c r="D369" s="86" t="s">
        <v>68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33</v>
      </c>
      <c r="B370" s="86" t="s">
        <v>61</v>
      </c>
      <c r="C370" s="86" t="s">
        <v>47</v>
      </c>
      <c r="D370" s="86" t="s">
        <v>68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33</v>
      </c>
      <c r="B371" s="86" t="s">
        <v>61</v>
      </c>
      <c r="C371" s="86" t="s">
        <v>55</v>
      </c>
      <c r="D371" s="86" t="s">
        <v>68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35</v>
      </c>
      <c r="B372" s="86" t="s">
        <v>61</v>
      </c>
      <c r="C372" s="86" t="s">
        <v>47</v>
      </c>
      <c r="D372" s="86" t="s">
        <v>68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35</v>
      </c>
      <c r="B373" s="86" t="s">
        <v>61</v>
      </c>
      <c r="C373" s="86" t="s">
        <v>55</v>
      </c>
      <c r="D373" s="86" t="s">
        <v>68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23</v>
      </c>
      <c r="B374" s="86" t="s">
        <v>61</v>
      </c>
      <c r="C374" s="86" t="s">
        <v>47</v>
      </c>
      <c r="D374" s="86" t="s">
        <v>69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24</v>
      </c>
      <c r="B375" s="86" t="s">
        <v>61</v>
      </c>
      <c r="C375" s="86" t="s">
        <v>47</v>
      </c>
      <c r="D375" s="86" t="s">
        <v>69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25</v>
      </c>
      <c r="B376" s="86" t="s">
        <v>61</v>
      </c>
      <c r="C376" s="86" t="s">
        <v>47</v>
      </c>
      <c r="D376" s="86" t="s">
        <v>69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27</v>
      </c>
      <c r="B377" s="86" t="s">
        <v>61</v>
      </c>
      <c r="C377" s="86" t="s">
        <v>47</v>
      </c>
      <c r="D377" s="86" t="s">
        <v>69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27</v>
      </c>
      <c r="B378" s="86" t="s">
        <v>61</v>
      </c>
      <c r="C378" s="86" t="s">
        <v>55</v>
      </c>
      <c r="D378" s="86" t="s">
        <v>69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28</v>
      </c>
      <c r="B379" s="86" t="s">
        <v>61</v>
      </c>
      <c r="C379" s="86" t="s">
        <v>47</v>
      </c>
      <c r="D379" s="86" t="s">
        <v>69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28</v>
      </c>
      <c r="B380" s="86" t="s">
        <v>61</v>
      </c>
      <c r="C380" s="86" t="s">
        <v>55</v>
      </c>
      <c r="D380" s="86" t="s">
        <v>69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35</v>
      </c>
      <c r="B381" s="86" t="s">
        <v>61</v>
      </c>
      <c r="C381" s="86" t="s">
        <v>47</v>
      </c>
      <c r="D381" s="86" t="s">
        <v>69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35</v>
      </c>
      <c r="B382" s="86" t="s">
        <v>61</v>
      </c>
      <c r="C382" s="86" t="s">
        <v>55</v>
      </c>
      <c r="D382" s="86" t="s">
        <v>69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33</v>
      </c>
      <c r="B383" s="86" t="s">
        <v>61</v>
      </c>
      <c r="C383" s="86" t="s">
        <v>47</v>
      </c>
      <c r="D383" s="86" t="s">
        <v>69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33</v>
      </c>
      <c r="B384" s="86" t="s">
        <v>61</v>
      </c>
      <c r="C384" s="86" t="s">
        <v>55</v>
      </c>
      <c r="D384" s="86" t="s">
        <v>69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31</v>
      </c>
      <c r="B385" s="86" t="s">
        <v>61</v>
      </c>
      <c r="C385" s="86" t="s">
        <v>47</v>
      </c>
      <c r="D385" s="86" t="s">
        <v>69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31</v>
      </c>
      <c r="B386" s="86" t="s">
        <v>61</v>
      </c>
      <c r="C386" s="86" t="s">
        <v>55</v>
      </c>
      <c r="D386" s="86" t="s">
        <v>69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23</v>
      </c>
      <c r="B387" s="86" t="s">
        <v>61</v>
      </c>
      <c r="C387" s="86" t="s">
        <v>47</v>
      </c>
      <c r="D387" s="86" t="s">
        <v>70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24</v>
      </c>
      <c r="B388" s="86" t="s">
        <v>61</v>
      </c>
      <c r="C388" s="86" t="s">
        <v>47</v>
      </c>
      <c r="D388" s="86" t="s">
        <v>70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25</v>
      </c>
      <c r="B389" s="86" t="s">
        <v>61</v>
      </c>
      <c r="C389" s="86" t="s">
        <v>47</v>
      </c>
      <c r="D389" s="86" t="s">
        <v>70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27</v>
      </c>
      <c r="B390" s="86" t="s">
        <v>61</v>
      </c>
      <c r="C390" s="86" t="s">
        <v>47</v>
      </c>
      <c r="D390" s="86" t="s">
        <v>70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27</v>
      </c>
      <c r="B391" s="86" t="s">
        <v>61</v>
      </c>
      <c r="C391" s="86" t="s">
        <v>55</v>
      </c>
      <c r="D391" s="86" t="s">
        <v>70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28</v>
      </c>
      <c r="B392" s="86" t="s">
        <v>61</v>
      </c>
      <c r="C392" s="86" t="s">
        <v>47</v>
      </c>
      <c r="D392" s="86" t="s">
        <v>70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28</v>
      </c>
      <c r="B393" s="86" t="s">
        <v>61</v>
      </c>
      <c r="C393" s="86" t="s">
        <v>55</v>
      </c>
      <c r="D393" s="86" t="s">
        <v>70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35</v>
      </c>
      <c r="B394" s="86" t="s">
        <v>61</v>
      </c>
      <c r="C394" s="86" t="s">
        <v>47</v>
      </c>
      <c r="D394" s="86" t="s">
        <v>70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35</v>
      </c>
      <c r="B395" s="86" t="s">
        <v>61</v>
      </c>
      <c r="C395" s="86" t="s">
        <v>55</v>
      </c>
      <c r="D395" s="86" t="s">
        <v>70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33</v>
      </c>
      <c r="B396" s="86" t="s">
        <v>61</v>
      </c>
      <c r="C396" s="86" t="s">
        <v>47</v>
      </c>
      <c r="D396" s="86" t="s">
        <v>70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33</v>
      </c>
      <c r="B397" s="86" t="s">
        <v>61</v>
      </c>
      <c r="C397" s="86" t="s">
        <v>55</v>
      </c>
      <c r="D397" s="86" t="s">
        <v>70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31</v>
      </c>
      <c r="B398" s="86" t="s">
        <v>61</v>
      </c>
      <c r="C398" s="86" t="s">
        <v>47</v>
      </c>
      <c r="D398" s="86" t="s">
        <v>70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31</v>
      </c>
      <c r="B399" s="86" t="s">
        <v>61</v>
      </c>
      <c r="C399" s="86" t="s">
        <v>55</v>
      </c>
      <c r="D399" s="86" t="s">
        <v>70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23</v>
      </c>
      <c r="B400" s="86" t="s">
        <v>61</v>
      </c>
      <c r="C400" s="86" t="s">
        <v>47</v>
      </c>
      <c r="D400" s="86" t="s">
        <v>71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24</v>
      </c>
      <c r="B401" s="86" t="s">
        <v>61</v>
      </c>
      <c r="C401" s="86" t="s">
        <v>47</v>
      </c>
      <c r="D401" s="86" t="s">
        <v>71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25</v>
      </c>
      <c r="B402" s="86" t="s">
        <v>61</v>
      </c>
      <c r="C402" s="86" t="s">
        <v>47</v>
      </c>
      <c r="D402" s="86" t="s">
        <v>71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27</v>
      </c>
      <c r="B403" s="86" t="s">
        <v>61</v>
      </c>
      <c r="C403" s="86" t="s">
        <v>47</v>
      </c>
      <c r="D403" s="86" t="s">
        <v>71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27</v>
      </c>
      <c r="B404" s="86" t="s">
        <v>61</v>
      </c>
      <c r="C404" s="86" t="s">
        <v>55</v>
      </c>
      <c r="D404" s="86" t="s">
        <v>71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28</v>
      </c>
      <c r="B405" s="86" t="s">
        <v>61</v>
      </c>
      <c r="C405" s="86" t="s">
        <v>47</v>
      </c>
      <c r="D405" s="86" t="s">
        <v>71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28</v>
      </c>
      <c r="B406" s="86" t="s">
        <v>61</v>
      </c>
      <c r="C406" s="86" t="s">
        <v>55</v>
      </c>
      <c r="D406" s="86" t="s">
        <v>71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35</v>
      </c>
      <c r="B407" s="86" t="s">
        <v>61</v>
      </c>
      <c r="C407" s="86" t="s">
        <v>47</v>
      </c>
      <c r="D407" s="86" t="s">
        <v>71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35</v>
      </c>
      <c r="B408" s="86" t="s">
        <v>61</v>
      </c>
      <c r="C408" s="86" t="s">
        <v>55</v>
      </c>
      <c r="D408" s="86" t="s">
        <v>71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33</v>
      </c>
      <c r="B409" s="86" t="s">
        <v>61</v>
      </c>
      <c r="C409" s="86" t="s">
        <v>47</v>
      </c>
      <c r="D409" s="86" t="s">
        <v>71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33</v>
      </c>
      <c r="B410" s="86" t="s">
        <v>61</v>
      </c>
      <c r="C410" s="86" t="s">
        <v>55</v>
      </c>
      <c r="D410" s="86" t="s">
        <v>71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31</v>
      </c>
      <c r="B411" s="86" t="s">
        <v>61</v>
      </c>
      <c r="C411" s="86" t="s">
        <v>47</v>
      </c>
      <c r="D411" s="86" t="s">
        <v>71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31</v>
      </c>
      <c r="B412" s="86" t="s">
        <v>61</v>
      </c>
      <c r="C412" s="86" t="s">
        <v>55</v>
      </c>
      <c r="D412" s="86" t="s">
        <v>71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23</v>
      </c>
      <c r="B413" s="86" t="s">
        <v>61</v>
      </c>
      <c r="C413" s="86" t="s">
        <v>47</v>
      </c>
      <c r="D413" s="86" t="s">
        <v>72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24</v>
      </c>
      <c r="B414" s="86" t="s">
        <v>61</v>
      </c>
      <c r="C414" s="86" t="s">
        <v>47</v>
      </c>
      <c r="D414" s="86" t="s">
        <v>72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25</v>
      </c>
      <c r="B415" s="86" t="s">
        <v>61</v>
      </c>
      <c r="C415" s="86" t="s">
        <v>47</v>
      </c>
      <c r="D415" s="86" t="s">
        <v>72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27</v>
      </c>
      <c r="B416" s="86" t="s">
        <v>61</v>
      </c>
      <c r="C416" s="86" t="s">
        <v>47</v>
      </c>
      <c r="D416" s="86" t="s">
        <v>72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27</v>
      </c>
      <c r="B417" s="86" t="s">
        <v>61</v>
      </c>
      <c r="C417" s="86" t="s">
        <v>55</v>
      </c>
      <c r="D417" s="86" t="s">
        <v>72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28</v>
      </c>
      <c r="B418" s="86" t="s">
        <v>61</v>
      </c>
      <c r="C418" s="86" t="s">
        <v>47</v>
      </c>
      <c r="D418" s="86" t="s">
        <v>72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28</v>
      </c>
      <c r="B419" s="86" t="s">
        <v>61</v>
      </c>
      <c r="C419" s="86" t="s">
        <v>55</v>
      </c>
      <c r="D419" s="86" t="s">
        <v>72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35</v>
      </c>
      <c r="B420" s="86" t="s">
        <v>61</v>
      </c>
      <c r="C420" s="86" t="s">
        <v>47</v>
      </c>
      <c r="D420" s="86" t="s">
        <v>72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35</v>
      </c>
      <c r="B421" s="86" t="s">
        <v>61</v>
      </c>
      <c r="C421" s="86" t="s">
        <v>55</v>
      </c>
      <c r="D421" s="86" t="s">
        <v>72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33</v>
      </c>
      <c r="B422" s="86" t="s">
        <v>61</v>
      </c>
      <c r="C422" s="86" t="s">
        <v>47</v>
      </c>
      <c r="D422" s="86" t="s">
        <v>72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33</v>
      </c>
      <c r="B423" s="86" t="s">
        <v>61</v>
      </c>
      <c r="C423" s="86" t="s">
        <v>55</v>
      </c>
      <c r="D423" s="86" t="s">
        <v>72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31</v>
      </c>
      <c r="B424" s="86" t="s">
        <v>61</v>
      </c>
      <c r="C424" s="86" t="s">
        <v>47</v>
      </c>
      <c r="D424" s="86" t="s">
        <v>72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31</v>
      </c>
      <c r="B425" s="86" t="s">
        <v>61</v>
      </c>
      <c r="C425" s="86" t="s">
        <v>55</v>
      </c>
      <c r="D425" s="86" t="s">
        <v>72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23</v>
      </c>
      <c r="B426" s="86" t="s">
        <v>61</v>
      </c>
      <c r="C426" s="86" t="s">
        <v>47</v>
      </c>
      <c r="D426" s="86" t="s">
        <v>73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24</v>
      </c>
      <c r="B427" s="86" t="s">
        <v>61</v>
      </c>
      <c r="C427" s="86" t="s">
        <v>47</v>
      </c>
      <c r="D427" s="86" t="s">
        <v>73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25</v>
      </c>
      <c r="B428" s="86" t="s">
        <v>61</v>
      </c>
      <c r="C428" s="86" t="s">
        <v>47</v>
      </c>
      <c r="D428" s="86" t="s">
        <v>73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27</v>
      </c>
      <c r="B429" s="86" t="s">
        <v>61</v>
      </c>
      <c r="C429" s="86" t="s">
        <v>47</v>
      </c>
      <c r="D429" s="86" t="s">
        <v>73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27</v>
      </c>
      <c r="B430" s="86" t="s">
        <v>61</v>
      </c>
      <c r="C430" s="86" t="s">
        <v>55</v>
      </c>
      <c r="D430" s="86" t="s">
        <v>73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28</v>
      </c>
      <c r="B431" s="86" t="s">
        <v>61</v>
      </c>
      <c r="C431" s="86" t="s">
        <v>47</v>
      </c>
      <c r="D431" s="86" t="s">
        <v>73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28</v>
      </c>
      <c r="B432" s="86" t="s">
        <v>61</v>
      </c>
      <c r="C432" s="86" t="s">
        <v>55</v>
      </c>
      <c r="D432" s="86" t="s">
        <v>73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35</v>
      </c>
      <c r="B433" s="86" t="s">
        <v>61</v>
      </c>
      <c r="C433" s="86" t="s">
        <v>47</v>
      </c>
      <c r="D433" s="86" t="s">
        <v>73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35</v>
      </c>
      <c r="B434" s="86" t="s">
        <v>61</v>
      </c>
      <c r="C434" s="86" t="s">
        <v>55</v>
      </c>
      <c r="D434" s="86" t="s">
        <v>73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33</v>
      </c>
      <c r="B435" s="86" t="s">
        <v>61</v>
      </c>
      <c r="C435" s="86" t="s">
        <v>47</v>
      </c>
      <c r="D435" s="86" t="s">
        <v>73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33</v>
      </c>
      <c r="B436" s="86" t="s">
        <v>61</v>
      </c>
      <c r="C436" s="86" t="s">
        <v>55</v>
      </c>
      <c r="D436" s="86" t="s">
        <v>73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31</v>
      </c>
      <c r="B437" s="86" t="s">
        <v>61</v>
      </c>
      <c r="C437" s="86" t="s">
        <v>47</v>
      </c>
      <c r="D437" s="86" t="s">
        <v>73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31</v>
      </c>
      <c r="B438" s="86" t="s">
        <v>61</v>
      </c>
      <c r="C438" s="86" t="s">
        <v>55</v>
      </c>
      <c r="D438" s="86" t="s">
        <v>73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23</v>
      </c>
      <c r="B439" s="86" t="s">
        <v>61</v>
      </c>
      <c r="C439" s="86" t="s">
        <v>47</v>
      </c>
      <c r="D439" s="86" t="s">
        <v>74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24</v>
      </c>
      <c r="B440" s="86" t="s">
        <v>61</v>
      </c>
      <c r="C440" s="86" t="s">
        <v>47</v>
      </c>
      <c r="D440" s="86" t="s">
        <v>74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25</v>
      </c>
      <c r="B441" s="86" t="s">
        <v>61</v>
      </c>
      <c r="C441" s="86" t="s">
        <v>47</v>
      </c>
      <c r="D441" s="86" t="s">
        <v>74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27</v>
      </c>
      <c r="B442" s="86" t="s">
        <v>61</v>
      </c>
      <c r="C442" s="86" t="s">
        <v>47</v>
      </c>
      <c r="D442" s="86" t="s">
        <v>74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27</v>
      </c>
      <c r="B443" s="86" t="s">
        <v>61</v>
      </c>
      <c r="C443" s="86" t="s">
        <v>55</v>
      </c>
      <c r="D443" s="86" t="s">
        <v>74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28</v>
      </c>
      <c r="B444" s="86" t="s">
        <v>61</v>
      </c>
      <c r="C444" s="86" t="s">
        <v>47</v>
      </c>
      <c r="D444" s="86" t="s">
        <v>74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28</v>
      </c>
      <c r="B445" s="86" t="s">
        <v>61</v>
      </c>
      <c r="C445" s="86" t="s">
        <v>55</v>
      </c>
      <c r="D445" s="86" t="s">
        <v>74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35</v>
      </c>
      <c r="B446" s="86" t="s">
        <v>61</v>
      </c>
      <c r="C446" s="86" t="s">
        <v>47</v>
      </c>
      <c r="D446" s="86" t="s">
        <v>74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35</v>
      </c>
      <c r="B447" s="86" t="s">
        <v>61</v>
      </c>
      <c r="C447" s="86" t="s">
        <v>55</v>
      </c>
      <c r="D447" s="86" t="s">
        <v>74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33</v>
      </c>
      <c r="B448" s="86" t="s">
        <v>61</v>
      </c>
      <c r="C448" s="86" t="s">
        <v>47</v>
      </c>
      <c r="D448" s="86" t="s">
        <v>74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33</v>
      </c>
      <c r="B449" s="86" t="s">
        <v>61</v>
      </c>
      <c r="C449" s="86" t="s">
        <v>55</v>
      </c>
      <c r="D449" s="86" t="s">
        <v>74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31</v>
      </c>
      <c r="B450" s="86" t="s">
        <v>61</v>
      </c>
      <c r="C450" s="86" t="s">
        <v>47</v>
      </c>
      <c r="D450" s="86" t="s">
        <v>74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31</v>
      </c>
      <c r="B451" s="86" t="s">
        <v>61</v>
      </c>
      <c r="C451" s="86" t="s">
        <v>55</v>
      </c>
      <c r="D451" s="86" t="s">
        <v>74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23</v>
      </c>
      <c r="B452" s="86" t="s">
        <v>61</v>
      </c>
      <c r="C452" s="86" t="s">
        <v>47</v>
      </c>
      <c r="D452" s="86" t="s">
        <v>75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24</v>
      </c>
      <c r="B453" s="86" t="s">
        <v>61</v>
      </c>
      <c r="C453" s="86" t="s">
        <v>47</v>
      </c>
      <c r="D453" s="86" t="s">
        <v>75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25</v>
      </c>
      <c r="B454" s="86" t="s">
        <v>61</v>
      </c>
      <c r="C454" s="86" t="s">
        <v>47</v>
      </c>
      <c r="D454" s="86" t="s">
        <v>75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27</v>
      </c>
      <c r="B455" s="86" t="s">
        <v>61</v>
      </c>
      <c r="C455" s="86" t="s">
        <v>47</v>
      </c>
      <c r="D455" s="86" t="s">
        <v>75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27</v>
      </c>
      <c r="B456" s="86" t="s">
        <v>61</v>
      </c>
      <c r="C456" s="86" t="s">
        <v>55</v>
      </c>
      <c r="D456" s="86" t="s">
        <v>75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28</v>
      </c>
      <c r="B457" s="86" t="s">
        <v>61</v>
      </c>
      <c r="C457" s="86" t="s">
        <v>47</v>
      </c>
      <c r="D457" s="86" t="s">
        <v>75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28</v>
      </c>
      <c r="B458" s="86" t="s">
        <v>61</v>
      </c>
      <c r="C458" s="86" t="s">
        <v>55</v>
      </c>
      <c r="D458" s="86" t="s">
        <v>75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35</v>
      </c>
      <c r="B459" s="86" t="s">
        <v>61</v>
      </c>
      <c r="C459" s="86" t="s">
        <v>47</v>
      </c>
      <c r="D459" s="86" t="s">
        <v>75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35</v>
      </c>
      <c r="B460" s="86" t="s">
        <v>61</v>
      </c>
      <c r="C460" s="86" t="s">
        <v>55</v>
      </c>
      <c r="D460" s="86" t="s">
        <v>75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33</v>
      </c>
      <c r="B461" s="86" t="s">
        <v>61</v>
      </c>
      <c r="C461" s="86" t="s">
        <v>47</v>
      </c>
      <c r="D461" s="86" t="s">
        <v>75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33</v>
      </c>
      <c r="B462" s="86" t="s">
        <v>61</v>
      </c>
      <c r="C462" s="86" t="s">
        <v>55</v>
      </c>
      <c r="D462" s="86" t="s">
        <v>75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31</v>
      </c>
      <c r="B463" s="86" t="s">
        <v>61</v>
      </c>
      <c r="C463" s="86" t="s">
        <v>47</v>
      </c>
      <c r="D463" s="86" t="s">
        <v>75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31</v>
      </c>
      <c r="B464" s="86" t="s">
        <v>61</v>
      </c>
      <c r="C464" s="86" t="s">
        <v>55</v>
      </c>
      <c r="D464" s="86" t="s">
        <v>75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1</v>
      </c>
      <c r="D3" s="2" t="s">
        <v>2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7"/>
      <c r="D5" s="8"/>
      <c r="E5" s="6"/>
      <c r="F5" s="8"/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 t="str">
        <f>IFERROR(PERCENTILE(D5:D39,0.1),"-")</f>
        <v>-</v>
      </c>
      <c r="E40" s="11" t="s">
        <v>6</v>
      </c>
      <c r="F40" s="12" t="str">
        <f>IFERROR(PERCENTILE(F5:F39,0.1),"-")</f>
        <v>-</v>
      </c>
    </row>
    <row r="41" spans="1:6" ht="15" x14ac:dyDescent="0.25">
      <c r="A41" s="9"/>
      <c r="B41" s="13"/>
      <c r="C41" s="14" t="s">
        <v>7</v>
      </c>
      <c r="D41" s="15" t="str">
        <f>IFERROR(QUARTILE(D5:D39, 1),"-")</f>
        <v>-</v>
      </c>
      <c r="E41" s="14" t="s">
        <v>7</v>
      </c>
      <c r="F41" s="15" t="str">
        <f>IFERROR(QUARTILE(F5:F39, 1),"-")</f>
        <v>-</v>
      </c>
    </row>
    <row r="42" spans="1:6" ht="15" x14ac:dyDescent="0.25">
      <c r="A42" s="9"/>
      <c r="B42" s="16"/>
      <c r="C42" s="17" t="s">
        <v>8</v>
      </c>
      <c r="D42" s="18" t="str">
        <f>IFERROR(MEDIAN(D5:D39),"-")</f>
        <v>-</v>
      </c>
      <c r="E42" s="17" t="s">
        <v>8</v>
      </c>
      <c r="F42" s="18" t="str">
        <f>IFERROR(MEDIAN(F5:F39),"-")</f>
        <v>-</v>
      </c>
    </row>
    <row r="43" spans="1:6" ht="15" x14ac:dyDescent="0.25">
      <c r="A43" s="9"/>
      <c r="B43" s="19"/>
      <c r="C43" s="20" t="s">
        <v>9</v>
      </c>
      <c r="D43" s="21" t="str">
        <f>IFERROR(QUARTILE(D5:D39,3), "-")</f>
        <v>-</v>
      </c>
      <c r="E43" s="20" t="s">
        <v>9</v>
      </c>
      <c r="F43" s="21" t="str">
        <f>IFERROR(QUARTILE(F5:F39,3), "-")</f>
        <v>-</v>
      </c>
    </row>
    <row r="44" spans="1:6" ht="15" x14ac:dyDescent="0.25">
      <c r="A44" s="9"/>
      <c r="B44" s="22"/>
      <c r="C44" s="23" t="s">
        <v>10</v>
      </c>
      <c r="D44" s="24" t="str">
        <f>IFERROR(PERCENTILE(D5:D39,0.9),"-")</f>
        <v>-</v>
      </c>
      <c r="E44" s="23" t="s">
        <v>10</v>
      </c>
      <c r="F44" s="24" t="str">
        <f>IFERROR(PERCENTILE(F5:F39,0.9),"-")</f>
        <v>-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 t="str">
        <f>IFERROR(PERCENTILE(D5:F39,0.1),"-")</f>
        <v>-</v>
      </c>
    </row>
    <row r="48" spans="1:6" ht="14.25" x14ac:dyDescent="0.2">
      <c r="C48" s="90" t="s">
        <v>7</v>
      </c>
      <c r="D48" s="91" t="str">
        <f>IFERROR(QUARTILE(D5:F39, 1),"-")</f>
        <v>-</v>
      </c>
    </row>
    <row r="49" spans="3:4" ht="14.25" x14ac:dyDescent="0.2">
      <c r="C49" s="92" t="s">
        <v>8</v>
      </c>
      <c r="D49" s="93" t="str">
        <f>IFERROR(MEDIAN(D5:D39,F5:F39),"-")</f>
        <v>-</v>
      </c>
    </row>
    <row r="50" spans="3:4" ht="14.25" x14ac:dyDescent="0.2">
      <c r="C50" s="94" t="s">
        <v>9</v>
      </c>
      <c r="D50" s="95" t="str">
        <f>IFERROR(QUARTILE(D5:F39,3), "-")</f>
        <v>-</v>
      </c>
    </row>
    <row r="51" spans="3:4" ht="14.25" x14ac:dyDescent="0.2">
      <c r="C51" s="96" t="s">
        <v>10</v>
      </c>
      <c r="D51" s="97" t="str">
        <f>IFERROR(PERCENTILE(D5:F39,0.9),"-")</f>
        <v>-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91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HYPERLINK("https://rabota.by/vacancy/52397794","ООО Джон Дори")</f>
        <v>ООО Джон Дори</v>
      </c>
      <c r="D5" s="8">
        <v>1400</v>
      </c>
      <c r="E5" s="103" t="str">
        <f>HYPERLINK("https://rabota.by/resume/2997c9c20001b89f110013a3fa4d554270794c","Продавец")</f>
        <v>Продавец</v>
      </c>
      <c r="F5" s="8">
        <v>1000</v>
      </c>
    </row>
    <row r="6" spans="1:6" ht="14.25" x14ac:dyDescent="0.2">
      <c r="A6" s="3"/>
      <c r="B6" s="6">
        <v>2</v>
      </c>
      <c r="C6" s="102" t="str">
        <f>HYPERLINK("https://rabota.by/vacancy/51341292","ОДО Тибер")</f>
        <v>ОДО Тибер</v>
      </c>
      <c r="D6" s="8">
        <v>1000</v>
      </c>
      <c r="E6" s="103" t="str">
        <f>HYPERLINK("https://rabota.by/resume/4100218300098af0140013a3fa4971716c6a58","Продавец")</f>
        <v>Продавец</v>
      </c>
      <c r="F6" s="8">
        <v>1000</v>
      </c>
    </row>
    <row r="7" spans="1:6" ht="14.25" x14ac:dyDescent="0.2">
      <c r="A7" s="3"/>
      <c r="B7" s="6">
        <v>3</v>
      </c>
      <c r="C7" s="102" t="str">
        <f>HYPERLINK("https://rabota.by/vacancy/52232018","ОАО Могилевский мясокомбинат")</f>
        <v>ОАО Могилевский мясокомбинат</v>
      </c>
      <c r="D7" s="8">
        <v>700</v>
      </c>
      <c r="E7" s="103" t="str">
        <f>HYPERLINK("https://rabota.by/resume/151003930005bfc5170013a3fa70616b63734c","Продавец")</f>
        <v>Продавец</v>
      </c>
      <c r="F7" s="8">
        <v>900</v>
      </c>
    </row>
    <row r="8" spans="1:6" ht="14.25" x14ac:dyDescent="0.2">
      <c r="A8" s="3"/>
      <c r="B8" s="6">
        <v>4</v>
      </c>
      <c r="C8" s="102" t="str">
        <f>HYPERLINK("https://rabota.by/vacancy/52402729","Торговая сеть «СПОРТМАСТЕР» (Беларусь)")</f>
        <v>Торговая сеть «СПОРТМАСТЕР» (Беларусь)</v>
      </c>
      <c r="D8" s="8">
        <v>820</v>
      </c>
      <c r="E8" s="103" t="str">
        <f>HYPERLINK("https://rabota.by/resume/eb4423690007725d190013a3fa795a754f384f","Продавец")</f>
        <v>Продавец</v>
      </c>
      <c r="F8" s="8">
        <v>900</v>
      </c>
    </row>
    <row r="9" spans="1:6" ht="14.25" x14ac:dyDescent="0.2">
      <c r="A9" s="3"/>
      <c r="B9" s="6">
        <v>5</v>
      </c>
      <c r="C9" s="102" t="str">
        <f>HYPERLINK("https://rabota.by/vacancy/52011999","ООО Калахара")</f>
        <v>ООО Калахара</v>
      </c>
      <c r="D9" s="8">
        <v>900</v>
      </c>
      <c r="E9" s="103" t="str">
        <f>HYPERLINK("https://rabota.by/resume/dc944d510008feacc20013a3fa577a6f35706e","Продавец")</f>
        <v>Продавец</v>
      </c>
      <c r="F9" s="8">
        <v>800</v>
      </c>
    </row>
    <row r="10" spans="1:6" ht="14.25" x14ac:dyDescent="0.2">
      <c r="A10" s="3"/>
      <c r="B10" s="6">
        <v>6</v>
      </c>
      <c r="C10" s="102" t="str">
        <f>HYPERLINK("https://rabota.by/vacancy/52072422","ООО МЕГАХЕНД")</f>
        <v>ООО МЕГАХЕНД</v>
      </c>
      <c r="D10" s="8">
        <v>550</v>
      </c>
      <c r="E10" s="103" t="str">
        <f>HYPERLINK("https://rabota.by/resume/de4489a50008fab0000013a3fa303044507a51","Продавец")</f>
        <v>Продавец</v>
      </c>
      <c r="F10" s="8">
        <v>800</v>
      </c>
    </row>
    <row r="11" spans="1:6" ht="14.25" x14ac:dyDescent="0.2">
      <c r="A11" s="3"/>
      <c r="B11" s="6">
        <v>7</v>
      </c>
      <c r="C11" s="102" t="str">
        <f>HYPERLINK("https://rabota.by/vacancy/51003297","ЗАО Доброном")</f>
        <v>ЗАО Доброном</v>
      </c>
      <c r="D11" s="8">
        <v>800</v>
      </c>
      <c r="E11" s="103" t="str">
        <f>HYPERLINK("https://rabota.by/resume/2b6b93f500076a01850013a3fa53477033664c","Продавец")</f>
        <v>Продавец</v>
      </c>
      <c r="F11" s="8">
        <v>800</v>
      </c>
    </row>
    <row r="12" spans="1:6" ht="14.25" x14ac:dyDescent="0.2">
      <c r="A12" s="3"/>
      <c r="B12" s="6">
        <v>8</v>
      </c>
      <c r="C12" s="102" t="str">
        <f>HYPERLINK("https://rabota.by/vacancy/50913253","БЕЛМАРКЕТ")</f>
        <v>БЕЛМАРКЕТ</v>
      </c>
      <c r="D12" s="8">
        <v>750</v>
      </c>
      <c r="E12" s="103" t="str">
        <f>HYPERLINK("https://rabota.by/resume/78a5313900097a48740013a3fa786739773578","Продавец")</f>
        <v>Продавец</v>
      </c>
      <c r="F12" s="8">
        <v>800</v>
      </c>
    </row>
    <row r="13" spans="1:6" ht="14.25" x14ac:dyDescent="0.2">
      <c r="A13" s="3"/>
      <c r="B13" s="6">
        <v>9</v>
      </c>
      <c r="C13" s="102" t="str">
        <f>HYPERLINK("https://rabota.by/vacancy/51954413","УП Соло-Пинск")</f>
        <v>УП Соло-Пинск</v>
      </c>
      <c r="D13" s="8">
        <v>500</v>
      </c>
      <c r="E13" s="103" t="str">
        <f>HYPERLINK("https://rabota.by/resume/d0ae5127000984d0fa0013a3fa4d3651523072","Продавец")</f>
        <v>Продавец</v>
      </c>
      <c r="F13" s="8">
        <v>800</v>
      </c>
    </row>
    <row r="14" spans="1:6" ht="14.25" x14ac:dyDescent="0.2">
      <c r="A14" s="3"/>
      <c r="B14" s="6">
        <v>10</v>
      </c>
      <c r="C14" s="102" t="str">
        <f>HYPERLINK("https://rabota.by/vacancy/50863914","ЕВРООПТ")</f>
        <v>ЕВРООПТ</v>
      </c>
      <c r="D14" s="8">
        <v>750</v>
      </c>
      <c r="E14" s="103" t="str">
        <f>HYPERLINK("https://rabota.by/resume/aa4ce1df0009a031040013a3fa463165427a76","Продавец")</f>
        <v>Продавец</v>
      </c>
      <c r="F14" s="8">
        <v>800</v>
      </c>
    </row>
    <row r="15" spans="1:6" ht="14.25" x14ac:dyDescent="0.2">
      <c r="A15" s="3"/>
      <c r="B15" s="6">
        <v>11</v>
      </c>
      <c r="C15" s="102" t="str">
        <f>HYPERLINK("https://rabota.by/vacancy/51468507","ЗАО Агрокомбинат Заря")</f>
        <v>ЗАО Агрокомбинат Заря</v>
      </c>
      <c r="D15" s="8">
        <v>650</v>
      </c>
      <c r="E15" s="103" t="str">
        <f>HYPERLINK("https://rabota.by/resume/200bb1f500058ca76e0013a3fa43723671586d","Продавец")</f>
        <v>Продавец</v>
      </c>
      <c r="F15" s="8">
        <v>800</v>
      </c>
    </row>
    <row r="16" spans="1:6" ht="14.25" x14ac:dyDescent="0.2">
      <c r="A16" s="3"/>
      <c r="B16" s="6">
        <v>12</v>
      </c>
      <c r="C16" s="102" t="str">
        <f>HYPERLINK("https://rabota.by/vacancy/40736739","СОСЕДИ, Сеть магазинов")</f>
        <v>СОСЕДИ, Сеть магазинов</v>
      </c>
      <c r="D16" s="8">
        <v>975</v>
      </c>
      <c r="E16" s="103" t="str">
        <f>HYPERLINK("https://rabota.by/resume/1585aa0f0009ae522b0013a3fa694d6a7a7838","Продавец")</f>
        <v>Продавец</v>
      </c>
      <c r="F16" s="8">
        <v>800</v>
      </c>
    </row>
    <row r="17" spans="1:6" ht="14.25" x14ac:dyDescent="0.2">
      <c r="A17" s="3"/>
      <c r="B17" s="6">
        <v>13</v>
      </c>
      <c r="C17" s="102" t="str">
        <f>HYPERLINK("https://rabota.by/vacancy/41998841","ГРИНрозница ГК РАПА")</f>
        <v>ГРИНрозница ГК РАПА</v>
      </c>
      <c r="D17" s="8">
        <v>802</v>
      </c>
      <c r="E17" s="103" t="str">
        <f>HYPERLINK("https://rabota.by/resume/9f40f75900087edb5e0013a3fa566a446f4864","Продавец")</f>
        <v>Продавец</v>
      </c>
      <c r="F17" s="8">
        <v>800</v>
      </c>
    </row>
    <row r="18" spans="1:6" ht="14.25" x14ac:dyDescent="0.2">
      <c r="A18" s="3"/>
      <c r="B18" s="6">
        <v>14</v>
      </c>
      <c r="C18" s="102" t="str">
        <f>HYPERLINK("https://rabota.by/vacancy/51777264","ЕВРООПТ")</f>
        <v>ЕВРООПТ</v>
      </c>
      <c r="D18" s="8">
        <v>700</v>
      </c>
      <c r="E18" s="103" t="str">
        <f>HYPERLINK("https://rabota.by/resume/96ec1da40009a4a59c0013a3fa694a73495377","Продавец")</f>
        <v>Продавец</v>
      </c>
      <c r="F18" s="8">
        <v>800</v>
      </c>
    </row>
    <row r="19" spans="1:6" ht="14.25" x14ac:dyDescent="0.2">
      <c r="A19" s="3"/>
      <c r="B19" s="6">
        <v>15</v>
      </c>
      <c r="C19" s="102" t="str">
        <f>HYPERLINK("https://rabota.by/vacancy/42472170","ЕВРООПТ")</f>
        <v>ЕВРООПТ</v>
      </c>
      <c r="D19" s="8">
        <v>750</v>
      </c>
      <c r="E19" s="103" t="str">
        <f>HYPERLINK("https://rabota.by/resume/e0a6d08b00099db3400013a3fa325953634e67","Продавец")</f>
        <v>Продавец</v>
      </c>
      <c r="F19" s="8">
        <v>800</v>
      </c>
    </row>
    <row r="20" spans="1:6" ht="14.25" x14ac:dyDescent="0.2">
      <c r="A20" s="3"/>
      <c r="B20" s="6">
        <v>16</v>
      </c>
      <c r="C20" s="102" t="str">
        <f>HYPERLINK("https://rabota.by/vacancy/45276546","ЕВРООПТ")</f>
        <v>ЕВРООПТ</v>
      </c>
      <c r="D20" s="8">
        <v>650</v>
      </c>
      <c r="E20" s="103" t="str">
        <f>HYPERLINK("https://rabota.by/resume/4acd255a0009adf51a0013a3fa56667661497a","Продавец")</f>
        <v>Продавец</v>
      </c>
      <c r="F20" s="8">
        <v>800</v>
      </c>
    </row>
    <row r="21" spans="1:6" ht="14.25" x14ac:dyDescent="0.2">
      <c r="A21" s="3"/>
      <c r="B21" s="6">
        <v>17</v>
      </c>
      <c r="C21" s="102" t="str">
        <f>HYPERLINK("https://rabota.by/vacancy/52407903","ИП Рыбков А.Н.")</f>
        <v>ИП Рыбков А.Н.</v>
      </c>
      <c r="D21" s="8">
        <v>650</v>
      </c>
      <c r="E21" s="103" t="str">
        <f>HYPERLINK("https://rabota.by/resume/632b27950003203f830013a3fa46794a673269","Продавец")</f>
        <v>Продавец</v>
      </c>
      <c r="F21" s="8">
        <v>800</v>
      </c>
    </row>
    <row r="22" spans="1:6" ht="14.25" x14ac:dyDescent="0.2">
      <c r="A22" s="3"/>
      <c r="B22" s="6">
        <v>18</v>
      </c>
      <c r="C22" s="102" t="str">
        <f>HYPERLINK("https://rabota.by/vacancy/52546919","ООО ВЕТЗООБАЗАР")</f>
        <v>ООО ВЕТЗООБАЗАР</v>
      </c>
      <c r="D22" s="8">
        <v>600</v>
      </c>
      <c r="E22" s="103" t="str">
        <f>HYPERLINK("https://rabota.by/resume/a62566ee0005f303500013a3fa524d484c5379","Продавец")</f>
        <v>Продавец</v>
      </c>
      <c r="F22" s="8">
        <v>800</v>
      </c>
    </row>
    <row r="23" spans="1:6" ht="14.25" x14ac:dyDescent="0.2">
      <c r="A23" s="3"/>
      <c r="B23" s="6">
        <v>19</v>
      </c>
      <c r="C23" s="102" t="str">
        <f>HYPERLINK("https://rabota.by/vacancy/52374206","ООО Мария плюс")</f>
        <v>ООО Мария плюс</v>
      </c>
      <c r="D23" s="8">
        <v>600</v>
      </c>
      <c r="E23" s="103" t="str">
        <f>HYPERLINK("https://rabota.by/resume/93630a5d00098347500013a3fa4e6266673637","Продавец")</f>
        <v>Продавец</v>
      </c>
      <c r="F23" s="8">
        <v>800</v>
      </c>
    </row>
    <row r="24" spans="1:6" ht="14.25" x14ac:dyDescent="0.2">
      <c r="A24" s="3"/>
      <c r="B24" s="6">
        <v>20</v>
      </c>
      <c r="C24" s="102" t="str">
        <f>HYPERLINK("https://rabota.by/vacancy/52239949","Белвест")</f>
        <v>Белвест</v>
      </c>
      <c r="D24" s="8">
        <v>500</v>
      </c>
      <c r="E24" s="103" t="str">
        <f>HYPERLINK("https://rabota.by/resume/9241aed900042f88c30013a3fa3731514c4f51","Продавец")</f>
        <v>Продавец</v>
      </c>
      <c r="F24" s="8">
        <v>800</v>
      </c>
    </row>
    <row r="25" spans="1:6" ht="14.25" x14ac:dyDescent="0.2">
      <c r="A25" s="3"/>
      <c r="B25" s="6">
        <v>21</v>
      </c>
      <c r="C25" s="102" t="str">
        <f>HYPERLINK("https://rabota.by/vacancy/52241043","ООО БелМагиКА")</f>
        <v>ООО БелМагиКА</v>
      </c>
      <c r="D25" s="8">
        <v>700</v>
      </c>
      <c r="E25" s="103" t="str">
        <f>HYPERLINK("https://rabota.by/resume/3d1e75c20009181fe10013a3fa504669333764","Продавец")</f>
        <v>Продавец</v>
      </c>
      <c r="F25" s="8">
        <v>700</v>
      </c>
    </row>
    <row r="26" spans="1:6" ht="14.25" x14ac:dyDescent="0.2">
      <c r="A26" s="3"/>
      <c r="B26" s="6">
        <v>22</v>
      </c>
      <c r="C26" s="102" t="str">
        <f>HYPERLINK("https://rabota.by/vacancy/50607767","Торговый дом Лагуна (сеть магазинов «AMI»)")</f>
        <v>Торговый дом Лагуна (сеть магазинов «AMI»)</v>
      </c>
      <c r="D26" s="8">
        <v>700</v>
      </c>
      <c r="E26" s="103" t="str">
        <f>HYPERLINK("https://rabota.by/resume/8a5eac7f0008425db90013a3fa6736324e6e35","Продавец")</f>
        <v>Продавец</v>
      </c>
      <c r="F26" s="8">
        <v>700</v>
      </c>
    </row>
    <row r="27" spans="1:6" ht="14.25" x14ac:dyDescent="0.2">
      <c r="A27" s="3"/>
      <c r="B27" s="6">
        <v>23</v>
      </c>
      <c r="C27" s="102" t="str">
        <f>HYPERLINK("https://rabota.by/vacancy/52199171","ООО Драгон Шоп")</f>
        <v>ООО Драгон Шоп</v>
      </c>
      <c r="D27" s="8">
        <v>1400</v>
      </c>
      <c r="E27" s="103" t="str">
        <f>HYPERLINK("https://rabota.by/resume/8804be6600082778f40013a3fa46546b343044","Продавец")</f>
        <v>Продавец</v>
      </c>
      <c r="F27" s="8">
        <v>700</v>
      </c>
    </row>
    <row r="28" spans="1:6" ht="14.25" x14ac:dyDescent="0.2">
      <c r="A28" s="3"/>
      <c r="B28" s="6">
        <v>24</v>
      </c>
      <c r="C28" s="102" t="str">
        <f>HYPERLINK("https://rabota.by/vacancy/52477314","ОДО Белита-Витэкс-Могилев")</f>
        <v>ОДО Белита-Витэкс-Могилев</v>
      </c>
      <c r="D28" s="8">
        <v>1000</v>
      </c>
      <c r="E28" s="103" t="str">
        <f>HYPERLINK("https://rabota.by/resume/49ca3fe30007526ffe0013a3fa37436565486b","Продавец")</f>
        <v>Продавец</v>
      </c>
      <c r="F28" s="8">
        <v>700</v>
      </c>
    </row>
    <row r="29" spans="1:6" ht="14.25" x14ac:dyDescent="0.2">
      <c r="A29" s="3"/>
      <c r="B29" s="6">
        <v>25</v>
      </c>
      <c r="C29" s="102" t="str">
        <f>HYPERLINK("https://rabota.by/vacancy/52525389","УП ПроСеллер")</f>
        <v>УП ПроСеллер</v>
      </c>
      <c r="D29" s="8">
        <v>700</v>
      </c>
      <c r="E29" s="103" t="str">
        <f>HYPERLINK("https://rabota.by/resume/2985337c0009867da50013a3fa4841386b5851","Продавец")</f>
        <v>Продавец</v>
      </c>
      <c r="F29" s="8">
        <v>700</v>
      </c>
    </row>
    <row r="30" spans="1:6" ht="14.25" x14ac:dyDescent="0.2">
      <c r="A30" s="3"/>
      <c r="B30" s="6">
        <v>26</v>
      </c>
      <c r="C30" s="102" t="str">
        <f>HYPERLINK("https://rabota.by/vacancy/52286994","Зооветмаркет")</f>
        <v>Зооветмаркет</v>
      </c>
      <c r="D30" s="8">
        <v>600</v>
      </c>
      <c r="E30" s="103" t="str">
        <f>HYPERLINK("https://rabota.by/resume/6a541b530008152a980013a3fa4a7870383661","Продавец")</f>
        <v>Продавец</v>
      </c>
      <c r="F30" s="8">
        <v>700</v>
      </c>
    </row>
    <row r="31" spans="1:6" ht="14.25" x14ac:dyDescent="0.2">
      <c r="A31" s="3"/>
      <c r="B31" s="6">
        <v>27</v>
      </c>
      <c r="C31" s="102" t="str">
        <f>HYPERLINK("https://rabota.by/vacancy/52457265","УП ПроСеллер")</f>
        <v>УП ПроСеллер</v>
      </c>
      <c r="D31" s="8">
        <v>700</v>
      </c>
      <c r="E31" s="103" t="str">
        <f>HYPERLINK("https://rabota.by/resume/3ed2e6ea0007e157ea0013a3fa75446a636177","Продавец")</f>
        <v>Продавец</v>
      </c>
      <c r="F31" s="8">
        <v>700</v>
      </c>
    </row>
    <row r="32" spans="1:6" ht="14.25" x14ac:dyDescent="0.2">
      <c r="A32" s="3"/>
      <c r="B32" s="6">
        <v>28</v>
      </c>
      <c r="C32" s="102" t="str">
        <f>HYPERLINK("https://rabota.by/vacancy/52197735","ИП Моисеев Е.Н.")</f>
        <v>ИП Моисеев Е.Н.</v>
      </c>
      <c r="D32" s="8">
        <v>1500</v>
      </c>
      <c r="E32" s="103" t="str">
        <f>HYPERLINK("https://rabota.by/resume/5f4f2c0700098db4070013a3fa774e55745763","Продавец")</f>
        <v>Продавец</v>
      </c>
      <c r="F32" s="8">
        <v>700</v>
      </c>
    </row>
    <row r="33" spans="1:6" ht="14.25" x14ac:dyDescent="0.2">
      <c r="A33" s="3"/>
      <c r="B33" s="6">
        <v>29</v>
      </c>
      <c r="C33" s="102" t="str">
        <f>HYPERLINK("https://rabota.by/vacancy/51920273","ИП Баньковский А. В.")</f>
        <v>ИП Баньковский А. В.</v>
      </c>
      <c r="D33" s="8">
        <v>1400</v>
      </c>
      <c r="E33" s="103" t="str">
        <f>HYPERLINK("https://rabota.by/resume/c5bc287a00095706d70013a3fa4168386c3567","Продавец")</f>
        <v>Продавец</v>
      </c>
      <c r="F33" s="8">
        <v>650</v>
      </c>
    </row>
    <row r="34" spans="1:6" ht="14.25" x14ac:dyDescent="0.2">
      <c r="A34" s="3"/>
      <c r="B34" s="6">
        <v>30</v>
      </c>
      <c r="C34" s="102" t="str">
        <f>HYPERLINK("https://rabota.by/vacancy/51189194","ООО ПАТИО плюс, сеть салонов цифровой техники АЛЛО")</f>
        <v>ООО ПАТИО плюс, сеть салонов цифровой техники АЛЛО</v>
      </c>
      <c r="D34" s="8">
        <v>550</v>
      </c>
      <c r="E34" s="103" t="str">
        <f>HYPERLINK("https://rabota.by/resume/033ec70000099cb3760013a3fa494744334974","Продавец")</f>
        <v>Продавец</v>
      </c>
      <c r="F34" s="8">
        <v>650</v>
      </c>
    </row>
    <row r="35" spans="1:6" ht="14.25" x14ac:dyDescent="0.2">
      <c r="A35" s="3"/>
      <c r="B35" s="6">
        <v>31</v>
      </c>
      <c r="C35" s="102" t="str">
        <f>HYPERLINK("https://rabota.by/vacancy/52455861","Керамин-Столица Инвест, Унитарное предприятие")</f>
        <v>Керамин-Столица Инвест, Унитарное предприятие</v>
      </c>
      <c r="D35" s="8">
        <v>800</v>
      </c>
      <c r="E35" s="103" t="str">
        <f>HYPERLINK("https://rabota.by/resume/6100ede900095ecc650013a3fa7a6a65506f70","Продавец")</f>
        <v>Продавец</v>
      </c>
      <c r="F35" s="8">
        <v>650</v>
      </c>
    </row>
    <row r="36" spans="1:6" ht="14.25" x14ac:dyDescent="0.2">
      <c r="A36" s="3"/>
      <c r="B36" s="6">
        <v>32</v>
      </c>
      <c r="C36" s="102" t="str">
        <f>HYPERLINK("https://rabota.by/vacancy/51473323","ОАО Рассвет им.К.П.Орловского")</f>
        <v>ОАО Рассвет им.К.П.Орловского</v>
      </c>
      <c r="D36" s="8">
        <v>700</v>
      </c>
      <c r="E36" s="103" t="str">
        <f>HYPERLINK("https://rabota.by/resume/3f71187f00093252a50013a3fa694659707637","Продавец")</f>
        <v>Продавец</v>
      </c>
      <c r="F36" s="8">
        <v>650</v>
      </c>
    </row>
    <row r="37" spans="1:6" ht="14.25" x14ac:dyDescent="0.2">
      <c r="A37" s="3"/>
      <c r="B37" s="6">
        <v>33</v>
      </c>
      <c r="C37" s="102" t="str">
        <f>HYPERLINK("https://rabota.by/vacancy/52441360","Веселое детство, ЧП")</f>
        <v>Веселое детство, ЧП</v>
      </c>
      <c r="D37" s="8">
        <v>800</v>
      </c>
      <c r="E37" s="103" t="str">
        <f>HYPERLINK("https://rabota.by/resume/61f706ae00084792370013a3fa6d7730384667","Продавец")</f>
        <v>Продавец</v>
      </c>
      <c r="F37" s="8">
        <v>650</v>
      </c>
    </row>
    <row r="38" spans="1:6" ht="14.25" x14ac:dyDescent="0.2">
      <c r="A38" s="3"/>
      <c r="B38" s="6">
        <v>34</v>
      </c>
      <c r="C38" s="102" t="str">
        <f>HYPERLINK("https://rabota.by/vacancy/51989111","ИП Ковальков С. С.")</f>
        <v>ИП Ковальков С. С.</v>
      </c>
      <c r="D38" s="8">
        <v>650</v>
      </c>
      <c r="E38" s="103" t="str">
        <f>HYPERLINK("https://rabota.by/resume/46ee580f000958e84f0013a3fa514375346b41","Продавец")</f>
        <v>Продавец</v>
      </c>
      <c r="F38" s="8">
        <v>650</v>
      </c>
    </row>
    <row r="39" spans="1:6" ht="14.25" x14ac:dyDescent="0.2">
      <c r="A39" s="3"/>
      <c r="B39" s="6">
        <v>35</v>
      </c>
      <c r="C39" s="102" t="str">
        <f>HYPERLINK("https://rabota.by/vacancy/52432028","ООО ВЕТЗООБАЗАР")</f>
        <v>ООО ВЕТЗООБАЗАР</v>
      </c>
      <c r="D39" s="8">
        <v>600</v>
      </c>
      <c r="E39" s="103" t="str">
        <f>HYPERLINK("https://rabota.by/resume/0ae3fac800099fbc990013a3fa415466517865","Продавец")</f>
        <v>Продавец</v>
      </c>
      <c r="F39" s="8">
        <v>600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570</v>
      </c>
      <c r="E40" s="11" t="s">
        <v>6</v>
      </c>
      <c r="F40" s="12">
        <f>IFERROR(PERCENTILE(F5:F39,0.1),"-")</f>
        <v>650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650</v>
      </c>
      <c r="E41" s="14" t="s">
        <v>7</v>
      </c>
      <c r="F41" s="15">
        <f>IFERROR(QUARTILE(F5:F39, 1),"-")</f>
        <v>700</v>
      </c>
    </row>
    <row r="42" spans="1:6" ht="15" x14ac:dyDescent="0.25">
      <c r="A42" s="9"/>
      <c r="B42" s="16"/>
      <c r="C42" s="17" t="s">
        <v>8</v>
      </c>
      <c r="D42" s="18">
        <f>IFERROR(MEDIAN(D5:D39),"-")</f>
        <v>700</v>
      </c>
      <c r="E42" s="17" t="s">
        <v>8</v>
      </c>
      <c r="F42" s="18">
        <f>IFERROR(MEDIAN(F5:F39),"-")</f>
        <v>800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811</v>
      </c>
      <c r="E43" s="20" t="s">
        <v>9</v>
      </c>
      <c r="F43" s="21">
        <f>IFERROR(QUARTILE(F5:F39,3), "-")</f>
        <v>800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1240.0000000000005</v>
      </c>
      <c r="E44" s="23" t="s">
        <v>10</v>
      </c>
      <c r="F44" s="24">
        <f>IFERROR(PERCENTILE(F5:F39,0.9),"-")</f>
        <v>860.00000000000011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600</v>
      </c>
    </row>
    <row r="48" spans="1:6" ht="14.25" x14ac:dyDescent="0.2">
      <c r="C48" s="90" t="s">
        <v>7</v>
      </c>
      <c r="D48" s="91">
        <f>IFERROR(QUARTILE(D5:F39, 1),"-")</f>
        <v>650</v>
      </c>
    </row>
    <row r="49" spans="3:4" ht="14.25" x14ac:dyDescent="0.2">
      <c r="C49" s="92" t="s">
        <v>8</v>
      </c>
      <c r="D49" s="93">
        <f>IFERROR(MEDIAN(D5:D39,F5:F39),"-")</f>
        <v>750</v>
      </c>
    </row>
    <row r="50" spans="3:4" ht="14.25" x14ac:dyDescent="0.2">
      <c r="C50" s="94" t="s">
        <v>9</v>
      </c>
      <c r="D50" s="95">
        <f>IFERROR(QUARTILE(D5:F39,3), "-")</f>
        <v>800</v>
      </c>
    </row>
    <row r="51" spans="3:4" ht="14.25" x14ac:dyDescent="0.2">
      <c r="C51" s="96" t="s">
        <v>10</v>
      </c>
      <c r="D51" s="97">
        <f>IFERROR(PERCENTILE(D5:F39,0.9),"-")</f>
        <v>1000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93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HYPERLINK("https://rabota.by/vacancy/52320476","ООО Санта Ритейл")</f>
        <v>ООО Санта Ритейл</v>
      </c>
      <c r="D5" s="8">
        <v>850</v>
      </c>
      <c r="E5" s="103" t="str">
        <f>HYPERLINK("https://rabota.by/resume/549ed19800038537d50013a3fa6f766f775a59","Обвальщик мяса")</f>
        <v>Обвальщик мяса</v>
      </c>
      <c r="F5" s="8">
        <v>3500</v>
      </c>
    </row>
    <row r="6" spans="1:6" ht="14.25" x14ac:dyDescent="0.2">
      <c r="A6" s="3"/>
      <c r="B6" s="6">
        <v>2</v>
      </c>
      <c r="C6" s="102" t="str">
        <f>HYPERLINK("https://rabota.by/vacancy/45121900","СОСЕДИ, Сеть магазинов")</f>
        <v>СОСЕДИ, Сеть магазинов</v>
      </c>
      <c r="D6" s="8">
        <v>1100</v>
      </c>
      <c r="E6" s="103" t="str">
        <f>HYPERLINK("https://rabota.by/resume/9f254c8a00095a28610013a3fa576b716b6832","Обвальщик мяса")</f>
        <v>Обвальщик мяса</v>
      </c>
      <c r="F6" s="8">
        <v>2000</v>
      </c>
    </row>
    <row r="7" spans="1:6" ht="14.25" x14ac:dyDescent="0.2">
      <c r="A7" s="3"/>
      <c r="B7" s="6">
        <v>3</v>
      </c>
      <c r="C7" s="7"/>
      <c r="D7" s="8"/>
      <c r="E7" s="103" t="str">
        <f>HYPERLINK("https://rabota.by/resume/1b9fb4f7000760c5b60013a3fa3537574e4e56","Обвальщик мяса")</f>
        <v>Обвальщик мяса</v>
      </c>
      <c r="F7" s="8">
        <v>1500</v>
      </c>
    </row>
    <row r="8" spans="1:6" ht="14.25" x14ac:dyDescent="0.2">
      <c r="A8" s="3"/>
      <c r="B8" s="6">
        <v>4</v>
      </c>
      <c r="C8" s="7"/>
      <c r="D8" s="8"/>
      <c r="E8" s="103" t="str">
        <f>HYPERLINK("https://rabota.by/resume/1856e3f00007de2d120013a3fa6e5177744578","Обвальщик мяса")</f>
        <v>Обвальщик мяса</v>
      </c>
      <c r="F8" s="8">
        <v>1500</v>
      </c>
    </row>
    <row r="9" spans="1:6" ht="14.25" x14ac:dyDescent="0.2">
      <c r="A9" s="3"/>
      <c r="B9" s="6">
        <v>5</v>
      </c>
      <c r="C9" s="7"/>
      <c r="D9" s="8"/>
      <c r="E9" s="103" t="str">
        <f>HYPERLINK("https://rabota.by/resume/d6bd3dd10005822be60013a3fa78433936784a","Обвальщик мяса")</f>
        <v>Обвальщик мяса</v>
      </c>
      <c r="F9" s="8">
        <v>1200</v>
      </c>
    </row>
    <row r="10" spans="1:6" ht="14.25" x14ac:dyDescent="0.2">
      <c r="A10" s="3"/>
      <c r="B10" s="6">
        <v>6</v>
      </c>
      <c r="C10" s="7"/>
      <c r="D10" s="8"/>
      <c r="E10" s="103" t="str">
        <f>HYPERLINK("https://rabota.by/resume/10c239b400044d58f40013a3fa455564547851","Обвальщик мяса")</f>
        <v>Обвальщик мяса</v>
      </c>
      <c r="F10" s="8">
        <v>1100</v>
      </c>
    </row>
    <row r="11" spans="1:6" ht="14.25" x14ac:dyDescent="0.2">
      <c r="A11" s="3"/>
      <c r="B11" s="6">
        <v>7</v>
      </c>
      <c r="C11" s="7"/>
      <c r="D11" s="8"/>
      <c r="E11" s="103" t="str">
        <f>HYPERLINK("https://rabota.by/resume/b0e5e7bb0007f623920013a3fa517a46725072","Обвальщик мяса")</f>
        <v>Обвальщик мяса</v>
      </c>
      <c r="F11" s="8">
        <v>1000</v>
      </c>
    </row>
    <row r="12" spans="1:6" ht="14.25" x14ac:dyDescent="0.2">
      <c r="A12" s="3"/>
      <c r="B12" s="6">
        <v>8</v>
      </c>
      <c r="C12" s="7"/>
      <c r="D12" s="8"/>
      <c r="E12" s="103" t="str">
        <f>HYPERLINK("https://rabota.by/resume/39c752c200012708130013a3fa4568476b6371","Обвальщик мяса")</f>
        <v>Обвальщик мяса</v>
      </c>
      <c r="F12" s="8">
        <v>1000</v>
      </c>
    </row>
    <row r="13" spans="1:6" ht="14.25" x14ac:dyDescent="0.2">
      <c r="A13" s="3"/>
      <c r="B13" s="6">
        <v>9</v>
      </c>
      <c r="C13" s="7"/>
      <c r="D13" s="8"/>
      <c r="E13" s="103" t="str">
        <f>HYPERLINK("https://rabota.by/resume/528b9c270007915ac00013a3fa35556d365464","Обвальщик мяса")</f>
        <v>Обвальщик мяса</v>
      </c>
      <c r="F13" s="8">
        <v>1000</v>
      </c>
    </row>
    <row r="14" spans="1:6" ht="14.25" x14ac:dyDescent="0.2">
      <c r="A14" s="3"/>
      <c r="B14" s="6">
        <v>10</v>
      </c>
      <c r="C14" s="7"/>
      <c r="D14" s="8"/>
      <c r="E14" s="103" t="str">
        <f>HYPERLINK("https://rabota.by/resume/7ed0e0a000079991fc0013a3fa313234354355","Обвальщик мяса")</f>
        <v>Обвальщик мяса</v>
      </c>
      <c r="F14" s="8">
        <v>1000</v>
      </c>
    </row>
    <row r="15" spans="1:6" ht="14.25" x14ac:dyDescent="0.2">
      <c r="A15" s="3"/>
      <c r="B15" s="6">
        <v>11</v>
      </c>
      <c r="C15" s="7"/>
      <c r="D15" s="8"/>
      <c r="E15" s="103" t="str">
        <f>HYPERLINK("https://rabota.by/resume/b3d6284e0006feff2c0013a3fa6a756c77326a","Обвальщик мяса")</f>
        <v>Обвальщик мяса</v>
      </c>
      <c r="F15" s="8">
        <v>1000</v>
      </c>
    </row>
    <row r="16" spans="1:6" ht="14.25" x14ac:dyDescent="0.2">
      <c r="A16" s="3"/>
      <c r="B16" s="6">
        <v>12</v>
      </c>
      <c r="C16" s="7"/>
      <c r="D16" s="8"/>
      <c r="E16" s="103" t="str">
        <f>HYPERLINK("https://rabota.by/resume/a081e48f0001a634b40013a3fa6c4b4e4d466e","Обвальщик мяса")</f>
        <v>Обвальщик мяса</v>
      </c>
      <c r="F16" s="8">
        <v>1000</v>
      </c>
    </row>
    <row r="17" spans="1:6" ht="14.25" x14ac:dyDescent="0.2">
      <c r="A17" s="3"/>
      <c r="B17" s="6">
        <v>13</v>
      </c>
      <c r="C17" s="7"/>
      <c r="D17" s="8"/>
      <c r="E17" s="103" t="str">
        <f>HYPERLINK("https://rabota.by/resume/17da5d6e000815ff0f0013a3fa783648514238","Обвальщик мяса")</f>
        <v>Обвальщик мяса</v>
      </c>
      <c r="F17" s="8">
        <v>900</v>
      </c>
    </row>
    <row r="18" spans="1:6" ht="14.25" x14ac:dyDescent="0.2">
      <c r="A18" s="3"/>
      <c r="B18" s="6">
        <v>14</v>
      </c>
      <c r="C18" s="7"/>
      <c r="D18" s="8"/>
      <c r="E18" s="103" t="str">
        <f>HYPERLINK("https://rabota.by/resume/61acc8770005c006db0013a3fa33694f353041","Обвальщик мяса")</f>
        <v>Обвальщик мяса</v>
      </c>
      <c r="F18" s="8">
        <v>900</v>
      </c>
    </row>
    <row r="19" spans="1:6" ht="14.25" x14ac:dyDescent="0.2">
      <c r="A19" s="3"/>
      <c r="B19" s="6">
        <v>15</v>
      </c>
      <c r="C19" s="7"/>
      <c r="D19" s="8"/>
      <c r="E19" s="103" t="str">
        <f>HYPERLINK("https://rabota.by/resume/95b54bdf0005172be10013a3fa6a4347726472","Обвальщик мяса")</f>
        <v>Обвальщик мяса</v>
      </c>
      <c r="F19" s="8">
        <v>869</v>
      </c>
    </row>
    <row r="20" spans="1:6" ht="14.25" x14ac:dyDescent="0.2">
      <c r="A20" s="3"/>
      <c r="B20" s="6">
        <v>16</v>
      </c>
      <c r="C20" s="7"/>
      <c r="D20" s="8"/>
      <c r="E20" s="103" t="str">
        <f>HYPERLINK("https://rabota.by/resume/f1c0ac9700065d6cd30013a3fa465263435568","Обвальщик мяса")</f>
        <v>Обвальщик мяса</v>
      </c>
      <c r="F20" s="8">
        <v>850</v>
      </c>
    </row>
    <row r="21" spans="1:6" ht="14.25" x14ac:dyDescent="0.2">
      <c r="A21" s="3"/>
      <c r="B21" s="6">
        <v>17</v>
      </c>
      <c r="C21" s="7"/>
      <c r="D21" s="8"/>
      <c r="E21" s="103" t="str">
        <f>HYPERLINK("https://rabota.by/resume/6b4aeaae0006349f060013a3fa6733546a5872","Обвальщик мяса")</f>
        <v>Обвальщик мяса</v>
      </c>
      <c r="F21" s="8">
        <v>800</v>
      </c>
    </row>
    <row r="22" spans="1:6" ht="14.25" x14ac:dyDescent="0.2">
      <c r="A22" s="3"/>
      <c r="B22" s="6">
        <v>18</v>
      </c>
      <c r="C22" s="7"/>
      <c r="D22" s="8"/>
      <c r="E22" s="103" t="str">
        <f>HYPERLINK("https://rabota.by/resume/742c34c100037e92e40013a3fa6a4c457a426c","Обвальщик мяса")</f>
        <v>Обвальщик мяса</v>
      </c>
      <c r="F22" s="8">
        <v>800</v>
      </c>
    </row>
    <row r="23" spans="1:6" ht="14.25" x14ac:dyDescent="0.2">
      <c r="A23" s="3"/>
      <c r="B23" s="6">
        <v>19</v>
      </c>
      <c r="C23" s="7"/>
      <c r="D23" s="8"/>
      <c r="E23" s="103" t="str">
        <f>HYPERLINK("https://rabota.by/resume/8117ba7100035687490013a3fa4551334d6f31","Обвальщик мяса")</f>
        <v>Обвальщик мяса</v>
      </c>
      <c r="F23" s="8">
        <v>800</v>
      </c>
    </row>
    <row r="24" spans="1:6" ht="14.25" x14ac:dyDescent="0.2">
      <c r="A24" s="3"/>
      <c r="B24" s="6">
        <v>20</v>
      </c>
      <c r="C24" s="7"/>
      <c r="D24" s="8"/>
      <c r="E24" s="103" t="str">
        <f>HYPERLINK("https://rabota.by/resume/1c67d12900023accda0013a3fa416861763671","Обвальщик мяса")</f>
        <v>Обвальщик мяса</v>
      </c>
      <c r="F24" s="8">
        <v>800</v>
      </c>
    </row>
    <row r="25" spans="1:6" ht="14.25" x14ac:dyDescent="0.2">
      <c r="A25" s="3"/>
      <c r="B25" s="6">
        <v>21</v>
      </c>
      <c r="C25" s="7"/>
      <c r="D25" s="8"/>
      <c r="E25" s="103" t="str">
        <f>HYPERLINK("https://rabota.by/resume/184bc78f00030e59570013a3fa52424e784c6e","Обвальщик мяса")</f>
        <v>Обвальщик мяса</v>
      </c>
      <c r="F25" s="8">
        <v>750</v>
      </c>
    </row>
    <row r="26" spans="1:6" ht="14.25" x14ac:dyDescent="0.2">
      <c r="A26" s="3"/>
      <c r="B26" s="6">
        <v>22</v>
      </c>
      <c r="C26" s="7"/>
      <c r="D26" s="8"/>
      <c r="E26" s="103" t="str">
        <f>HYPERLINK("https://rabota.by/resume/7ae4eccd000719f2f70013a3fa67434a626939","Обвальщик мяса")</f>
        <v>Обвальщик мяса</v>
      </c>
      <c r="F26" s="8">
        <v>700</v>
      </c>
    </row>
    <row r="27" spans="1:6" ht="14.25" x14ac:dyDescent="0.2">
      <c r="A27" s="3"/>
      <c r="B27" s="6">
        <v>23</v>
      </c>
      <c r="C27" s="7"/>
      <c r="D27" s="8"/>
      <c r="E27" s="103" t="str">
        <f>HYPERLINK("https://rabota.by/resume/5fe83b1b0005a9b2130013a3fa47364370616e","Обвальщик мяса")</f>
        <v>Обвальщик мяса</v>
      </c>
      <c r="F27" s="8">
        <v>700</v>
      </c>
    </row>
    <row r="28" spans="1:6" ht="14.25" x14ac:dyDescent="0.2">
      <c r="A28" s="3"/>
      <c r="B28" s="6">
        <v>24</v>
      </c>
      <c r="C28" s="7"/>
      <c r="D28" s="8"/>
      <c r="E28" s="103" t="str">
        <f>HYPERLINK("https://rabota.by/resume/a757d9110003172d440013a3fa4f3230444645","Обвальщик мяса")</f>
        <v>Обвальщик мяса</v>
      </c>
      <c r="F28" s="8">
        <v>700</v>
      </c>
    </row>
    <row r="29" spans="1:6" ht="14.25" x14ac:dyDescent="0.2">
      <c r="A29" s="3"/>
      <c r="B29" s="6">
        <v>25</v>
      </c>
      <c r="C29" s="7"/>
      <c r="D29" s="8"/>
      <c r="E29" s="103" t="str">
        <f>HYPERLINK("https://rabota.by/resume/7f0590550002c8afa20013a3fa476a615a434c","Обвальщик мяса")</f>
        <v>Обвальщик мяса</v>
      </c>
      <c r="F29" s="8">
        <v>700</v>
      </c>
    </row>
    <row r="30" spans="1:6" ht="14.25" x14ac:dyDescent="0.2">
      <c r="A30" s="3"/>
      <c r="B30" s="6">
        <v>26</v>
      </c>
      <c r="C30" s="7"/>
      <c r="D30" s="8"/>
      <c r="E30" s="103" t="str">
        <f>HYPERLINK("https://rabota.by/resume/2359cc450006a32d570013a3fa4c30524e3074","Обвальщик мяса")</f>
        <v>Обвальщик мяса</v>
      </c>
      <c r="F30" s="8">
        <v>600</v>
      </c>
    </row>
    <row r="31" spans="1:6" ht="14.25" x14ac:dyDescent="0.2">
      <c r="A31" s="3"/>
      <c r="B31" s="6">
        <v>27</v>
      </c>
      <c r="C31" s="7"/>
      <c r="D31" s="8"/>
      <c r="E31" s="103" t="str">
        <f>HYPERLINK("https://rabota.by/resume/1649da5f000792785e0013a3fa517835773045","Обвальщик мяса")</f>
        <v>Обвальщик мяса</v>
      </c>
      <c r="F31" s="8">
        <v>600</v>
      </c>
    </row>
    <row r="32" spans="1:6" ht="14.25" x14ac:dyDescent="0.2">
      <c r="A32" s="3"/>
      <c r="B32" s="6">
        <v>28</v>
      </c>
      <c r="C32" s="7"/>
      <c r="D32" s="8"/>
      <c r="E32" s="103" t="str">
        <f>HYPERLINK("https://rabota.by/resume/3e41be7e00018f10030013a3fa637836497133","Обвальщик мяса")</f>
        <v>Обвальщик мяса</v>
      </c>
      <c r="F32" s="8">
        <v>600</v>
      </c>
    </row>
    <row r="33" spans="1:6" ht="14.25" x14ac:dyDescent="0.2">
      <c r="A33" s="3"/>
      <c r="B33" s="6">
        <v>29</v>
      </c>
      <c r="C33" s="7"/>
      <c r="D33" s="8"/>
      <c r="E33" s="103" t="str">
        <f>HYPERLINK("https://rabota.by/resume/522eea42000267e3d30013a3fa576b30315665","Обвальщик мяса")</f>
        <v>Обвальщик мяса</v>
      </c>
      <c r="F33" s="8">
        <v>600</v>
      </c>
    </row>
    <row r="34" spans="1:6" ht="14.25" x14ac:dyDescent="0.2">
      <c r="A34" s="3"/>
      <c r="B34" s="6">
        <v>30</v>
      </c>
      <c r="C34" s="7"/>
      <c r="D34" s="8"/>
      <c r="E34" s="103" t="str">
        <f>HYPERLINK("https://rabota.by/resume/59f14c120009a09d2f0013a3fa665977764a63","Обвальщик мяса")</f>
        <v>Обвальщик мяса</v>
      </c>
      <c r="F34" s="8">
        <v>500</v>
      </c>
    </row>
    <row r="35" spans="1:6" ht="14.25" x14ac:dyDescent="0.2">
      <c r="A35" s="3"/>
      <c r="B35" s="6">
        <v>31</v>
      </c>
      <c r="C35" s="7"/>
      <c r="D35" s="8"/>
      <c r="E35" s="103" t="str">
        <f>HYPERLINK("https://rabota.by/resume/90010523000313e0a00013a3fa326c42737553","Обвальщик мяса")</f>
        <v>Обвальщик мяса</v>
      </c>
      <c r="F35" s="8">
        <v>500</v>
      </c>
    </row>
    <row r="36" spans="1:6" ht="14.25" x14ac:dyDescent="0.2">
      <c r="A36" s="3"/>
      <c r="B36" s="6">
        <v>32</v>
      </c>
      <c r="C36" s="7"/>
      <c r="D36" s="8"/>
      <c r="E36" s="103" t="str">
        <f>HYPERLINK("https://rabota.by/resume/11c1c04c000239185c0013a3fa305853664c61","Обвальщик мяса")</f>
        <v>Обвальщик мяса</v>
      </c>
      <c r="F36" s="8">
        <v>500</v>
      </c>
    </row>
    <row r="37" spans="1:6" ht="14.25" x14ac:dyDescent="0.2">
      <c r="A37" s="3"/>
      <c r="B37" s="6">
        <v>33</v>
      </c>
      <c r="C37" s="7"/>
      <c r="D37" s="8"/>
      <c r="E37" s="103" t="str">
        <f>HYPERLINK("https://rabota.by/resume/4bfdf6b500041b51d20013a3fa4d5454573074","Обвальщик мяса")</f>
        <v>Обвальщик мяса</v>
      </c>
      <c r="F37" s="8">
        <v>300</v>
      </c>
    </row>
    <row r="38" spans="1:6" ht="14.25" x14ac:dyDescent="0.2">
      <c r="A38" s="3"/>
      <c r="B38" s="6">
        <v>34</v>
      </c>
      <c r="C38" s="7"/>
      <c r="D38" s="8"/>
      <c r="E38" s="103" t="str">
        <f>HYPERLINK("https://rabota.by/resume/085e71b30001e852000013a3fa385171724748","Обвальщик мяса")</f>
        <v>Обвальщик мяса</v>
      </c>
      <c r="F38" s="8">
        <v>300</v>
      </c>
    </row>
    <row r="39" spans="1:6" ht="14.25" x14ac:dyDescent="0.2">
      <c r="A39" s="3"/>
      <c r="B39" s="6">
        <v>35</v>
      </c>
      <c r="C39" s="7"/>
      <c r="D39" s="8"/>
      <c r="E39" s="103" t="str">
        <f>HYPERLINK("https://rabota.by/resume/7e1d7b8d00042d32ee0013a3fa56324f414835","Обвальщик мяса")</f>
        <v>Обвальщик мяса</v>
      </c>
      <c r="F39" s="8">
        <v>265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875</v>
      </c>
      <c r="E40" s="11" t="s">
        <v>6</v>
      </c>
      <c r="F40" s="12">
        <f>IFERROR(PERCENTILE(F5:F39,0.1),"-")</f>
        <v>500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912.5</v>
      </c>
      <c r="E41" s="14" t="s">
        <v>7</v>
      </c>
      <c r="F41" s="15">
        <f>IFERROR(QUARTILE(F5:F39, 1),"-")</f>
        <v>600</v>
      </c>
    </row>
    <row r="42" spans="1:6" ht="15" x14ac:dyDescent="0.25">
      <c r="A42" s="9"/>
      <c r="B42" s="16"/>
      <c r="C42" s="17" t="s">
        <v>8</v>
      </c>
      <c r="D42" s="18">
        <f>IFERROR(MEDIAN(D5:D39),"-")</f>
        <v>975</v>
      </c>
      <c r="E42" s="17" t="s">
        <v>8</v>
      </c>
      <c r="F42" s="18">
        <f>IFERROR(MEDIAN(F5:F39),"-")</f>
        <v>800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1037.5</v>
      </c>
      <c r="E43" s="20" t="s">
        <v>9</v>
      </c>
      <c r="F43" s="21">
        <f>IFERROR(QUARTILE(F5:F39,3), "-")</f>
        <v>1000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1075</v>
      </c>
      <c r="E44" s="23" t="s">
        <v>10</v>
      </c>
      <c r="F44" s="24">
        <f>IFERROR(PERCENTILE(F5:F39,0.9),"-")</f>
        <v>1380.0000000000005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500</v>
      </c>
    </row>
    <row r="48" spans="1:6" ht="14.25" x14ac:dyDescent="0.2">
      <c r="C48" s="90" t="s">
        <v>7</v>
      </c>
      <c r="D48" s="91">
        <f>IFERROR(QUARTILE(D5:F39, 1),"-")</f>
        <v>600</v>
      </c>
    </row>
    <row r="49" spans="3:4" ht="14.25" x14ac:dyDescent="0.2">
      <c r="C49" s="92" t="s">
        <v>8</v>
      </c>
      <c r="D49" s="93">
        <f>IFERROR(MEDIAN(D5:D39,F5:F39),"-")</f>
        <v>800</v>
      </c>
    </row>
    <row r="50" spans="3:4" ht="14.25" x14ac:dyDescent="0.2">
      <c r="C50" s="94" t="s">
        <v>9</v>
      </c>
      <c r="D50" s="95">
        <f>IFERROR(QUARTILE(D5:F39,3), "-")</f>
        <v>1000</v>
      </c>
    </row>
    <row r="51" spans="3:4" ht="14.25" x14ac:dyDescent="0.2">
      <c r="C51" s="96" t="s">
        <v>10</v>
      </c>
      <c r="D51" s="97">
        <f>IFERROR(PERCENTILE(D5:F39,0.9),"-")</f>
        <v>1319.9999999999995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97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HYPERLINK("https://rabota.by/vacancy/52425979","Ареса-техно")</f>
        <v>Ареса-техно</v>
      </c>
      <c r="D5" s="8">
        <v>490</v>
      </c>
      <c r="E5" s="103" t="str">
        <f>HYPERLINK("https://rabota.by/resume/bab07ca80003fe53150013a3fa356972704568","Уборщик служебных помещений/ уборщик территории")</f>
        <v>Уборщик служебных помещений/ уборщик территории</v>
      </c>
      <c r="F5" s="8">
        <v>800</v>
      </c>
    </row>
    <row r="6" spans="1:6" ht="14.25" x14ac:dyDescent="0.2">
      <c r="A6" s="3"/>
      <c r="B6" s="6">
        <v>2</v>
      </c>
      <c r="C6" s="102" t="str">
        <f>HYPERLINK("https://rabota.by/vacancy/51633033","ЗАО Агрокомбинат Заря")</f>
        <v>ЗАО Агрокомбинат Заря</v>
      </c>
      <c r="D6" s="8">
        <v>460</v>
      </c>
      <c r="E6" s="103" t="str">
        <f>HYPERLINK("https://rabota.by/resume/7229d14300090298d00013a3fa636863455971","Уборщик служебных помещений/ уборщик территории")</f>
        <v>Уборщик служебных помещений/ уборщик территории</v>
      </c>
      <c r="F6" s="8">
        <v>800</v>
      </c>
    </row>
    <row r="7" spans="1:6" ht="14.25" x14ac:dyDescent="0.2">
      <c r="A7" s="3"/>
      <c r="B7" s="6">
        <v>3</v>
      </c>
      <c r="C7" s="102" t="str">
        <f>HYPERLINK("https://rabota.by/vacancy/51321334","Средняя школа № 20 г.Могилева")</f>
        <v>Средняя школа № 20 г.Могилева</v>
      </c>
      <c r="D7" s="8">
        <v>457</v>
      </c>
      <c r="E7" s="103" t="str">
        <f>HYPERLINK("https://rabota.by/resume/12d4454e0008e3628b0013a3fa41366e713143","Уборщик служебных помещений/ уборщик территории")</f>
        <v>Уборщик служебных помещений/ уборщик территории</v>
      </c>
      <c r="F7" s="8">
        <v>700</v>
      </c>
    </row>
    <row r="8" spans="1:6" ht="14.25" x14ac:dyDescent="0.2">
      <c r="A8" s="3"/>
      <c r="B8" s="6">
        <v>4</v>
      </c>
      <c r="C8" s="102" t="str">
        <f>HYPERLINK("https://rabota.by/vacancy/41682292","ЕВРООПТ")</f>
        <v>ЕВРООПТ</v>
      </c>
      <c r="D8" s="8">
        <v>550</v>
      </c>
      <c r="E8" s="103" t="str">
        <f>HYPERLINK("https://rabota.by/resume/edd0649600092b62950013a3fa4d4e59647437","Уборщик служебных помещений/ уборщик территории")</f>
        <v>Уборщик служебных помещений/ уборщик территории</v>
      </c>
      <c r="F8" s="8">
        <v>700</v>
      </c>
    </row>
    <row r="9" spans="1:6" ht="14.25" x14ac:dyDescent="0.2">
      <c r="A9" s="3"/>
      <c r="B9" s="6">
        <v>5</v>
      </c>
      <c r="C9" s="102" t="str">
        <f>HYPERLINK("https://rabota.by/vacancy/51431811","ООО Баир Вест")</f>
        <v>ООО Баир Вест</v>
      </c>
      <c r="D9" s="8">
        <v>500</v>
      </c>
      <c r="E9" s="103" t="str">
        <f>HYPERLINK("https://rabota.by/resume/855ebd9d00094d2b7a0013a3fa6c5533376c43","Уборщик служебных помещений/ уборщик территории")</f>
        <v>Уборщик служебных помещений/ уборщик территории</v>
      </c>
      <c r="F9" s="8">
        <v>700</v>
      </c>
    </row>
    <row r="10" spans="1:6" ht="14.25" x14ac:dyDescent="0.2">
      <c r="A10" s="3"/>
      <c r="B10" s="6">
        <v>6</v>
      </c>
      <c r="C10" s="102" t="str">
        <f>HYPERLINK("https://rabota.by/vacancy/52400243","ООО Сэльвин")</f>
        <v>ООО Сэльвин</v>
      </c>
      <c r="D10" s="8">
        <v>600</v>
      </c>
      <c r="E10" s="103" t="str">
        <f>HYPERLINK("https://rabota.by/resume/56f567ef000984f4c30013a3fa4579464b7650","Уборщик служебных помещений/ уборщик территории")</f>
        <v>Уборщик служебных помещений/ уборщик территории</v>
      </c>
      <c r="F10" s="8">
        <v>700</v>
      </c>
    </row>
    <row r="11" spans="1:6" ht="14.25" x14ac:dyDescent="0.2">
      <c r="A11" s="3"/>
      <c r="B11" s="6">
        <v>7</v>
      </c>
      <c r="C11" s="102" t="str">
        <f>HYPERLINK("https://rabota.by/vacancy/52285300","ОАО Гостиница Могилев")</f>
        <v>ОАО Гостиница Могилев</v>
      </c>
      <c r="D11" s="8">
        <v>500</v>
      </c>
      <c r="E11" s="103" t="str">
        <f>HYPERLINK("https://rabota.by/resume/bf004c12000864695e0013a3fa6a4366314b48","Уборщик служебных помещений/ уборщик территории")</f>
        <v>Уборщик служебных помещений/ уборщик территории</v>
      </c>
      <c r="F11" s="8">
        <v>600</v>
      </c>
    </row>
    <row r="12" spans="1:6" ht="14.25" x14ac:dyDescent="0.2">
      <c r="A12" s="3"/>
      <c r="B12" s="6">
        <v>8</v>
      </c>
      <c r="C12" s="102" t="str">
        <f>HYPERLINK("https://rabota.by/vacancy/51781141","ОАО Могилевский мясокомбинат")</f>
        <v>ОАО Могилевский мясокомбинат</v>
      </c>
      <c r="D12" s="8">
        <v>550</v>
      </c>
      <c r="E12" s="103" t="str">
        <f>HYPERLINK("https://rabota.by/resume/3d394d2800097db76b0013a3fa6d3338705843","Уборщик служебных помещений/ уборщик территории")</f>
        <v>Уборщик служебных помещений/ уборщик территории</v>
      </c>
      <c r="F12" s="8">
        <v>550</v>
      </c>
    </row>
    <row r="13" spans="1:6" ht="14.25" x14ac:dyDescent="0.2">
      <c r="A13" s="3"/>
      <c r="B13" s="6">
        <v>9</v>
      </c>
      <c r="C13" s="7"/>
      <c r="D13" s="8"/>
      <c r="E13" s="103" t="str">
        <f>HYPERLINK("https://rabota.by/resume/4b141e130005bc37490013a3fa63427a554473","Уборщик служебных помещений/ уборщик территории")</f>
        <v>Уборщик служебных помещений/ уборщик территории</v>
      </c>
      <c r="F13" s="8">
        <v>500</v>
      </c>
    </row>
    <row r="14" spans="1:6" ht="14.25" x14ac:dyDescent="0.2">
      <c r="A14" s="3"/>
      <c r="B14" s="6">
        <v>10</v>
      </c>
      <c r="C14" s="7"/>
      <c r="D14" s="8"/>
      <c r="E14" s="103" t="str">
        <f>HYPERLINK("https://rabota.by/resume/92041f950006c4d0150013a3fa486655516149","Уборщик служебных помещений/ уборщик территории")</f>
        <v>Уборщик служебных помещений/ уборщик территории</v>
      </c>
      <c r="F14" s="8">
        <v>500</v>
      </c>
    </row>
    <row r="15" spans="1:6" ht="14.25" x14ac:dyDescent="0.2">
      <c r="A15" s="3"/>
      <c r="B15" s="6">
        <v>11</v>
      </c>
      <c r="C15" s="7"/>
      <c r="D15" s="8"/>
      <c r="E15" s="103" t="str">
        <f>HYPERLINK("https://rabota.by/resume/4d5329a70007de7f840013a3fa64673274344f","Уборщик служебных помещений/ уборщик территории")</f>
        <v>Уборщик служебных помещений/ уборщик территории</v>
      </c>
      <c r="F15" s="8">
        <v>500</v>
      </c>
    </row>
    <row r="16" spans="1:6" ht="14.25" x14ac:dyDescent="0.2">
      <c r="A16" s="3"/>
      <c r="B16" s="6">
        <v>12</v>
      </c>
      <c r="C16" s="7"/>
      <c r="D16" s="8"/>
      <c r="E16" s="103" t="str">
        <f>HYPERLINK("https://rabota.by/resume/dde2937700086bd6d80013a3fa4257566b796e","Уборщик служебных помещений/ уборщик территории")</f>
        <v>Уборщик служебных помещений/ уборщик территории</v>
      </c>
      <c r="F16" s="8">
        <v>500</v>
      </c>
    </row>
    <row r="17" spans="1:6" ht="14.25" x14ac:dyDescent="0.2">
      <c r="A17" s="3"/>
      <c r="B17" s="6">
        <v>13</v>
      </c>
      <c r="C17" s="7"/>
      <c r="D17" s="8"/>
      <c r="E17" s="103" t="str">
        <f>HYPERLINK("https://rabota.by/resume/e6a616c200089932b40013a3fa4a756a4d554f","Уборщик служебных помещений/ уборщик территории")</f>
        <v>Уборщик служебных помещений/ уборщик территории</v>
      </c>
      <c r="F17" s="8">
        <v>500</v>
      </c>
    </row>
    <row r="18" spans="1:6" ht="14.25" x14ac:dyDescent="0.2">
      <c r="A18" s="3"/>
      <c r="B18" s="6">
        <v>14</v>
      </c>
      <c r="C18" s="7"/>
      <c r="D18" s="8"/>
      <c r="E18" s="103" t="str">
        <f>HYPERLINK("https://rabota.by/resume/57adf96f00090fdd8e0013a3fa7545796f7546","Уборщик служебных помещений/ уборщик территории")</f>
        <v>Уборщик служебных помещений/ уборщик территории</v>
      </c>
      <c r="F18" s="8">
        <v>500</v>
      </c>
    </row>
    <row r="19" spans="1:6" ht="14.25" x14ac:dyDescent="0.2">
      <c r="A19" s="3"/>
      <c r="B19" s="6">
        <v>15</v>
      </c>
      <c r="C19" s="7"/>
      <c r="D19" s="8"/>
      <c r="E19" s="103" t="str">
        <f>HYPERLINK("https://rabota.by/resume/69feacf8000926357e0013a3fa716245715337","Уборщик служебных помещений/ уборщик территории")</f>
        <v>Уборщик служебных помещений/ уборщик территории</v>
      </c>
      <c r="F19" s="8">
        <v>500</v>
      </c>
    </row>
    <row r="20" spans="1:6" ht="14.25" x14ac:dyDescent="0.2">
      <c r="A20" s="3"/>
      <c r="B20" s="6">
        <v>16</v>
      </c>
      <c r="C20" s="7"/>
      <c r="D20" s="8"/>
      <c r="E20" s="103" t="str">
        <f>HYPERLINK("https://rabota.by/resume/3a647f320009662fc70013a3fa336350324b6a","Уборщик служебных помещений/ уборщик территории")</f>
        <v>Уборщик служебных помещений/ уборщик территории</v>
      </c>
      <c r="F20" s="8">
        <v>500</v>
      </c>
    </row>
    <row r="21" spans="1:6" ht="14.25" x14ac:dyDescent="0.2">
      <c r="A21" s="3"/>
      <c r="B21" s="6">
        <v>17</v>
      </c>
      <c r="C21" s="7"/>
      <c r="D21" s="8"/>
      <c r="E21" s="103" t="str">
        <f>HYPERLINK("https://rabota.by/resume/dcd39969000799d9450013a3fa4c4674316563","Уборщик служебных помещений/ уборщик территории")</f>
        <v>Уборщик служебных помещений/ уборщик территории</v>
      </c>
      <c r="F21" s="8">
        <v>450</v>
      </c>
    </row>
    <row r="22" spans="1:6" ht="14.25" x14ac:dyDescent="0.2">
      <c r="A22" s="3"/>
      <c r="B22" s="6">
        <v>18</v>
      </c>
      <c r="C22" s="7"/>
      <c r="D22" s="8"/>
      <c r="E22" s="103" t="str">
        <f>HYPERLINK("https://rabota.by/resume/c9e023570007a7237d0013a3fa727758554877","Уборщик служебных помещений/ уборщик территории")</f>
        <v>Уборщик служебных помещений/ уборщик территории</v>
      </c>
      <c r="F22" s="8">
        <v>450</v>
      </c>
    </row>
    <row r="23" spans="1:6" ht="14.25" x14ac:dyDescent="0.2">
      <c r="A23" s="3"/>
      <c r="B23" s="6">
        <v>19</v>
      </c>
      <c r="C23" s="7"/>
      <c r="D23" s="8"/>
      <c r="E23" s="103" t="str">
        <f>HYPERLINK("https://rabota.by/resume/fbabe62f0007a8067b0013a3fa42326b564142","Уборщик служебных помещений/ уборщик территории")</f>
        <v>Уборщик служебных помещений/ уборщик территории</v>
      </c>
      <c r="F23" s="8">
        <v>450</v>
      </c>
    </row>
    <row r="24" spans="1:6" ht="14.25" x14ac:dyDescent="0.2">
      <c r="A24" s="3"/>
      <c r="B24" s="6">
        <v>20</v>
      </c>
      <c r="C24" s="7"/>
      <c r="D24" s="8"/>
      <c r="E24" s="103" t="str">
        <f>HYPERLINK("https://rabota.by/resume/297061cd0007ec29ef0013a3fa6858516d4676","Уборщик служебных помещений/ уборщик территории")</f>
        <v>Уборщик служебных помещений/ уборщик территории</v>
      </c>
      <c r="F24" s="8">
        <v>450</v>
      </c>
    </row>
    <row r="25" spans="1:6" ht="14.25" x14ac:dyDescent="0.2">
      <c r="A25" s="3"/>
      <c r="B25" s="6">
        <v>21</v>
      </c>
      <c r="C25" s="7"/>
      <c r="D25" s="8"/>
      <c r="E25" s="103" t="str">
        <f>HYPERLINK("https://rabota.by/resume/3ceba94d000551f33f0013a3fa38634b567251","Уборщик служебных помещений/ уборщик территории")</f>
        <v>Уборщик служебных помещений/ уборщик территории</v>
      </c>
      <c r="F25" s="8">
        <v>400</v>
      </c>
    </row>
    <row r="26" spans="1:6" ht="14.25" x14ac:dyDescent="0.2">
      <c r="A26" s="3"/>
      <c r="B26" s="6">
        <v>22</v>
      </c>
      <c r="C26" s="7"/>
      <c r="D26" s="8"/>
      <c r="E26" s="103" t="str">
        <f>HYPERLINK("https://rabota.by/resume/8a47645e000552b24d0013a3fa525762705936","Уборщик служебных помещений/ уборщик территории")</f>
        <v>Уборщик служебных помещений/ уборщик территории</v>
      </c>
      <c r="F26" s="8">
        <v>400</v>
      </c>
    </row>
    <row r="27" spans="1:6" ht="14.25" x14ac:dyDescent="0.2">
      <c r="A27" s="3"/>
      <c r="B27" s="6">
        <v>23</v>
      </c>
      <c r="C27" s="7"/>
      <c r="D27" s="8"/>
      <c r="E27" s="103" t="str">
        <f>HYPERLINK("https://rabota.by/resume/8728cef200055506b70013a3fa474a76707739","Уборщик служебных помещений/ уборщик территории")</f>
        <v>Уборщик служебных помещений/ уборщик территории</v>
      </c>
      <c r="F27" s="8">
        <v>400</v>
      </c>
    </row>
    <row r="28" spans="1:6" ht="14.25" x14ac:dyDescent="0.2">
      <c r="A28" s="3"/>
      <c r="B28" s="6">
        <v>24</v>
      </c>
      <c r="C28" s="7"/>
      <c r="D28" s="8"/>
      <c r="E28" s="103" t="str">
        <f>HYPERLINK("https://rabota.by/resume/31dbde8900055bb18e0013a3fa35434f57536b","Уборщик служебных помещений/ уборщик территории")</f>
        <v>Уборщик служебных помещений/ уборщик территории</v>
      </c>
      <c r="F28" s="8">
        <v>400</v>
      </c>
    </row>
    <row r="29" spans="1:6" ht="14.25" x14ac:dyDescent="0.2">
      <c r="A29" s="3"/>
      <c r="B29" s="6">
        <v>25</v>
      </c>
      <c r="C29" s="7"/>
      <c r="D29" s="8"/>
      <c r="E29" s="103" t="str">
        <f>HYPERLINK("https://rabota.by/resume/3d92e40100057cea230013a3fa4d4853626177","Уборщик служебных помещений/ уборщик территории")</f>
        <v>Уборщик служебных помещений/ уборщик территории</v>
      </c>
      <c r="F29" s="8">
        <v>400</v>
      </c>
    </row>
    <row r="30" spans="1:6" ht="14.25" x14ac:dyDescent="0.2">
      <c r="A30" s="3"/>
      <c r="B30" s="6">
        <v>26</v>
      </c>
      <c r="C30" s="7"/>
      <c r="D30" s="8"/>
      <c r="E30" s="103" t="str">
        <f>HYPERLINK("https://rabota.by/resume/4a7fd4a30005eef7960013a3fa6f5750336d35","Уборщик служебных помещений/ уборщик территории")</f>
        <v>Уборщик служебных помещений/ уборщик территории</v>
      </c>
      <c r="F30" s="8">
        <v>400</v>
      </c>
    </row>
    <row r="31" spans="1:6" ht="14.25" x14ac:dyDescent="0.2">
      <c r="A31" s="3"/>
      <c r="B31" s="6">
        <v>27</v>
      </c>
      <c r="C31" s="7"/>
      <c r="D31" s="8"/>
      <c r="E31" s="103" t="str">
        <f>HYPERLINK("https://rabota.by/resume/346008f400064ce7d20013a3fa6d366b34724e","Уборщик служебных помещений/ уборщик территории")</f>
        <v>Уборщик служебных помещений/ уборщик территории</v>
      </c>
      <c r="F31" s="8">
        <v>400</v>
      </c>
    </row>
    <row r="32" spans="1:6" ht="14.25" x14ac:dyDescent="0.2">
      <c r="A32" s="3"/>
      <c r="B32" s="6">
        <v>28</v>
      </c>
      <c r="C32" s="7"/>
      <c r="D32" s="8"/>
      <c r="E32" s="103" t="str">
        <f>HYPERLINK("https://rabota.by/resume/ffd1b3ba000660b4400013a3fa6b6153736977","Уборщик служебных помещений/ уборщик территории")</f>
        <v>Уборщик служебных помещений/ уборщик территории</v>
      </c>
      <c r="F32" s="8">
        <v>400</v>
      </c>
    </row>
    <row r="33" spans="1:6" ht="14.25" x14ac:dyDescent="0.2">
      <c r="A33" s="3"/>
      <c r="B33" s="6">
        <v>29</v>
      </c>
      <c r="C33" s="7"/>
      <c r="D33" s="8"/>
      <c r="E33" s="103" t="str">
        <f>HYPERLINK("https://rabota.by/resume/b7df720a00067ef2230013a3fa7a736878666e","Уборщик служебных помещений/ уборщик территории")</f>
        <v>Уборщик служебных помещений/ уборщик территории</v>
      </c>
      <c r="F33" s="8">
        <v>400</v>
      </c>
    </row>
    <row r="34" spans="1:6" ht="14.25" x14ac:dyDescent="0.2">
      <c r="A34" s="3"/>
      <c r="B34" s="6">
        <v>30</v>
      </c>
      <c r="C34" s="7"/>
      <c r="D34" s="8"/>
      <c r="E34" s="103" t="str">
        <f>HYPERLINK("https://rabota.by/resume/cb70c8960006a282de0013a3fa526656494738","Уборщик служебных помещений/ уборщик территории")</f>
        <v>Уборщик служебных помещений/ уборщик территории</v>
      </c>
      <c r="F34" s="8">
        <v>400</v>
      </c>
    </row>
    <row r="35" spans="1:6" ht="14.25" x14ac:dyDescent="0.2">
      <c r="A35" s="3"/>
      <c r="B35" s="6">
        <v>31</v>
      </c>
      <c r="C35" s="7"/>
      <c r="D35" s="8"/>
      <c r="E35" s="103" t="str">
        <f>HYPERLINK("https://rabota.by/resume/499c61450006c0128f0013a3fa733542535376","Уборщик служебных помещений/ уборщик территории")</f>
        <v>Уборщик служебных помещений/ уборщик территории</v>
      </c>
      <c r="F35" s="8">
        <v>400</v>
      </c>
    </row>
    <row r="36" spans="1:6" ht="14.25" x14ac:dyDescent="0.2">
      <c r="A36" s="3"/>
      <c r="B36" s="6">
        <v>32</v>
      </c>
      <c r="C36" s="7"/>
      <c r="D36" s="8"/>
      <c r="E36" s="103" t="str">
        <f>HYPERLINK("https://rabota.by/resume/0044921d0007e458500013a3fa69487a615254","Уборщик служебных помещений/ уборщик территории")</f>
        <v>Уборщик служебных помещений/ уборщик территории</v>
      </c>
      <c r="F36" s="8">
        <v>400</v>
      </c>
    </row>
    <row r="37" spans="1:6" ht="14.25" x14ac:dyDescent="0.2">
      <c r="A37" s="3"/>
      <c r="B37" s="6">
        <v>33</v>
      </c>
      <c r="C37" s="7"/>
      <c r="D37" s="8"/>
      <c r="E37" s="103" t="str">
        <f>HYPERLINK("https://rabota.by/resume/1a7c71190008280b950013a3fa3850674f5651","Уборщик служебных помещений/ уборщик территории")</f>
        <v>Уборщик служебных помещений/ уборщик территории</v>
      </c>
      <c r="F37" s="8">
        <v>400</v>
      </c>
    </row>
    <row r="38" spans="1:6" ht="14.25" x14ac:dyDescent="0.2">
      <c r="A38" s="3"/>
      <c r="B38" s="6">
        <v>34</v>
      </c>
      <c r="C38" s="7"/>
      <c r="D38" s="8"/>
      <c r="E38" s="103" t="str">
        <f>HYPERLINK("https://rabota.by/resume/06d3a08b0007c7f88e0013a3fa456f6c374a64","Уборщик служебных помещений/ уборщик территории")</f>
        <v>Уборщик служебных помещений/ уборщик территории</v>
      </c>
      <c r="F38" s="8">
        <v>375</v>
      </c>
    </row>
    <row r="39" spans="1:6" ht="14.25" x14ac:dyDescent="0.2">
      <c r="A39" s="3"/>
      <c r="B39" s="6">
        <v>35</v>
      </c>
      <c r="C39" s="7"/>
      <c r="D39" s="8"/>
      <c r="E39" s="103" t="str">
        <f>HYPERLINK("https://rabota.by/resume/574e64e60007a144d90013a3fa6e7a36624d63","Уборщик служебных помещений/ уборщик территории")</f>
        <v>Уборщик служебных помещений/ уборщик территории</v>
      </c>
      <c r="F39" s="8">
        <v>370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459.1</v>
      </c>
      <c r="E40" s="11" t="s">
        <v>6</v>
      </c>
      <c r="F40" s="12">
        <f>IFERROR(PERCENTILE(F5:F39,0.1),"-")</f>
        <v>400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482.5</v>
      </c>
      <c r="E41" s="14" t="s">
        <v>7</v>
      </c>
      <c r="F41" s="15">
        <f>IFERROR(QUARTILE(F5:F39, 1),"-")</f>
        <v>400</v>
      </c>
    </row>
    <row r="42" spans="1:6" ht="15" x14ac:dyDescent="0.25">
      <c r="A42" s="9"/>
      <c r="B42" s="16"/>
      <c r="C42" s="17" t="s">
        <v>8</v>
      </c>
      <c r="D42" s="18">
        <f>IFERROR(MEDIAN(D5:D39),"-")</f>
        <v>500</v>
      </c>
      <c r="E42" s="17" t="s">
        <v>8</v>
      </c>
      <c r="F42" s="18">
        <f>IFERROR(MEDIAN(F5:F39),"-")</f>
        <v>450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550</v>
      </c>
      <c r="E43" s="20" t="s">
        <v>9</v>
      </c>
      <c r="F43" s="21">
        <f>IFERROR(QUARTILE(F5:F39,3), "-")</f>
        <v>500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565</v>
      </c>
      <c r="E44" s="23" t="s">
        <v>10</v>
      </c>
      <c r="F44" s="24">
        <f>IFERROR(PERCENTILE(F5:F39,0.9),"-")</f>
        <v>700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400</v>
      </c>
    </row>
    <row r="48" spans="1:6" ht="14.25" x14ac:dyDescent="0.2">
      <c r="C48" s="90" t="s">
        <v>7</v>
      </c>
      <c r="D48" s="91">
        <f>IFERROR(QUARTILE(D5:F39, 1),"-")</f>
        <v>400</v>
      </c>
    </row>
    <row r="49" spans="3:4" ht="14.25" x14ac:dyDescent="0.2">
      <c r="C49" s="92" t="s">
        <v>8</v>
      </c>
      <c r="D49" s="93">
        <f>IFERROR(MEDIAN(D5:D39,F5:F39),"-")</f>
        <v>490</v>
      </c>
    </row>
    <row r="50" spans="3:4" ht="14.25" x14ac:dyDescent="0.2">
      <c r="C50" s="94" t="s">
        <v>9</v>
      </c>
      <c r="D50" s="95">
        <f>IFERROR(QUARTILE(D5:F39,3), "-")</f>
        <v>525</v>
      </c>
    </row>
    <row r="51" spans="3:4" ht="14.25" x14ac:dyDescent="0.2">
      <c r="C51" s="96" t="s">
        <v>10</v>
      </c>
      <c r="D51" s="97">
        <f>IFERROR(PERCENTILE(D5:F39,0.9),"-")</f>
        <v>700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89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HYPERLINK("https://rabota.by/vacancy/50655419","ЕВРООПТ")</f>
        <v>ЕВРООПТ</v>
      </c>
      <c r="D5" s="8">
        <v>870</v>
      </c>
      <c r="E5" s="103" t="str">
        <f>HYPERLINK("https://rabota.by/resume/ada72e2900092ab2a30013a3fa3955494c7a57","Слесарь-сантехник")</f>
        <v>Слесарь-сантехник</v>
      </c>
      <c r="F5" s="8">
        <v>1500</v>
      </c>
    </row>
    <row r="6" spans="1:6" ht="14.25" x14ac:dyDescent="0.2">
      <c r="A6" s="3"/>
      <c r="B6" s="6">
        <v>2</v>
      </c>
      <c r="C6" s="7"/>
      <c r="D6" s="8"/>
      <c r="E6" s="103" t="str">
        <f>HYPERLINK("https://rabota.by/resume/8ad713480005424bb90013a3fa734e6f753746","Слесарь-сантехник")</f>
        <v>Слесарь-сантехник</v>
      </c>
      <c r="F6" s="8">
        <v>1500</v>
      </c>
    </row>
    <row r="7" spans="1:6" ht="14.25" x14ac:dyDescent="0.2">
      <c r="A7" s="3"/>
      <c r="B7" s="6">
        <v>3</v>
      </c>
      <c r="C7" s="7"/>
      <c r="D7" s="8"/>
      <c r="E7" s="103" t="str">
        <f>HYPERLINK("https://rabota.by/resume/c03fa3a80005a79f150013a3fa4d667a4d446c","Слесарь-сантехник")</f>
        <v>Слесарь-сантехник</v>
      </c>
      <c r="F7" s="8">
        <v>1300</v>
      </c>
    </row>
    <row r="8" spans="1:6" ht="14.25" x14ac:dyDescent="0.2">
      <c r="A8" s="3"/>
      <c r="B8" s="6">
        <v>4</v>
      </c>
      <c r="C8" s="7"/>
      <c r="D8" s="8"/>
      <c r="E8" s="103" t="str">
        <f>HYPERLINK("https://rabota.by/resume/b05fa0cf000795defd0013a3fa50674d6c4a35","Слесарь-сантехник")</f>
        <v>Слесарь-сантехник</v>
      </c>
      <c r="F8" s="8">
        <v>1200</v>
      </c>
    </row>
    <row r="9" spans="1:6" ht="14.25" x14ac:dyDescent="0.2">
      <c r="A9" s="3"/>
      <c r="B9" s="6">
        <v>5</v>
      </c>
      <c r="C9" s="7"/>
      <c r="D9" s="8"/>
      <c r="E9" s="103" t="str">
        <f>HYPERLINK("https://rabota.by/resume/00faa02000097615c20013a3fa4d4166433168","Слесарь-сантехник")</f>
        <v>Слесарь-сантехник</v>
      </c>
      <c r="F9" s="8">
        <v>1200</v>
      </c>
    </row>
    <row r="10" spans="1:6" ht="14.25" x14ac:dyDescent="0.2">
      <c r="A10" s="3"/>
      <c r="B10" s="6">
        <v>6</v>
      </c>
      <c r="C10" s="7"/>
      <c r="D10" s="8"/>
      <c r="E10" s="103" t="str">
        <f>HYPERLINK("https://rabota.by/resume/ea844f16000904c7970013a3fa5476685a5776","Слесарь-сантехник")</f>
        <v>Слесарь-сантехник</v>
      </c>
      <c r="F10" s="8">
        <v>1200</v>
      </c>
    </row>
    <row r="11" spans="1:6" ht="14.25" x14ac:dyDescent="0.2">
      <c r="A11" s="3"/>
      <c r="B11" s="6">
        <v>7</v>
      </c>
      <c r="C11" s="7"/>
      <c r="D11" s="8"/>
      <c r="E11" s="103" t="str">
        <f>HYPERLINK("https://rabota.by/resume/446a8daa000575ad740013a3fa4b4c454e654c","Слесарь-сантехник")</f>
        <v>Слесарь-сантехник</v>
      </c>
      <c r="F11" s="8">
        <v>1200</v>
      </c>
    </row>
    <row r="12" spans="1:6" ht="14.25" x14ac:dyDescent="0.2">
      <c r="A12" s="3"/>
      <c r="B12" s="6">
        <v>8</v>
      </c>
      <c r="C12" s="7"/>
      <c r="D12" s="8"/>
      <c r="E12" s="103" t="str">
        <f>HYPERLINK("https://rabota.by/resume/f7541acc00045e63040013a3fa59314c705941","Слесарь-сантехник")</f>
        <v>Слесарь-сантехник</v>
      </c>
      <c r="F12" s="8">
        <v>1100</v>
      </c>
    </row>
    <row r="13" spans="1:6" ht="14.25" x14ac:dyDescent="0.2">
      <c r="A13" s="3"/>
      <c r="B13" s="6">
        <v>9</v>
      </c>
      <c r="C13" s="7"/>
      <c r="D13" s="8"/>
      <c r="E13" s="103" t="str">
        <f>HYPERLINK("https://rabota.by/resume/d874817a0008b0d2770013a3fa563243366a70","Слесарь-сантехник")</f>
        <v>Слесарь-сантехник</v>
      </c>
      <c r="F13" s="8">
        <v>1050</v>
      </c>
    </row>
    <row r="14" spans="1:6" ht="14.25" x14ac:dyDescent="0.2">
      <c r="A14" s="3"/>
      <c r="B14" s="6">
        <v>10</v>
      </c>
      <c r="C14" s="7"/>
      <c r="D14" s="8"/>
      <c r="E14" s="103" t="str">
        <f>HYPERLINK("https://rabota.by/resume/c904bd7900085ee8b20013a3fa6f7545596946","Слесарь-сантехник")</f>
        <v>Слесарь-сантехник</v>
      </c>
      <c r="F14" s="8">
        <v>1000</v>
      </c>
    </row>
    <row r="15" spans="1:6" ht="14.25" x14ac:dyDescent="0.2">
      <c r="A15" s="3"/>
      <c r="B15" s="6">
        <v>11</v>
      </c>
      <c r="C15" s="7"/>
      <c r="D15" s="8"/>
      <c r="E15" s="103" t="str">
        <f>HYPERLINK("https://rabota.by/resume/a33f374800067333a30013a3fa73577250334a","Слесарь-сантехник")</f>
        <v>Слесарь-сантехник</v>
      </c>
      <c r="F15" s="8">
        <v>1000</v>
      </c>
    </row>
    <row r="16" spans="1:6" ht="14.25" x14ac:dyDescent="0.2">
      <c r="A16" s="3"/>
      <c r="B16" s="6">
        <v>12</v>
      </c>
      <c r="C16" s="7"/>
      <c r="D16" s="8"/>
      <c r="E16" s="103" t="str">
        <f>HYPERLINK("https://rabota.by/resume/cbd63b5a0008d8e2410013a3fa335532454355","Слесарь-сантехник")</f>
        <v>Слесарь-сантехник</v>
      </c>
      <c r="F16" s="8">
        <v>1000</v>
      </c>
    </row>
    <row r="17" spans="1:6" ht="14.25" x14ac:dyDescent="0.2">
      <c r="A17" s="3"/>
      <c r="B17" s="6">
        <v>13</v>
      </c>
      <c r="C17" s="7"/>
      <c r="D17" s="8"/>
      <c r="E17" s="103" t="str">
        <f>HYPERLINK("https://rabota.by/resume/c4a1489100065b14290013a3fa75777a32316d","Слесарь-сантехник")</f>
        <v>Слесарь-сантехник</v>
      </c>
      <c r="F17" s="8">
        <v>1000</v>
      </c>
    </row>
    <row r="18" spans="1:6" ht="14.25" x14ac:dyDescent="0.2">
      <c r="A18" s="3"/>
      <c r="B18" s="6">
        <v>14</v>
      </c>
      <c r="C18" s="7"/>
      <c r="D18" s="8"/>
      <c r="E18" s="103" t="str">
        <f>HYPERLINK("https://rabota.by/resume/9c6892290006a4af950013a3fa454a375a3735","Слесарь-сантехник")</f>
        <v>Слесарь-сантехник</v>
      </c>
      <c r="F18" s="8">
        <v>1000</v>
      </c>
    </row>
    <row r="19" spans="1:6" ht="14.25" x14ac:dyDescent="0.2">
      <c r="A19" s="3"/>
      <c r="B19" s="6">
        <v>15</v>
      </c>
      <c r="C19" s="7"/>
      <c r="D19" s="8"/>
      <c r="E19" s="103" t="str">
        <f>HYPERLINK("https://rabota.by/resume/a710a7da000323f5fb0013a3fa626f70527266","Слесарь-сантехник")</f>
        <v>Слесарь-сантехник</v>
      </c>
      <c r="F19" s="8">
        <v>1000</v>
      </c>
    </row>
    <row r="20" spans="1:6" ht="14.25" x14ac:dyDescent="0.2">
      <c r="A20" s="3"/>
      <c r="B20" s="6">
        <v>16</v>
      </c>
      <c r="C20" s="7"/>
      <c r="D20" s="8"/>
      <c r="E20" s="103" t="str">
        <f>HYPERLINK("https://rabota.by/resume/6f0c35ef0007e53c2c0013a3fa35764a653735","Слесарь-сантехник")</f>
        <v>Слесарь-сантехник</v>
      </c>
      <c r="F20" s="8">
        <v>850</v>
      </c>
    </row>
    <row r="21" spans="1:6" ht="14.25" x14ac:dyDescent="0.2">
      <c r="A21" s="3"/>
      <c r="B21" s="6">
        <v>17</v>
      </c>
      <c r="C21" s="7"/>
      <c r="D21" s="8"/>
      <c r="E21" s="103" t="str">
        <f>HYPERLINK("https://rabota.by/resume/5945e281000935fa5f0013a3fa503162386f58","Слесарь-сантехник")</f>
        <v>Слесарь-сантехник</v>
      </c>
      <c r="F21" s="8">
        <v>800</v>
      </c>
    </row>
    <row r="22" spans="1:6" ht="14.25" x14ac:dyDescent="0.2">
      <c r="A22" s="3"/>
      <c r="B22" s="6">
        <v>18</v>
      </c>
      <c r="C22" s="7"/>
      <c r="D22" s="8"/>
      <c r="E22" s="103" t="str">
        <f>HYPERLINK("https://rabota.by/resume/b5bc3f030008d693f80013a3fa36366371704b","Слесарь-сантехник")</f>
        <v>Слесарь-сантехник</v>
      </c>
      <c r="F22" s="8">
        <v>800</v>
      </c>
    </row>
    <row r="23" spans="1:6" ht="14.25" x14ac:dyDescent="0.2">
      <c r="A23" s="3"/>
      <c r="B23" s="6">
        <v>19</v>
      </c>
      <c r="C23" s="7"/>
      <c r="D23" s="8"/>
      <c r="E23" s="103" t="str">
        <f>HYPERLINK("https://rabota.by/resume/95498aed00098b68540013a3fa66556b475845","Слесарь-сантехник")</f>
        <v>Слесарь-сантехник</v>
      </c>
      <c r="F23" s="8">
        <v>750</v>
      </c>
    </row>
    <row r="24" spans="1:6" ht="14.25" x14ac:dyDescent="0.2">
      <c r="A24" s="3"/>
      <c r="B24" s="6">
        <v>20</v>
      </c>
      <c r="C24" s="7"/>
      <c r="D24" s="8"/>
      <c r="E24" s="103" t="str">
        <f>HYPERLINK("https://rabota.by/resume/33b6bb4500094400510013a3fa685a3075526a","Слесарь-сантехник")</f>
        <v>Слесарь-сантехник</v>
      </c>
      <c r="F24" s="8">
        <v>700</v>
      </c>
    </row>
    <row r="25" spans="1:6" ht="14.25" x14ac:dyDescent="0.2">
      <c r="A25" s="3"/>
      <c r="B25" s="6">
        <v>21</v>
      </c>
      <c r="C25" s="7"/>
      <c r="D25" s="8"/>
      <c r="E25" s="103" t="str">
        <f>HYPERLINK("https://rabota.by/resume/14069f6d00084950690013a3fa486e30376d6b","Слесарь-сантехник")</f>
        <v>Слесарь-сантехник</v>
      </c>
      <c r="F25" s="8">
        <v>700</v>
      </c>
    </row>
    <row r="26" spans="1:6" ht="14.25" x14ac:dyDescent="0.2">
      <c r="A26" s="3"/>
      <c r="B26" s="6">
        <v>22</v>
      </c>
      <c r="C26" s="7"/>
      <c r="D26" s="8"/>
      <c r="E26" s="103" t="str">
        <f>HYPERLINK("https://rabota.by/resume/6ce89392000270a46a0013a3fa483661694371","Слесарь-сантехник")</f>
        <v>Слесарь-сантехник</v>
      </c>
      <c r="F26" s="8">
        <v>700</v>
      </c>
    </row>
    <row r="27" spans="1:6" ht="14.25" x14ac:dyDescent="0.2">
      <c r="A27" s="3"/>
      <c r="B27" s="6">
        <v>23</v>
      </c>
      <c r="C27" s="7"/>
      <c r="D27" s="8"/>
      <c r="E27" s="103" t="str">
        <f>HYPERLINK("https://rabota.by/resume/cbf5714600058d201b0013a3fa364b59563156","Слесарь-сантехник")</f>
        <v>Слесарь-сантехник</v>
      </c>
      <c r="F27" s="8">
        <v>700</v>
      </c>
    </row>
    <row r="28" spans="1:6" ht="14.25" x14ac:dyDescent="0.2">
      <c r="A28" s="3"/>
      <c r="B28" s="6">
        <v>24</v>
      </c>
      <c r="C28" s="7"/>
      <c r="D28" s="8"/>
      <c r="E28" s="103" t="str">
        <f>HYPERLINK("https://rabota.by/resume/5406853d000555ff100013a3fa746d42386368","Слесарь-сантехник")</f>
        <v>Слесарь-сантехник</v>
      </c>
      <c r="F28" s="8">
        <v>700</v>
      </c>
    </row>
    <row r="29" spans="1:6" ht="14.25" x14ac:dyDescent="0.2">
      <c r="A29" s="3"/>
      <c r="B29" s="6">
        <v>25</v>
      </c>
      <c r="C29" s="7"/>
      <c r="D29" s="8"/>
      <c r="E29" s="103" t="str">
        <f>HYPERLINK("https://rabota.by/resume/a3c027c5000249f8990013a3fa615832316436","Слесарь-сантехник")</f>
        <v>Слесарь-сантехник</v>
      </c>
      <c r="F29" s="8">
        <v>700</v>
      </c>
    </row>
    <row r="30" spans="1:6" ht="14.25" x14ac:dyDescent="0.2">
      <c r="A30" s="3"/>
      <c r="B30" s="6">
        <v>26</v>
      </c>
      <c r="C30" s="7"/>
      <c r="D30" s="8"/>
      <c r="E30" s="103" t="str">
        <f>HYPERLINK("https://rabota.by/resume/14e3de3900061190c60013a3fa6b415369526c","Слесарь-сантехник")</f>
        <v>Слесарь-сантехник</v>
      </c>
      <c r="F30" s="8">
        <v>600</v>
      </c>
    </row>
    <row r="31" spans="1:6" ht="14.25" x14ac:dyDescent="0.2">
      <c r="A31" s="3"/>
      <c r="B31" s="6">
        <v>27</v>
      </c>
      <c r="C31" s="7"/>
      <c r="D31" s="8"/>
      <c r="E31" s="103" t="str">
        <f>HYPERLINK("https://rabota.by/resume/9347f26800058fc8b10013a3fa4e7a57326653","Слесарь-сантехник")</f>
        <v>Слесарь-сантехник</v>
      </c>
      <c r="F31" s="8">
        <v>600</v>
      </c>
    </row>
    <row r="32" spans="1:6" ht="14.25" x14ac:dyDescent="0.2">
      <c r="A32" s="3"/>
      <c r="B32" s="6">
        <v>28</v>
      </c>
      <c r="C32" s="7"/>
      <c r="D32" s="8"/>
      <c r="E32" s="103" t="str">
        <f>HYPERLINK("https://rabota.by/resume/600106a7000553d4a80013a3fa653761593863","Слесарь-сантехник")</f>
        <v>Слесарь-сантехник</v>
      </c>
      <c r="F32" s="8">
        <v>600</v>
      </c>
    </row>
    <row r="33" spans="1:6" ht="14.25" x14ac:dyDescent="0.2">
      <c r="A33" s="3"/>
      <c r="B33" s="6">
        <v>29</v>
      </c>
      <c r="C33" s="7"/>
      <c r="D33" s="8"/>
      <c r="E33" s="103" t="str">
        <f>HYPERLINK("https://rabota.by/resume/f6e33b4300038feb330013a3fa31326e636a56","Слесарь-сантехник")</f>
        <v>Слесарь-сантехник</v>
      </c>
      <c r="F33" s="8">
        <v>600</v>
      </c>
    </row>
    <row r="34" spans="1:6" ht="14.25" x14ac:dyDescent="0.2">
      <c r="A34" s="3"/>
      <c r="B34" s="6">
        <v>30</v>
      </c>
      <c r="C34" s="7"/>
      <c r="D34" s="8"/>
      <c r="E34" s="103" t="str">
        <f>HYPERLINK("https://rabota.by/resume/050cad6a0003372c300013a3fa6557626a3035","Слесарь-сантехник")</f>
        <v>Слесарь-сантехник</v>
      </c>
      <c r="F34" s="8">
        <v>600</v>
      </c>
    </row>
    <row r="35" spans="1:6" ht="14.25" x14ac:dyDescent="0.2">
      <c r="A35" s="3"/>
      <c r="B35" s="6">
        <v>31</v>
      </c>
      <c r="C35" s="7"/>
      <c r="D35" s="8"/>
      <c r="E35" s="103" t="str">
        <f>HYPERLINK("https://rabota.by/resume/5ea0f15100025de12d0013a3fa64497242646a","Слесарь-сантехник")</f>
        <v>Слесарь-сантехник</v>
      </c>
      <c r="F35" s="8">
        <v>600</v>
      </c>
    </row>
    <row r="36" spans="1:6" ht="14.25" x14ac:dyDescent="0.2">
      <c r="A36" s="3"/>
      <c r="B36" s="6">
        <v>32</v>
      </c>
      <c r="C36" s="7"/>
      <c r="D36" s="8"/>
      <c r="E36" s="103" t="str">
        <f>HYPERLINK("https://rabota.by/resume/4897bd5d00066d23be0013a3fa664e596b4f49","Слесарь-сантехник")</f>
        <v>Слесарь-сантехник</v>
      </c>
      <c r="F36" s="8">
        <v>500</v>
      </c>
    </row>
    <row r="37" spans="1:6" ht="14.25" x14ac:dyDescent="0.2">
      <c r="A37" s="3"/>
      <c r="B37" s="6">
        <v>33</v>
      </c>
      <c r="C37" s="7"/>
      <c r="D37" s="8"/>
      <c r="E37" s="103" t="str">
        <f>HYPERLINK("https://rabota.by/resume/57322ad800039bbfba0013a3fa59777539306d","Слесарь-сантехник")</f>
        <v>Слесарь-сантехник</v>
      </c>
      <c r="F37" s="8">
        <v>500</v>
      </c>
    </row>
    <row r="38" spans="1:6" ht="14.25" x14ac:dyDescent="0.2">
      <c r="A38" s="3"/>
      <c r="B38" s="6">
        <v>34</v>
      </c>
      <c r="C38" s="7"/>
      <c r="D38" s="8"/>
      <c r="E38" s="103" t="str">
        <f>HYPERLINK("https://rabota.by/resume/1469e5cd00086f8f360013a3fa3877676f4157","Слесарь-сантехник")</f>
        <v>Слесарь-сантехник</v>
      </c>
      <c r="F38" s="8">
        <v>500</v>
      </c>
    </row>
    <row r="39" spans="1:6" ht="14.25" x14ac:dyDescent="0.2">
      <c r="A39" s="3"/>
      <c r="B39" s="6">
        <v>35</v>
      </c>
      <c r="C39" s="7"/>
      <c r="D39" s="8"/>
      <c r="E39" s="103" t="str">
        <f>HYPERLINK("https://rabota.by/resume/a7f536e800066c26500013a3fa687954634434","Слесарь-сантехник")</f>
        <v>Слесарь-сантехник</v>
      </c>
      <c r="F39" s="8">
        <v>500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870</v>
      </c>
      <c r="E40" s="11" t="s">
        <v>6</v>
      </c>
      <c r="F40" s="12">
        <f>IFERROR(PERCENTILE(F5:F39,0.1),"-")</f>
        <v>540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870</v>
      </c>
      <c r="E41" s="14" t="s">
        <v>7</v>
      </c>
      <c r="F41" s="15">
        <f>IFERROR(QUARTILE(F5:F39, 1),"-")</f>
        <v>600</v>
      </c>
    </row>
    <row r="42" spans="1:6" ht="15" x14ac:dyDescent="0.25">
      <c r="A42" s="9"/>
      <c r="B42" s="16"/>
      <c r="C42" s="17" t="s">
        <v>8</v>
      </c>
      <c r="D42" s="18">
        <f>IFERROR(MEDIAN(D5:D39),"-")</f>
        <v>870</v>
      </c>
      <c r="E42" s="17" t="s">
        <v>8</v>
      </c>
      <c r="F42" s="18">
        <f>IFERROR(MEDIAN(F5:F39),"-")</f>
        <v>800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870</v>
      </c>
      <c r="E43" s="20" t="s">
        <v>9</v>
      </c>
      <c r="F43" s="21">
        <f>IFERROR(QUARTILE(F5:F39,3), "-")</f>
        <v>1025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870</v>
      </c>
      <c r="E44" s="23" t="s">
        <v>10</v>
      </c>
      <c r="F44" s="24">
        <f>IFERROR(PERCENTILE(F5:F39,0.9),"-")</f>
        <v>1200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550</v>
      </c>
    </row>
    <row r="48" spans="1:6" ht="14.25" x14ac:dyDescent="0.2">
      <c r="C48" s="90" t="s">
        <v>7</v>
      </c>
      <c r="D48" s="91">
        <f>IFERROR(QUARTILE(D5:F39, 1),"-")</f>
        <v>600</v>
      </c>
    </row>
    <row r="49" spans="3:4" ht="14.25" x14ac:dyDescent="0.2">
      <c r="C49" s="92" t="s">
        <v>8</v>
      </c>
      <c r="D49" s="93">
        <f>IFERROR(MEDIAN(D5:D39,F5:F39),"-")</f>
        <v>800</v>
      </c>
    </row>
    <row r="50" spans="3:4" ht="14.25" x14ac:dyDescent="0.2">
      <c r="C50" s="94" t="s">
        <v>9</v>
      </c>
      <c r="D50" s="95">
        <f>IFERROR(QUARTILE(D5:F39,3), "-")</f>
        <v>1012.5</v>
      </c>
    </row>
    <row r="51" spans="3:4" ht="14.25" x14ac:dyDescent="0.2">
      <c r="C51" s="96" t="s">
        <v>10</v>
      </c>
      <c r="D51" s="97">
        <f>IFERROR(PERCENTILE(D5:F39,0.9),"-")</f>
        <v>1200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87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HYPERLINK("https://rabota.by/vacancy/49251650","ЗАО Доброном")</f>
        <v>ЗАО Доброном</v>
      </c>
      <c r="D5" s="8">
        <v>3500</v>
      </c>
      <c r="E5" s="103" t="str">
        <f>HYPERLINK("https://rabota.by/resume/2f17add80001c356b60013a3fa484a724f4879","Укладчик-упаковщик/ комплектовщик")</f>
        <v>Укладчик-упаковщик/ комплектовщик</v>
      </c>
      <c r="F5" s="8">
        <v>1200</v>
      </c>
    </row>
    <row r="6" spans="1:6" ht="14.25" x14ac:dyDescent="0.2">
      <c r="A6" s="3"/>
      <c r="B6" s="6">
        <v>2</v>
      </c>
      <c r="C6" s="102" t="str">
        <f>HYPERLINK("https://rabota.by/vacancy/46349834","АЛИДИ-Вест, ИООО")</f>
        <v>АЛИДИ-Вест, ИООО</v>
      </c>
      <c r="D6" s="8">
        <v>1500</v>
      </c>
      <c r="E6" s="103" t="str">
        <f>HYPERLINK("https://rabota.by/resume/a83d45250001cc84630013a3fa4d75344d4831","Укладчик-упаковщик/ комплектовщик")</f>
        <v>Укладчик-упаковщик/ комплектовщик</v>
      </c>
      <c r="F6" s="8">
        <v>1200</v>
      </c>
    </row>
    <row r="7" spans="1:6" ht="14.25" x14ac:dyDescent="0.2">
      <c r="A7" s="3"/>
      <c r="B7" s="6">
        <v>3</v>
      </c>
      <c r="C7" s="102" t="str">
        <f>HYPERLINK("https://rabota.by/vacancy/49146878","ИУП БелВиллесден")</f>
        <v>ИУП БелВиллесден</v>
      </c>
      <c r="D7" s="8">
        <v>780</v>
      </c>
      <c r="E7" s="103" t="str">
        <f>HYPERLINK("https://rabota.by/resume/616dfb1300022b94bc0013a3fa67716a47556a","Укладчик-упаковщик/ комплектовщик")</f>
        <v>Укладчик-упаковщик/ комплектовщик</v>
      </c>
      <c r="F7" s="8">
        <v>1000</v>
      </c>
    </row>
    <row r="8" spans="1:6" ht="14.25" x14ac:dyDescent="0.2">
      <c r="A8" s="3"/>
      <c r="B8" s="6">
        <v>4</v>
      </c>
      <c r="C8" s="102" t="str">
        <f>HYPERLINK("https://rabota.by/vacancy/50801827","ТУТ и ТАМ Логистикс")</f>
        <v>ТУТ и ТАМ Логистикс</v>
      </c>
      <c r="D8" s="8">
        <v>2300</v>
      </c>
      <c r="E8" s="103" t="str">
        <f>HYPERLINK("https://rabota.by/resume/90b78e1500023134090013a3fa304a4574747a","Укладчик-упаковщик/ комплектовщик")</f>
        <v>Укладчик-упаковщик/ комплектовщик</v>
      </c>
      <c r="F8" s="8">
        <v>900</v>
      </c>
    </row>
    <row r="9" spans="1:6" ht="14.25" x14ac:dyDescent="0.2">
      <c r="A9" s="3"/>
      <c r="B9" s="6">
        <v>5</v>
      </c>
      <c r="C9" s="102" t="str">
        <f>HYPERLINK("https://rabota.by/vacancy/48792643","ИООО ДПД Бел")</f>
        <v>ИООО ДПД Бел</v>
      </c>
      <c r="D9" s="8">
        <v>950</v>
      </c>
      <c r="E9" s="103" t="str">
        <f>HYPERLINK("https://rabota.by/resume/0a4153be00023ce62e0013a3fa306b6c44306e","Укладчик-упаковщик/ комплектовщик")</f>
        <v>Укладчик-упаковщик/ комплектовщик</v>
      </c>
      <c r="F9" s="8">
        <v>900</v>
      </c>
    </row>
    <row r="10" spans="1:6" ht="14.25" x14ac:dyDescent="0.2">
      <c r="A10" s="3"/>
      <c r="B10" s="6">
        <v>6</v>
      </c>
      <c r="C10" s="102" t="str">
        <f>HYPERLINK("https://rabota.by/vacancy/51909827","Строительная компания ГРАД")</f>
        <v>Строительная компания ГРАД</v>
      </c>
      <c r="D10" s="8">
        <v>3800</v>
      </c>
      <c r="E10" s="103" t="str">
        <f>HYPERLINK("https://rabota.by/resume/5c3730540001e4060c0013a3fa65437a777258","Укладчик-упаковщик/ комплектовщик")</f>
        <v>Укладчик-упаковщик/ комплектовщик</v>
      </c>
      <c r="F10" s="8">
        <v>850</v>
      </c>
    </row>
    <row r="11" spans="1:6" ht="14.25" x14ac:dyDescent="0.2">
      <c r="A11" s="3"/>
      <c r="B11" s="6">
        <v>7</v>
      </c>
      <c r="C11" s="102" t="str">
        <f>HYPERLINK("https://rabota.by/vacancy/51327236","ОДО Белита-Витэкс-Могилев")</f>
        <v>ОДО Белита-Витэкс-Могилев</v>
      </c>
      <c r="D11" s="8">
        <v>800</v>
      </c>
      <c r="E11" s="103" t="str">
        <f>HYPERLINK("https://rabota.by/resume/01b4e4e8000166c7f40013a3fa486574664661","Укладчик-упаковщик/ комплектовщик")</f>
        <v>Укладчик-упаковщик/ комплектовщик</v>
      </c>
      <c r="F11" s="8">
        <v>800</v>
      </c>
    </row>
    <row r="12" spans="1:6" ht="14.25" x14ac:dyDescent="0.2">
      <c r="A12" s="3"/>
      <c r="B12" s="6">
        <v>8</v>
      </c>
      <c r="C12" s="102" t="str">
        <f>HYPERLINK("https://rabota.by/vacancy/52096733","ООО Сэльвин")</f>
        <v>ООО Сэльвин</v>
      </c>
      <c r="D12" s="8">
        <v>1000</v>
      </c>
      <c r="E12" s="103" t="str">
        <f>HYPERLINK("https://rabota.by/resume/287f5a790001a97b430013a3fa6d5944453868","Укладчик-упаковщик/ комплектовщик")</f>
        <v>Укладчик-упаковщик/ комплектовщик</v>
      </c>
      <c r="F12" s="8">
        <v>800</v>
      </c>
    </row>
    <row r="13" spans="1:6" ht="14.25" x14ac:dyDescent="0.2">
      <c r="A13" s="3"/>
      <c r="B13" s="6">
        <v>9</v>
      </c>
      <c r="C13" s="102" t="str">
        <f>HYPERLINK("https://rabota.by/vacancy/52050611","ООО Глобал Сервис Интернешинал")</f>
        <v>ООО Глобал Сервис Интернешинал</v>
      </c>
      <c r="D13" s="8">
        <v>4100</v>
      </c>
      <c r="E13" s="103" t="str">
        <f>HYPERLINK("https://rabota.by/resume/5069e29f00023f160d0013a3fa456352726747","Укладчик-упаковщик/ комплектовщик")</f>
        <v>Укладчик-упаковщик/ комплектовщик</v>
      </c>
      <c r="F13" s="8">
        <v>800</v>
      </c>
    </row>
    <row r="14" spans="1:6" ht="14.25" x14ac:dyDescent="0.2">
      <c r="A14" s="3"/>
      <c r="B14" s="6">
        <v>10</v>
      </c>
      <c r="C14" s="102" t="str">
        <f>HYPERLINK("https://rabota.by/vacancy/51213162","ЕВРООПТ")</f>
        <v>ЕВРООПТ</v>
      </c>
      <c r="D14" s="8">
        <v>650</v>
      </c>
      <c r="E14" s="103" t="str">
        <f>HYPERLINK("https://rabota.by/resume/30c7178b000122f0d70013a3fa547551677230","Укладчик-упаковщик/ комплектовщик")</f>
        <v>Укладчик-упаковщик/ комплектовщик</v>
      </c>
      <c r="F14" s="8">
        <v>700</v>
      </c>
    </row>
    <row r="15" spans="1:6" ht="14.25" x14ac:dyDescent="0.2">
      <c r="A15" s="3"/>
      <c r="B15" s="6">
        <v>11</v>
      </c>
      <c r="C15" s="102" t="str">
        <f>HYPERLINK("https://rabota.by/vacancy/45375652","ГРИНрозница ГК РАПА")</f>
        <v>ГРИНрозница ГК РАПА</v>
      </c>
      <c r="D15" s="8">
        <v>635</v>
      </c>
      <c r="E15" s="103" t="str">
        <f>HYPERLINK("https://rabota.by/resume/323f96420001495efe0013a3fa385572644432","Укладчик-упаковщик/ комплектовщик")</f>
        <v>Укладчик-упаковщик/ комплектовщик</v>
      </c>
      <c r="F15" s="8">
        <v>700</v>
      </c>
    </row>
    <row r="16" spans="1:6" ht="14.25" x14ac:dyDescent="0.2">
      <c r="A16" s="3"/>
      <c r="B16" s="6">
        <v>12</v>
      </c>
      <c r="C16" s="102" t="str">
        <f>HYPERLINK("https://rabota.by/vacancy/52472799","ЗАО ПАТИО (сеть магазинов 5 ЭЛЕМЕНТ)")</f>
        <v>ЗАО ПАТИО (сеть магазинов 5 ЭЛЕМЕНТ)</v>
      </c>
      <c r="D16" s="8">
        <v>700</v>
      </c>
      <c r="E16" s="103" t="str">
        <f>HYPERLINK("https://rabota.by/resume/869dd5020002051a230013a3fa66375a683933","Укладчик-упаковщик/ комплектовщик")</f>
        <v>Укладчик-упаковщик/ комплектовщик</v>
      </c>
      <c r="F16" s="8">
        <v>700</v>
      </c>
    </row>
    <row r="17" spans="1:6" ht="14.25" x14ac:dyDescent="0.2">
      <c r="A17" s="3"/>
      <c r="B17" s="6">
        <v>13</v>
      </c>
      <c r="C17" s="102" t="str">
        <f>HYPERLINK("https://rabota.by/vacancy/49988567","Онега")</f>
        <v>Онега</v>
      </c>
      <c r="D17" s="8">
        <v>700</v>
      </c>
      <c r="E17" s="103" t="str">
        <f>HYPERLINK("https://rabota.by/resume/a1b690bf00020fc8050013a3fa6a4232787078","Укладчик-упаковщик/ комплектовщик")</f>
        <v>Укладчик-упаковщик/ комплектовщик</v>
      </c>
      <c r="F17" s="8">
        <v>700</v>
      </c>
    </row>
    <row r="18" spans="1:6" ht="14.25" x14ac:dyDescent="0.2">
      <c r="A18" s="3"/>
      <c r="B18" s="6">
        <v>14</v>
      </c>
      <c r="C18" s="102" t="str">
        <f>HYPERLINK("https://rabota.by/vacancy/52458575","АЛИДИ-Вест, ИООО")</f>
        <v>АЛИДИ-Вест, ИООО</v>
      </c>
      <c r="D18" s="8">
        <v>1500</v>
      </c>
      <c r="E18" s="103" t="str">
        <f>HYPERLINK("https://rabota.by/resume/a428c17c00021ec45b0013a3fa366c34716374","Укладчик-упаковщик/ комплектовщик")</f>
        <v>Укладчик-упаковщик/ комплектовщик</v>
      </c>
      <c r="F18" s="8">
        <v>700</v>
      </c>
    </row>
    <row r="19" spans="1:6" ht="14.25" x14ac:dyDescent="0.2">
      <c r="A19" s="3"/>
      <c r="B19" s="6">
        <v>15</v>
      </c>
      <c r="C19" s="102" t="str">
        <f>HYPERLINK("https://rabota.by/vacancy/51723703","ООО МРКМ ЗАПАД")</f>
        <v>ООО МРКМ ЗАПАД</v>
      </c>
      <c r="D19" s="8">
        <v>1500</v>
      </c>
      <c r="E19" s="103" t="str">
        <f>HYPERLINK("https://rabota.by/resume/1073017000023699080013a3fa6a3841766b33","Укладчик-упаковщик/ комплектовщик")</f>
        <v>Укладчик-упаковщик/ комплектовщик</v>
      </c>
      <c r="F19" s="8">
        <v>700</v>
      </c>
    </row>
    <row r="20" spans="1:6" ht="14.25" x14ac:dyDescent="0.2">
      <c r="A20" s="3"/>
      <c r="B20" s="6">
        <v>16</v>
      </c>
      <c r="C20" s="102" t="str">
        <f>HYPERLINK("https://rabota.by/vacancy/52430567","ЗАО Разам Логистик")</f>
        <v>ЗАО Разам Логистик</v>
      </c>
      <c r="D20" s="8">
        <v>700</v>
      </c>
      <c r="E20" s="103" t="str">
        <f>HYPERLINK("https://rabota.by/resume/53ec04ee000244af390013a3fa72554d50304c","Укладчик-упаковщик/ комплектовщик")</f>
        <v>Укладчик-упаковщик/ комплектовщик</v>
      </c>
      <c r="F20" s="8">
        <v>700</v>
      </c>
    </row>
    <row r="21" spans="1:6" ht="14.25" x14ac:dyDescent="0.2">
      <c r="A21" s="3"/>
      <c r="B21" s="6">
        <v>17</v>
      </c>
      <c r="C21" s="102" t="str">
        <f>HYPERLINK("https://rabota.by/vacancy/52178783","ООО РАБОТАЙ")</f>
        <v>ООО РАБОТАЙ</v>
      </c>
      <c r="D21" s="8">
        <v>3000</v>
      </c>
      <c r="E21" s="103" t="str">
        <f>HYPERLINK("https://rabota.by/resume/1d631bd20001b958b20013a3fa3558446e575a","Укладчик-упаковщик/ комплектовщик")</f>
        <v>Укладчик-упаковщик/ комплектовщик</v>
      </c>
      <c r="F21" s="8">
        <v>650</v>
      </c>
    </row>
    <row r="22" spans="1:6" ht="14.25" x14ac:dyDescent="0.2">
      <c r="A22" s="3"/>
      <c r="B22" s="6">
        <v>18</v>
      </c>
      <c r="C22" s="102" t="str">
        <f>HYPERLINK("https://rabota.by/vacancy/52524758","ООО Эсми-групп")</f>
        <v>ООО Эсми-групп</v>
      </c>
      <c r="D22" s="8">
        <v>700</v>
      </c>
      <c r="E22" s="103" t="str">
        <f>HYPERLINK("https://rabota.by/resume/b6f63d7c0001e9cb430013a3fa7a487075394e","Укладчик-упаковщик/ комплектовщик")</f>
        <v>Укладчик-упаковщик/ комплектовщик</v>
      </c>
      <c r="F22" s="8">
        <v>650</v>
      </c>
    </row>
    <row r="23" spans="1:6" ht="14.25" x14ac:dyDescent="0.2">
      <c r="A23" s="3"/>
      <c r="B23" s="6">
        <v>19</v>
      </c>
      <c r="C23" s="102" t="str">
        <f>HYPERLINK("https://rabota.by/vacancy/50633207","ООО АВ-Мит")</f>
        <v>ООО АВ-Мит</v>
      </c>
      <c r="D23" s="8">
        <v>1500</v>
      </c>
      <c r="E23" s="103" t="str">
        <f>HYPERLINK("https://rabota.by/resume/5734dbf100020754610013a3fa783142473939","Укладчик-упаковщик/ комплектовщик")</f>
        <v>Укладчик-упаковщик/ комплектовщик</v>
      </c>
      <c r="F23" s="8">
        <v>650</v>
      </c>
    </row>
    <row r="24" spans="1:6" ht="14.25" x14ac:dyDescent="0.2">
      <c r="A24" s="3"/>
      <c r="B24" s="6">
        <v>20</v>
      </c>
      <c r="C24" s="102" t="str">
        <f>HYPERLINK("https://rabota.by/vacancy/50399302","ЗАО E-dostavka.by")</f>
        <v>ЗАО E-dostavka.by</v>
      </c>
      <c r="D24" s="8">
        <v>2000</v>
      </c>
      <c r="E24" s="103" t="str">
        <f>HYPERLINK("https://rabota.by/resume/98b7fabf00023b55020013a3fa3154624b4c69","Укладчик-упаковщик/ комплектовщик")</f>
        <v>Укладчик-упаковщик/ комплектовщик</v>
      </c>
      <c r="F24" s="8">
        <v>650</v>
      </c>
    </row>
    <row r="25" spans="1:6" ht="14.25" x14ac:dyDescent="0.2">
      <c r="A25" s="3"/>
      <c r="B25" s="6">
        <v>21</v>
      </c>
      <c r="C25" s="102" t="str">
        <f>HYPERLINK("https://rabota.by/vacancy/51089533","Группа Компаний Армтек")</f>
        <v>Группа Компаний Армтек</v>
      </c>
      <c r="D25" s="8">
        <v>1800</v>
      </c>
      <c r="E25" s="103" t="str">
        <f>HYPERLINK("https://rabota.by/resume/3aac64ad000206376a0013a3fa494b396c6f51","Укладчик-упаковщик/ комплектовщик")</f>
        <v>Укладчик-упаковщик/ комплектовщик</v>
      </c>
      <c r="F25" s="8">
        <v>500</v>
      </c>
    </row>
    <row r="26" spans="1:6" ht="14.25" x14ac:dyDescent="0.2">
      <c r="A26" s="3"/>
      <c r="B26" s="6">
        <v>22</v>
      </c>
      <c r="C26" s="102" t="str">
        <f>HYPERLINK("https://rabota.by/vacancy/52541271","ООО КРАФТПАК групп")</f>
        <v>ООО КРАФТПАК групп</v>
      </c>
      <c r="D26" s="8">
        <v>949</v>
      </c>
      <c r="E26" s="103" t="str">
        <f>HYPERLINK("https://rabota.by/resume/2225070f000206d9cf0013a3fa423468697a52","Укладчик-упаковщик/ комплектовщик")</f>
        <v>Укладчик-упаковщик/ комплектовщик</v>
      </c>
      <c r="F26" s="8">
        <v>500</v>
      </c>
    </row>
    <row r="27" spans="1:6" ht="14.25" x14ac:dyDescent="0.2">
      <c r="A27" s="3"/>
      <c r="B27" s="6">
        <v>23</v>
      </c>
      <c r="C27" s="102" t="str">
        <f>HYPERLINK("https://rabota.by/vacancy/50195183","УП Партнер Миир")</f>
        <v>УП Партнер Миир</v>
      </c>
      <c r="D27" s="8">
        <v>3500</v>
      </c>
      <c r="E27" s="103" t="str">
        <f>HYPERLINK("https://rabota.by/resume/420c17cf00020ecca10013a3fa4f45496b6862","Укладчик-упаковщик/ комплектовщик")</f>
        <v>Укладчик-упаковщик/ комплектовщик</v>
      </c>
      <c r="F27" s="8">
        <v>500</v>
      </c>
    </row>
    <row r="28" spans="1:6" ht="14.25" x14ac:dyDescent="0.2">
      <c r="A28" s="3"/>
      <c r="B28" s="6">
        <v>24</v>
      </c>
      <c r="C28" s="102" t="str">
        <f>HYPERLINK("https://rabota.by/vacancy/49251762","ЗАО Доброном")</f>
        <v>ЗАО Доброном</v>
      </c>
      <c r="D28" s="8">
        <v>3500</v>
      </c>
      <c r="E28" s="103" t="str">
        <f>HYPERLINK("https://rabota.by/resume/09ef1a6f0002266eee0013a3fa34474f756537","Укладчик-упаковщик/ комплектовщик")</f>
        <v>Укладчик-упаковщик/ комплектовщик</v>
      </c>
      <c r="F28" s="8">
        <v>500</v>
      </c>
    </row>
    <row r="29" spans="1:6" ht="14.25" x14ac:dyDescent="0.2">
      <c r="A29" s="3"/>
      <c r="B29" s="6">
        <v>25</v>
      </c>
      <c r="C29" s="102" t="str">
        <f>HYPERLINK("https://rabota.by/vacancy/52293400","ООО Белтея")</f>
        <v>ООО Белтея</v>
      </c>
      <c r="D29" s="8">
        <v>800</v>
      </c>
      <c r="E29" s="103" t="str">
        <f>HYPERLINK("https://rabota.by/resume/6d5a78b600022daf5b0013a3fa775944354c4b","Укладчик-упаковщик/ комплектовщик")</f>
        <v>Укладчик-упаковщик/ комплектовщик</v>
      </c>
      <c r="F29" s="8">
        <v>500</v>
      </c>
    </row>
    <row r="30" spans="1:6" ht="14.25" x14ac:dyDescent="0.2">
      <c r="A30" s="3"/>
      <c r="B30" s="6">
        <v>26</v>
      </c>
      <c r="C30" s="102" t="str">
        <f>HYPERLINK("https://rabota.by/vacancy/52360906","ООО ОТДЫХ ВЕЗДЕ")</f>
        <v>ООО ОТДЫХ ВЕЗДЕ</v>
      </c>
      <c r="D30" s="8">
        <v>600</v>
      </c>
      <c r="E30" s="103" t="str">
        <f>HYPERLINK("https://rabota.by/resume/c4f1e98700023178770013a3fa364751764275","Укладчик-упаковщик/ комплектовщик")</f>
        <v>Укладчик-упаковщик/ комплектовщик</v>
      </c>
      <c r="F30" s="8">
        <v>500</v>
      </c>
    </row>
    <row r="31" spans="1:6" ht="14.25" x14ac:dyDescent="0.2">
      <c r="A31" s="3"/>
      <c r="B31" s="6">
        <v>27</v>
      </c>
      <c r="C31" s="102" t="str">
        <f>HYPERLINK("https://rabota.by/vacancy/52408729","ООО Грин Хаус Бокс")</f>
        <v>ООО Грин Хаус Бокс</v>
      </c>
      <c r="D31" s="8">
        <v>800</v>
      </c>
      <c r="E31" s="103" t="str">
        <f>HYPERLINK("https://rabota.by/resume/5f91f9b3000239d4320013a3fa345064724769","Укладчик-упаковщик/ комплектовщик")</f>
        <v>Укладчик-упаковщик/ комплектовщик</v>
      </c>
      <c r="F31" s="8">
        <v>500</v>
      </c>
    </row>
    <row r="32" spans="1:6" ht="14.25" x14ac:dyDescent="0.2">
      <c r="A32" s="3"/>
      <c r="B32" s="6">
        <v>28</v>
      </c>
      <c r="C32" s="102" t="str">
        <f>HYPERLINK("https://rabota.by/vacancy/52398526","ООО Грасп / Добрая ежа")</f>
        <v>ООО Грасп / Добрая ежа</v>
      </c>
      <c r="D32" s="8">
        <v>800</v>
      </c>
      <c r="E32" s="103" t="str">
        <f>HYPERLINK("https://rabota.by/resume/fe71efa300024379c70013a3fa6b4b34675173","Укладчик-упаковщик/ комплектовщик")</f>
        <v>Укладчик-упаковщик/ комплектовщик</v>
      </c>
      <c r="F32" s="8">
        <v>500</v>
      </c>
    </row>
    <row r="33" spans="1:6" ht="14.25" x14ac:dyDescent="0.2">
      <c r="A33" s="3"/>
      <c r="B33" s="6">
        <v>29</v>
      </c>
      <c r="C33" s="7"/>
      <c r="D33" s="8"/>
      <c r="E33" s="103" t="str">
        <f>HYPERLINK("https://rabota.by/resume/f761145f00018f329e0013a3fa53616957666c","Укладчик-упаковщик/ комплектовщик")</f>
        <v>Укладчик-упаковщик/ комплектовщик</v>
      </c>
      <c r="F33" s="8">
        <v>450</v>
      </c>
    </row>
    <row r="34" spans="1:6" ht="14.25" x14ac:dyDescent="0.2">
      <c r="A34" s="3"/>
      <c r="B34" s="6">
        <v>30</v>
      </c>
      <c r="C34" s="7"/>
      <c r="D34" s="8"/>
      <c r="E34" s="103" t="str">
        <f>HYPERLINK("https://rabota.by/resume/22c90a580001c483b70013a3fa45544d37355a","Укладчик-упаковщик/ комплектовщик")</f>
        <v>Укладчик-упаковщик/ комплектовщик</v>
      </c>
      <c r="F34" s="8">
        <v>450</v>
      </c>
    </row>
    <row r="35" spans="1:6" ht="14.25" x14ac:dyDescent="0.2">
      <c r="A35" s="3"/>
      <c r="B35" s="6">
        <v>31</v>
      </c>
      <c r="C35" s="7"/>
      <c r="D35" s="8"/>
      <c r="E35" s="103" t="str">
        <f>HYPERLINK("https://rabota.by/resume/aa93ff75000215870f0013a3fa38334f6f536a","Укладчик-упаковщик/ комплектовщик")</f>
        <v>Укладчик-упаковщик/ комплектовщик</v>
      </c>
      <c r="F35" s="8">
        <v>450</v>
      </c>
    </row>
    <row r="36" spans="1:6" ht="14.25" x14ac:dyDescent="0.2">
      <c r="A36" s="3"/>
      <c r="B36" s="6">
        <v>32</v>
      </c>
      <c r="C36" s="7"/>
      <c r="D36" s="8"/>
      <c r="E36" s="103" t="str">
        <f>HYPERLINK("https://rabota.by/resume/afc850c8000214143a0013a3fa3645776b476b","Укладчик-упаковщик/ комплектовщик")</f>
        <v>Укладчик-упаковщик/ комплектовщик</v>
      </c>
      <c r="F36" s="8">
        <v>430</v>
      </c>
    </row>
    <row r="37" spans="1:6" ht="14.25" x14ac:dyDescent="0.2">
      <c r="A37" s="3"/>
      <c r="B37" s="6">
        <v>33</v>
      </c>
      <c r="C37" s="7"/>
      <c r="D37" s="8"/>
      <c r="E37" s="103" t="str">
        <f>HYPERLINK("https://rabota.by/resume/30de907e0000ea55b60013a3fa337761507641","Укладчик-упаковщик/ комплектовщик")</f>
        <v>Укладчик-упаковщик/ комплектовщик</v>
      </c>
      <c r="F37" s="8">
        <v>400</v>
      </c>
    </row>
    <row r="38" spans="1:6" ht="14.25" x14ac:dyDescent="0.2">
      <c r="A38" s="3"/>
      <c r="B38" s="6">
        <v>34</v>
      </c>
      <c r="C38" s="7"/>
      <c r="D38" s="8"/>
      <c r="E38" s="103" t="str">
        <f>HYPERLINK("https://rabota.by/resume/819a8b8c0000f7b1a30013a3fa6e4653674333","Укладчик-упаковщик/ комплектовщик")</f>
        <v>Укладчик-упаковщик/ комплектовщик</v>
      </c>
      <c r="F38" s="8">
        <v>400</v>
      </c>
    </row>
    <row r="39" spans="1:6" ht="14.25" x14ac:dyDescent="0.2">
      <c r="A39" s="3"/>
      <c r="B39" s="6">
        <v>35</v>
      </c>
      <c r="C39" s="7"/>
      <c r="D39" s="8"/>
      <c r="E39" s="103" t="str">
        <f>HYPERLINK("https://rabota.by/resume/c113e708000101c01d0013a3fa575969437072","Укладчик-упаковщик/ комплектовщик")</f>
        <v>Укладчик-упаковщик/ комплектовщик</v>
      </c>
      <c r="F39" s="8">
        <v>400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685</v>
      </c>
      <c r="E40" s="11" t="s">
        <v>6</v>
      </c>
      <c r="F40" s="12">
        <f>IFERROR(PERCENTILE(F5:F39,0.1),"-")</f>
        <v>438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760</v>
      </c>
      <c r="E41" s="14" t="s">
        <v>7</v>
      </c>
      <c r="F41" s="15">
        <f>IFERROR(QUARTILE(F5:F39, 1),"-")</f>
        <v>500</v>
      </c>
    </row>
    <row r="42" spans="1:6" ht="15" x14ac:dyDescent="0.25">
      <c r="A42" s="9"/>
      <c r="B42" s="16"/>
      <c r="C42" s="17" t="s">
        <v>8</v>
      </c>
      <c r="D42" s="18">
        <f>IFERROR(MEDIAN(D5:D39),"-")</f>
        <v>975</v>
      </c>
      <c r="E42" s="17" t="s">
        <v>8</v>
      </c>
      <c r="F42" s="18">
        <f>IFERROR(MEDIAN(F5:F39),"-")</f>
        <v>650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2075</v>
      </c>
      <c r="E43" s="20" t="s">
        <v>9</v>
      </c>
      <c r="F43" s="21">
        <f>IFERROR(QUARTILE(F5:F39,3), "-")</f>
        <v>750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3500</v>
      </c>
      <c r="E44" s="23" t="s">
        <v>10</v>
      </c>
      <c r="F44" s="24">
        <f>IFERROR(PERCENTILE(F5:F39,0.9),"-")</f>
        <v>900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460</v>
      </c>
    </row>
    <row r="48" spans="1:6" ht="14.25" x14ac:dyDescent="0.2">
      <c r="C48" s="90" t="s">
        <v>7</v>
      </c>
      <c r="D48" s="91">
        <f>IFERROR(QUARTILE(D5:F39, 1),"-")</f>
        <v>617.5</v>
      </c>
    </row>
    <row r="49" spans="3:4" ht="14.25" x14ac:dyDescent="0.2">
      <c r="C49" s="92" t="s">
        <v>8</v>
      </c>
      <c r="D49" s="93">
        <f>IFERROR(MEDIAN(D5:D39,F5:F39),"-")</f>
        <v>700</v>
      </c>
    </row>
    <row r="50" spans="3:4" ht="14.25" x14ac:dyDescent="0.2">
      <c r="C50" s="94" t="s">
        <v>9</v>
      </c>
      <c r="D50" s="95">
        <f>IFERROR(QUARTILE(D5:F39,3), "-")</f>
        <v>1000</v>
      </c>
    </row>
    <row r="51" spans="3:4" ht="14.25" x14ac:dyDescent="0.2">
      <c r="C51" s="96" t="s">
        <v>10</v>
      </c>
      <c r="D51" s="97">
        <f>IFERROR(PERCENTILE(D5:F39,0.9),"-")</f>
        <v>2240.0000000000014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86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HYPERLINK("https://rabota.by/vacancy/51089533","Группа Компаний Армтек")</f>
        <v>Группа Компаний Армтек</v>
      </c>
      <c r="D5" s="8">
        <v>1800</v>
      </c>
      <c r="E5" s="103" t="str">
        <f>HYPERLINK("https://rabota.by/resume/497295ae00060e94670013a3fa5250694b555a","Кладовщик")</f>
        <v>Кладовщик</v>
      </c>
      <c r="F5" s="8">
        <v>2500</v>
      </c>
    </row>
    <row r="6" spans="1:6" ht="14.25" x14ac:dyDescent="0.2">
      <c r="A6" s="3"/>
      <c r="B6" s="6">
        <v>2</v>
      </c>
      <c r="C6" s="102" t="str">
        <f>HYPERLINK("https://rabota.by/vacancy/51983813","ОАО Могилевский мясокомбинат")</f>
        <v>ОАО Могилевский мясокомбинат</v>
      </c>
      <c r="D6" s="8">
        <v>700</v>
      </c>
      <c r="E6" s="103" t="str">
        <f>HYPERLINK("https://rabota.by/resume/f412b04200094da7340013a3fa7666746f4142","Кладовщик")</f>
        <v>Кладовщик</v>
      </c>
      <c r="F6" s="8">
        <v>1700</v>
      </c>
    </row>
    <row r="7" spans="1:6" ht="14.25" x14ac:dyDescent="0.2">
      <c r="A7" s="3"/>
      <c r="B7" s="6">
        <v>3</v>
      </c>
      <c r="C7" s="102" t="str">
        <f>HYPERLINK("https://rabota.by/vacancy/52238685","УП АКС-Мебель")</f>
        <v>УП АКС-Мебель</v>
      </c>
      <c r="D7" s="8">
        <v>1050</v>
      </c>
      <c r="E7" s="103" t="str">
        <f>HYPERLINK("https://rabota.by/resume/28f56cec0009857a3b0013a3fa7a6c59747a73","Кладовщик")</f>
        <v>Кладовщик</v>
      </c>
      <c r="F7" s="8">
        <v>1500</v>
      </c>
    </row>
    <row r="8" spans="1:6" ht="14.25" x14ac:dyDescent="0.2">
      <c r="A8" s="3"/>
      <c r="B8" s="6">
        <v>4</v>
      </c>
      <c r="C8" s="102" t="str">
        <f>HYPERLINK("https://rabota.by/vacancy/51217715","ЕВРООПТ")</f>
        <v>ЕВРООПТ</v>
      </c>
      <c r="D8" s="8">
        <v>870</v>
      </c>
      <c r="E8" s="103" t="str">
        <f>HYPERLINK("https://rabota.by/resume/e9559d24000963deac0013a3fa49654738436e","Кладовщик")</f>
        <v>Кладовщик</v>
      </c>
      <c r="F8" s="8">
        <v>1300</v>
      </c>
    </row>
    <row r="9" spans="1:6" ht="14.25" x14ac:dyDescent="0.2">
      <c r="A9" s="3"/>
      <c r="B9" s="6">
        <v>5</v>
      </c>
      <c r="C9" s="102" t="str">
        <f>HYPERLINK("https://rabota.by/vacancy/51033178","ЗАО Разам Логистик")</f>
        <v>ЗАО Разам Логистик</v>
      </c>
      <c r="D9" s="8">
        <v>800</v>
      </c>
      <c r="E9" s="103" t="str">
        <f>HYPERLINK("https://rabota.by/resume/49d1c87f000840cee20013a3fa35347a6c7735","Кладовщик")</f>
        <v>Кладовщик</v>
      </c>
      <c r="F9" s="8">
        <v>1200</v>
      </c>
    </row>
    <row r="10" spans="1:6" ht="14.25" x14ac:dyDescent="0.2">
      <c r="A10" s="3"/>
      <c r="B10" s="6">
        <v>6</v>
      </c>
      <c r="C10" s="102" t="str">
        <f>HYPERLINK("https://rabota.by/vacancy/52016378","ОАО Бакалея Могилев")</f>
        <v>ОАО Бакалея Могилев</v>
      </c>
      <c r="D10" s="8">
        <v>500</v>
      </c>
      <c r="E10" s="103" t="str">
        <f>HYPERLINK("https://rabota.by/resume/e993de6100096c370d0013a3fa6d654f4b5a5a","Кладовщик")</f>
        <v>Кладовщик</v>
      </c>
      <c r="F10" s="8">
        <v>1200</v>
      </c>
    </row>
    <row r="11" spans="1:6" ht="14.25" x14ac:dyDescent="0.2">
      <c r="A11" s="3"/>
      <c r="B11" s="6">
        <v>7</v>
      </c>
      <c r="C11" s="102" t="str">
        <f>HYPERLINK("https://rabota.by/vacancy/51399212","ООО Главмолснаб")</f>
        <v>ООО Главмолснаб</v>
      </c>
      <c r="D11" s="8">
        <v>1100</v>
      </c>
      <c r="E11" s="103" t="str">
        <f>HYPERLINK("https://rabota.by/resume/683e9921000740a8550013a3fa524b6d51414a","Кладовщик")</f>
        <v>Кладовщик</v>
      </c>
      <c r="F11" s="8">
        <v>1200</v>
      </c>
    </row>
    <row r="12" spans="1:6" ht="14.25" x14ac:dyDescent="0.2">
      <c r="A12" s="3"/>
      <c r="B12" s="6">
        <v>8</v>
      </c>
      <c r="C12" s="102" t="str">
        <f>HYPERLINK("https://rabota.by/vacancy/52005184","ООО 8 караван")</f>
        <v>ООО 8 караван</v>
      </c>
      <c r="D12" s="8">
        <v>1500</v>
      </c>
      <c r="E12" s="103" t="str">
        <f>HYPERLINK("https://rabota.by/resume/6d21b7e000036061170013a3fa3044727a6879","Кладовщик")</f>
        <v>Кладовщик</v>
      </c>
      <c r="F12" s="8">
        <v>1200</v>
      </c>
    </row>
    <row r="13" spans="1:6" ht="14.25" x14ac:dyDescent="0.2">
      <c r="A13" s="3"/>
      <c r="B13" s="6">
        <v>9</v>
      </c>
      <c r="C13" s="102" t="str">
        <f>HYPERLINK("https://rabota.by/vacancy/52360906","ООО ОТДЫХ ВЕЗДЕ")</f>
        <v>ООО ОТДЫХ ВЕЗДЕ</v>
      </c>
      <c r="D13" s="8">
        <v>600</v>
      </c>
      <c r="E13" s="103" t="str">
        <f>HYPERLINK("https://rabota.by/resume/29a772ef00094e03e70013a3fa647a7a4f3855","Кладовщик")</f>
        <v>Кладовщик</v>
      </c>
      <c r="F13" s="8">
        <v>1200</v>
      </c>
    </row>
    <row r="14" spans="1:6" ht="14.25" x14ac:dyDescent="0.2">
      <c r="A14" s="3"/>
      <c r="B14" s="6">
        <v>10</v>
      </c>
      <c r="C14" s="102" t="str">
        <f>HYPERLINK("https://rabota.by/vacancy/52006587","ООО Агро-торговая фирма Орион")</f>
        <v>ООО Агро-торговая фирма Орион</v>
      </c>
      <c r="D14" s="8">
        <v>900</v>
      </c>
      <c r="E14" s="103" t="str">
        <f>HYPERLINK("https://rabota.by/resume/3d58b4910009370e530013a3fa39716d675146","Кладовщик")</f>
        <v>Кладовщик</v>
      </c>
      <c r="F14" s="8">
        <v>1100</v>
      </c>
    </row>
    <row r="15" spans="1:6" ht="14.25" x14ac:dyDescent="0.2">
      <c r="A15" s="3"/>
      <c r="B15" s="6">
        <v>11</v>
      </c>
      <c r="C15" s="102" t="str">
        <f>HYPERLINK("https://rabota.by/vacancy/52111009","ООО Текстиль-ресурс")</f>
        <v>ООО Текстиль-ресурс</v>
      </c>
      <c r="D15" s="8">
        <v>1300</v>
      </c>
      <c r="E15" s="103" t="str">
        <f>HYPERLINK("https://rabota.by/resume/5421a05b0009935ae80013a3fa6d6b426a6c39","Кладовщик")</f>
        <v>Кладовщик</v>
      </c>
      <c r="F15" s="8">
        <v>1000</v>
      </c>
    </row>
    <row r="16" spans="1:6" ht="14.25" x14ac:dyDescent="0.2">
      <c r="A16" s="3"/>
      <c r="B16" s="6">
        <v>12</v>
      </c>
      <c r="C16" s="102" t="str">
        <f>HYPERLINK("https://rabota.by/vacancy/52041144","ООО ДДФ-трейд")</f>
        <v>ООО ДДФ-трейд</v>
      </c>
      <c r="D16" s="8">
        <v>700</v>
      </c>
      <c r="E16" s="103" t="str">
        <f>HYPERLINK("https://rabota.by/resume/638f99ec00036276fe0013a3fa6b464f71474e","Кладовщик")</f>
        <v>Кладовщик</v>
      </c>
      <c r="F16" s="8">
        <v>1000</v>
      </c>
    </row>
    <row r="17" spans="1:6" ht="14.25" x14ac:dyDescent="0.2">
      <c r="A17" s="3"/>
      <c r="B17" s="6">
        <v>13</v>
      </c>
      <c r="C17" s="102" t="str">
        <f>HYPERLINK("https://rabota.by/vacancy/52035682","ООО Станкоинструмент и оснастка")</f>
        <v>ООО Станкоинструмент и оснастка</v>
      </c>
      <c r="D17" s="8">
        <v>650</v>
      </c>
      <c r="E17" s="103" t="str">
        <f>HYPERLINK("https://rabota.by/resume/19f44b1600099806110013a3fa6b757270727a","Кладовщик")</f>
        <v>Кладовщик</v>
      </c>
      <c r="F17" s="8">
        <v>1000</v>
      </c>
    </row>
    <row r="18" spans="1:6" ht="14.25" x14ac:dyDescent="0.2">
      <c r="A18" s="3"/>
      <c r="B18" s="6">
        <v>14</v>
      </c>
      <c r="C18" s="102" t="str">
        <f>HYPERLINK("https://rabota.by/vacancy/50602213","ООО АВ-Мит")</f>
        <v>ООО АВ-Мит</v>
      </c>
      <c r="D18" s="8">
        <v>800</v>
      </c>
      <c r="E18" s="103" t="str">
        <f>HYPERLINK("https://rabota.by/resume/578403be0008f92cea0013a3fa553452476c43","Кладовщик")</f>
        <v>Кладовщик</v>
      </c>
      <c r="F18" s="8">
        <v>1000</v>
      </c>
    </row>
    <row r="19" spans="1:6" ht="14.25" x14ac:dyDescent="0.2">
      <c r="A19" s="3"/>
      <c r="B19" s="6">
        <v>15</v>
      </c>
      <c r="C19" s="102" t="str">
        <f>HYPERLINK("https://rabota.by/vacancy/52113218","ООО Брендспан")</f>
        <v>ООО Брендспан</v>
      </c>
      <c r="D19" s="8">
        <v>750</v>
      </c>
      <c r="E19" s="103" t="str">
        <f>HYPERLINK("https://rabota.by/resume/039b20370008b286c60013a3fa376346636f4c","Кладовщик")</f>
        <v>Кладовщик</v>
      </c>
      <c r="F19" s="8">
        <v>1000</v>
      </c>
    </row>
    <row r="20" spans="1:6" ht="14.25" x14ac:dyDescent="0.2">
      <c r="A20" s="3"/>
      <c r="B20" s="6">
        <v>16</v>
      </c>
      <c r="C20" s="102" t="str">
        <f>HYPERLINK("https://rabota.by/vacancy/52524758","ООО Эсми-групп")</f>
        <v>ООО Эсми-групп</v>
      </c>
      <c r="D20" s="8">
        <v>700</v>
      </c>
      <c r="E20" s="103" t="str">
        <f>HYPERLINK("https://rabota.by/resume/2a4185a40008a23c8c0013a3fa6d5a6638424b","Кладовщик")</f>
        <v>Кладовщик</v>
      </c>
      <c r="F20" s="8">
        <v>1000</v>
      </c>
    </row>
    <row r="21" spans="1:6" ht="14.25" x14ac:dyDescent="0.2">
      <c r="A21" s="3"/>
      <c r="B21" s="6">
        <v>17</v>
      </c>
      <c r="C21" s="102" t="str">
        <f>HYPERLINK("https://rabota.by/vacancy/52430567","ЗАО Разам Логистик")</f>
        <v>ЗАО Разам Логистик</v>
      </c>
      <c r="D21" s="8">
        <v>700</v>
      </c>
      <c r="E21" s="103" t="str">
        <f>HYPERLINK("https://rabota.by/resume/e9dc14dc00095f7f400013a3fa5a646d6a3173","Кладовщик")</f>
        <v>Кладовщик</v>
      </c>
      <c r="F21" s="8">
        <v>1000</v>
      </c>
    </row>
    <row r="22" spans="1:6" ht="14.25" x14ac:dyDescent="0.2">
      <c r="A22" s="3"/>
      <c r="B22" s="6">
        <v>18</v>
      </c>
      <c r="C22" s="102" t="str">
        <f>HYPERLINK("https://rabota.by/vacancy/51792372","ЗАО Птицефабрика Вишнёвка")</f>
        <v>ЗАО Птицефабрика Вишнёвка</v>
      </c>
      <c r="D22" s="8">
        <v>700</v>
      </c>
      <c r="E22" s="103" t="str">
        <f>HYPERLINK("https://rabota.by/resume/5bfd74ca00061856280013a3fa6f3136796e55","Кладовщик")</f>
        <v>Кладовщик</v>
      </c>
      <c r="F22" s="8">
        <v>1000</v>
      </c>
    </row>
    <row r="23" spans="1:6" ht="14.25" x14ac:dyDescent="0.2">
      <c r="A23" s="3"/>
      <c r="B23" s="6">
        <v>19</v>
      </c>
      <c r="C23" s="102" t="str">
        <f>HYPERLINK("https://rabota.by/vacancy/52050611","ООО Глобал Сервис Интернешинал")</f>
        <v>ООО Глобал Сервис Интернешинал</v>
      </c>
      <c r="D23" s="8">
        <v>4100</v>
      </c>
      <c r="E23" s="103" t="str">
        <f>HYPERLINK("https://rabota.by/resume/2a3833a8000980654d0013a3fa77624a61556a","Кладовщик")</f>
        <v>Кладовщик</v>
      </c>
      <c r="F23" s="8">
        <v>1000</v>
      </c>
    </row>
    <row r="24" spans="1:6" ht="14.25" x14ac:dyDescent="0.2">
      <c r="A24" s="3"/>
      <c r="B24" s="6">
        <v>20</v>
      </c>
      <c r="C24" s="102" t="str">
        <f>HYPERLINK("https://rabota.by/vacancy/44213119","ЗАО Доброном")</f>
        <v>ЗАО Доброном</v>
      </c>
      <c r="D24" s="8">
        <v>1000</v>
      </c>
      <c r="E24" s="103" t="str">
        <f>HYPERLINK("https://rabota.by/resume/f63dee090009aec9020013a3fa6a41577a506e","Кладовщик")</f>
        <v>Кладовщик</v>
      </c>
      <c r="F24" s="8">
        <v>1000</v>
      </c>
    </row>
    <row r="25" spans="1:6" ht="14.25" x14ac:dyDescent="0.2">
      <c r="A25" s="3"/>
      <c r="B25" s="6">
        <v>21</v>
      </c>
      <c r="C25" s="102" t="str">
        <f>HYPERLINK("https://rabota.by/vacancy/51327236","ОДО Белита-Витэкс-Могилев")</f>
        <v>ОДО Белита-Витэкс-Могилев</v>
      </c>
      <c r="D25" s="8">
        <v>800</v>
      </c>
      <c r="E25" s="103" t="str">
        <f>HYPERLINK("https://rabota.by/resume/f1aaefb6000859f9190013a3fa596351566861","Кладовщик")</f>
        <v>Кладовщик</v>
      </c>
      <c r="F25" s="8">
        <v>900</v>
      </c>
    </row>
    <row r="26" spans="1:6" ht="14.25" x14ac:dyDescent="0.2">
      <c r="A26" s="3"/>
      <c r="B26" s="6">
        <v>22</v>
      </c>
      <c r="C26" s="7"/>
      <c r="D26" s="8"/>
      <c r="E26" s="103" t="str">
        <f>HYPERLINK("https://rabota.by/resume/51d0db2600099847db0013a3fa3750787a6778","Кладовщик")</f>
        <v>Кладовщик</v>
      </c>
      <c r="F26" s="8">
        <v>900</v>
      </c>
    </row>
    <row r="27" spans="1:6" ht="14.25" x14ac:dyDescent="0.2">
      <c r="A27" s="3"/>
      <c r="B27" s="6">
        <v>23</v>
      </c>
      <c r="C27" s="7"/>
      <c r="D27" s="8"/>
      <c r="E27" s="103" t="str">
        <f>HYPERLINK("https://rabota.by/resume/a2f6ec6a00096bc74e0013a3fa626b34514942","Кладовщик")</f>
        <v>Кладовщик</v>
      </c>
      <c r="F27" s="8">
        <v>900</v>
      </c>
    </row>
    <row r="28" spans="1:6" ht="14.25" x14ac:dyDescent="0.2">
      <c r="A28" s="3"/>
      <c r="B28" s="6">
        <v>24</v>
      </c>
      <c r="C28" s="7"/>
      <c r="D28" s="8"/>
      <c r="E28" s="103" t="str">
        <f>HYPERLINK("https://rabota.by/resume/3b4901280008741ce60013a3fa6f7237694444","Кладовщик")</f>
        <v>Кладовщик</v>
      </c>
      <c r="F28" s="8">
        <v>900</v>
      </c>
    </row>
    <row r="29" spans="1:6" ht="14.25" x14ac:dyDescent="0.2">
      <c r="A29" s="3"/>
      <c r="B29" s="6">
        <v>25</v>
      </c>
      <c r="C29" s="7"/>
      <c r="D29" s="8"/>
      <c r="E29" s="103" t="str">
        <f>HYPERLINK("https://rabota.by/resume/c679d15500061ae17a0013a3fa345364505235","Кладовщик")</f>
        <v>Кладовщик</v>
      </c>
      <c r="F29" s="8">
        <v>850</v>
      </c>
    </row>
    <row r="30" spans="1:6" ht="14.25" x14ac:dyDescent="0.2">
      <c r="A30" s="3"/>
      <c r="B30" s="6">
        <v>26</v>
      </c>
      <c r="C30" s="7"/>
      <c r="D30" s="8"/>
      <c r="E30" s="103" t="str">
        <f>HYPERLINK("https://rabota.by/resume/9971d343000779bc7f0013a3fa51686858454a","Кладовщик")</f>
        <v>Кладовщик</v>
      </c>
      <c r="F30" s="8">
        <v>850</v>
      </c>
    </row>
    <row r="31" spans="1:6" ht="14.25" x14ac:dyDescent="0.2">
      <c r="A31" s="3"/>
      <c r="B31" s="6">
        <v>27</v>
      </c>
      <c r="C31" s="7"/>
      <c r="D31" s="8"/>
      <c r="E31" s="103" t="str">
        <f>HYPERLINK("https://rabota.by/resume/c0df4cf100080b42110013a3fa666932725a72","Кладовщик")</f>
        <v>Кладовщик</v>
      </c>
      <c r="F31" s="8">
        <v>800</v>
      </c>
    </row>
    <row r="32" spans="1:6" ht="14.25" x14ac:dyDescent="0.2">
      <c r="A32" s="3"/>
      <c r="B32" s="6">
        <v>28</v>
      </c>
      <c r="C32" s="7"/>
      <c r="D32" s="8"/>
      <c r="E32" s="103" t="str">
        <f>HYPERLINK("https://rabota.by/resume/fc4596cc00031d043a0013a3fa626c6a655668","Кладовщик")</f>
        <v>Кладовщик</v>
      </c>
      <c r="F32" s="8">
        <v>800</v>
      </c>
    </row>
    <row r="33" spans="1:6" ht="14.25" x14ac:dyDescent="0.2">
      <c r="A33" s="3"/>
      <c r="B33" s="6">
        <v>29</v>
      </c>
      <c r="C33" s="7"/>
      <c r="D33" s="8"/>
      <c r="E33" s="103" t="str">
        <f>HYPERLINK("https://rabota.by/resume/33d07a130007e5d1580013a3fa3655314b3778","Кладовщик")</f>
        <v>Кладовщик</v>
      </c>
      <c r="F33" s="8">
        <v>800</v>
      </c>
    </row>
    <row r="34" spans="1:6" ht="14.25" x14ac:dyDescent="0.2">
      <c r="A34" s="3"/>
      <c r="B34" s="6">
        <v>30</v>
      </c>
      <c r="C34" s="7"/>
      <c r="D34" s="8"/>
      <c r="E34" s="103" t="str">
        <f>HYPERLINK("https://rabota.by/resume/e8cdf550000992d2210013a3fa55475358694b","Кладовщик")</f>
        <v>Кладовщик</v>
      </c>
      <c r="F34" s="8">
        <v>800</v>
      </c>
    </row>
    <row r="35" spans="1:6" ht="14.25" x14ac:dyDescent="0.2">
      <c r="A35" s="3"/>
      <c r="B35" s="6">
        <v>31</v>
      </c>
      <c r="C35" s="7"/>
      <c r="D35" s="8"/>
      <c r="E35" s="103" t="str">
        <f>HYPERLINK("https://rabota.by/resume/623acb49000990dcea0013a3fa454477445748","Кладовщик")</f>
        <v>Кладовщик</v>
      </c>
      <c r="F35" s="8">
        <v>800</v>
      </c>
    </row>
    <row r="36" spans="1:6" ht="14.25" x14ac:dyDescent="0.2">
      <c r="A36" s="3"/>
      <c r="B36" s="6">
        <v>32</v>
      </c>
      <c r="C36" s="7"/>
      <c r="D36" s="8"/>
      <c r="E36" s="103" t="str">
        <f>HYPERLINK("https://rabota.by/resume/22bfc11b0007f6b8fe0013a3fa6f6b59786c7a","Кладовщик")</f>
        <v>Кладовщик</v>
      </c>
      <c r="F36" s="8">
        <v>800</v>
      </c>
    </row>
    <row r="37" spans="1:6" ht="14.25" x14ac:dyDescent="0.2">
      <c r="A37" s="3"/>
      <c r="B37" s="6">
        <v>33</v>
      </c>
      <c r="C37" s="7"/>
      <c r="D37" s="8"/>
      <c r="E37" s="103" t="str">
        <f>HYPERLINK("https://rabota.by/resume/f8491f2600051d78690013a3fa356275545744","Кладовщик")</f>
        <v>Кладовщик</v>
      </c>
      <c r="F37" s="8">
        <v>800</v>
      </c>
    </row>
    <row r="38" spans="1:6" ht="14.25" x14ac:dyDescent="0.2">
      <c r="A38" s="3"/>
      <c r="B38" s="6">
        <v>34</v>
      </c>
      <c r="C38" s="7"/>
      <c r="D38" s="8"/>
      <c r="E38" s="103" t="str">
        <f>HYPERLINK("https://rabota.by/resume/1d7c400500098699c10013a3fa6f70417a6f32","Кладовщик")</f>
        <v>Кладовщик</v>
      </c>
      <c r="F38" s="8">
        <v>800</v>
      </c>
    </row>
    <row r="39" spans="1:6" ht="14.25" x14ac:dyDescent="0.2">
      <c r="A39" s="3"/>
      <c r="B39" s="6">
        <v>35</v>
      </c>
      <c r="C39" s="7"/>
      <c r="D39" s="8"/>
      <c r="E39" s="103" t="str">
        <f>HYPERLINK("https://rabota.by/resume/c3de499600050f49880013a3fa49756d347767","Кладовщик")</f>
        <v>Кладовщик</v>
      </c>
      <c r="F39" s="8">
        <v>800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650</v>
      </c>
      <c r="E40" s="11" t="s">
        <v>6</v>
      </c>
      <c r="F40" s="12">
        <f>IFERROR(PERCENTILE(F5:F39,0.1),"-")</f>
        <v>800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700</v>
      </c>
      <c r="E41" s="14" t="s">
        <v>7</v>
      </c>
      <c r="F41" s="15">
        <f>IFERROR(QUARTILE(F5:F39, 1),"-")</f>
        <v>825</v>
      </c>
    </row>
    <row r="42" spans="1:6" ht="15" x14ac:dyDescent="0.25">
      <c r="A42" s="9"/>
      <c r="B42" s="16"/>
      <c r="C42" s="17" t="s">
        <v>8</v>
      </c>
      <c r="D42" s="18">
        <f>IFERROR(MEDIAN(D5:D39),"-")</f>
        <v>800</v>
      </c>
      <c r="E42" s="17" t="s">
        <v>8</v>
      </c>
      <c r="F42" s="18">
        <f>IFERROR(MEDIAN(F5:F39),"-")</f>
        <v>1000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1050</v>
      </c>
      <c r="E43" s="20" t="s">
        <v>9</v>
      </c>
      <c r="F43" s="21">
        <f>IFERROR(QUARTILE(F5:F39,3), "-")</f>
        <v>1150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1500</v>
      </c>
      <c r="E44" s="23" t="s">
        <v>10</v>
      </c>
      <c r="F44" s="24">
        <f>IFERROR(PERCENTILE(F5:F39,0.9),"-")</f>
        <v>1260.0000000000002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700</v>
      </c>
    </row>
    <row r="48" spans="1:6" ht="14.25" x14ac:dyDescent="0.2">
      <c r="C48" s="90" t="s">
        <v>7</v>
      </c>
      <c r="D48" s="91">
        <f>IFERROR(QUARTILE(D5:F39, 1),"-")</f>
        <v>800</v>
      </c>
    </row>
    <row r="49" spans="3:4" ht="14.25" x14ac:dyDescent="0.2">
      <c r="C49" s="92" t="s">
        <v>8</v>
      </c>
      <c r="D49" s="93">
        <f>IFERROR(MEDIAN(D5:D39,F5:F39),"-")</f>
        <v>900</v>
      </c>
    </row>
    <row r="50" spans="3:4" ht="14.25" x14ac:dyDescent="0.2">
      <c r="C50" s="94" t="s">
        <v>9</v>
      </c>
      <c r="D50" s="95">
        <f>IFERROR(QUARTILE(D5:F39,3), "-")</f>
        <v>1100</v>
      </c>
    </row>
    <row r="51" spans="3:4" ht="14.25" x14ac:dyDescent="0.2">
      <c r="C51" s="96" t="s">
        <v>10</v>
      </c>
      <c r="D51" s="97">
        <f>IFERROR(PERCENTILE(D5:F39,0.9),"-")</f>
        <v>1400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88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HYPERLINK("https://rabota.by/vacancy/51780013","ОАО Могилевский мясокомбинат")</f>
        <v>ОАО Могилевский мясокомбинат</v>
      </c>
      <c r="D5" s="8">
        <v>800</v>
      </c>
      <c r="E5" s="103" t="str">
        <f>HYPERLINK("https://rabota.by/resume/5c07bd0800051440910013a3fa7a354830765a","Слесарь-ремонтник")</f>
        <v>Слесарь-ремонтник</v>
      </c>
      <c r="F5" s="8">
        <v>2000</v>
      </c>
    </row>
    <row r="6" spans="1:6" ht="14.25" x14ac:dyDescent="0.2">
      <c r="A6" s="3"/>
      <c r="B6" s="6">
        <v>2</v>
      </c>
      <c r="C6" s="102" t="str">
        <f>HYPERLINK("https://rabota.by/vacancy/52320747","Могилевский филиал РУП Белорусский протезно-ортопедический восстановительный центр")</f>
        <v>Могилевский филиал РУП Белорусский протезно-ортопедический восстановительный центр</v>
      </c>
      <c r="D6" s="8">
        <v>850</v>
      </c>
      <c r="E6" s="103" t="str">
        <f>HYPERLINK("https://rabota.by/resume/e068a83d00074728de0013a3fa4a446f527139","Слесарь-ремонтник")</f>
        <v>Слесарь-ремонтник</v>
      </c>
      <c r="F6" s="8">
        <v>2000</v>
      </c>
    </row>
    <row r="7" spans="1:6" ht="14.25" x14ac:dyDescent="0.2">
      <c r="A7" s="3"/>
      <c r="B7" s="6">
        <v>3</v>
      </c>
      <c r="C7" s="102" t="str">
        <f>HYPERLINK("https://rabota.by/vacancy/50749854","ЗАО Бобруйский бровар")</f>
        <v>ЗАО Бобруйский бровар</v>
      </c>
      <c r="D7" s="8">
        <v>960</v>
      </c>
      <c r="E7" s="103" t="str">
        <f>HYPERLINK("https://rabota.by/resume/efa206c50000d71af20013a3fa4f614b45554a","Слесарь-ремонтник")</f>
        <v>Слесарь-ремонтник</v>
      </c>
      <c r="F7" s="8">
        <v>1999</v>
      </c>
    </row>
    <row r="8" spans="1:6" ht="14.25" x14ac:dyDescent="0.2">
      <c r="A8" s="3"/>
      <c r="B8" s="6">
        <v>4</v>
      </c>
      <c r="C8" s="102" t="str">
        <f>HYPERLINK("https://rabota.by/vacancy/52017614","ООО Экструзионные технологии")</f>
        <v>ООО Экструзионные технологии</v>
      </c>
      <c r="D8" s="8">
        <v>850</v>
      </c>
      <c r="E8" s="103" t="str">
        <f>HYPERLINK("https://rabota.by/resume/f8c242bb00085a5cf60013a3fa796878746a69","Слесарь-ремонтник")</f>
        <v>Слесарь-ремонтник</v>
      </c>
      <c r="F8" s="8">
        <v>1930</v>
      </c>
    </row>
    <row r="9" spans="1:6" ht="14.25" x14ac:dyDescent="0.2">
      <c r="A9" s="3"/>
      <c r="B9" s="6">
        <v>5</v>
      </c>
      <c r="C9" s="102" t="str">
        <f>HYPERLINK("https://rabota.by/vacancy/52050611","ООО Глобал Сервис Интернешинал")</f>
        <v>ООО Глобал Сервис Интернешинал</v>
      </c>
      <c r="D9" s="8">
        <v>4100</v>
      </c>
      <c r="E9" s="103" t="str">
        <f>HYPERLINK("https://rabota.by/resume/1e301e3200096f9d010013a3fa707143584538","Слесарь-ремонтник")</f>
        <v>Слесарь-ремонтник</v>
      </c>
      <c r="F9" s="8">
        <v>1800</v>
      </c>
    </row>
    <row r="10" spans="1:6" ht="14.25" x14ac:dyDescent="0.2">
      <c r="A10" s="3"/>
      <c r="B10" s="6">
        <v>6</v>
      </c>
      <c r="C10" s="7"/>
      <c r="D10" s="8"/>
      <c r="E10" s="103" t="str">
        <f>HYPERLINK("https://rabota.by/resume/92edabcb000768b9de0013a3fa4a476c583761","Слесарь-ремонтник")</f>
        <v>Слесарь-ремонтник</v>
      </c>
      <c r="F10" s="8">
        <v>1500</v>
      </c>
    </row>
    <row r="11" spans="1:6" ht="14.25" x14ac:dyDescent="0.2">
      <c r="A11" s="3"/>
      <c r="B11" s="6">
        <v>7</v>
      </c>
      <c r="C11" s="7"/>
      <c r="D11" s="8"/>
      <c r="E11" s="103" t="str">
        <f>HYPERLINK("https://rabota.by/resume/7b9e7d83000925fb100013a3fa7a507756486c","Слесарь-ремонтник")</f>
        <v>Слесарь-ремонтник</v>
      </c>
      <c r="F11" s="8">
        <v>1500</v>
      </c>
    </row>
    <row r="12" spans="1:6" ht="14.25" x14ac:dyDescent="0.2">
      <c r="A12" s="3"/>
      <c r="B12" s="6">
        <v>8</v>
      </c>
      <c r="C12" s="7"/>
      <c r="D12" s="8"/>
      <c r="E12" s="103" t="str">
        <f>HYPERLINK("https://rabota.by/resume/1f3e51850009804f6a0013a3fa514f31464a64","Слесарь-ремонтник")</f>
        <v>Слесарь-ремонтник</v>
      </c>
      <c r="F12" s="8">
        <v>1400</v>
      </c>
    </row>
    <row r="13" spans="1:6" ht="14.25" x14ac:dyDescent="0.2">
      <c r="A13" s="3"/>
      <c r="B13" s="6">
        <v>9</v>
      </c>
      <c r="C13" s="7"/>
      <c r="D13" s="8"/>
      <c r="E13" s="103" t="str">
        <f>HYPERLINK("https://rabota.by/resume/c1279808000881e98e0013a3fa625264315569","Слесарь-ремонтник")</f>
        <v>Слесарь-ремонтник</v>
      </c>
      <c r="F13" s="8">
        <v>1400</v>
      </c>
    </row>
    <row r="14" spans="1:6" ht="14.25" x14ac:dyDescent="0.2">
      <c r="A14" s="3"/>
      <c r="B14" s="6">
        <v>10</v>
      </c>
      <c r="C14" s="7"/>
      <c r="D14" s="8"/>
      <c r="E14" s="103" t="str">
        <f>HYPERLINK("https://rabota.by/resume/0719b52400091a74b70013a3fa334e66723765","Слесарь-ремонтник")</f>
        <v>Слесарь-ремонтник</v>
      </c>
      <c r="F14" s="8">
        <v>1300</v>
      </c>
    </row>
    <row r="15" spans="1:6" ht="14.25" x14ac:dyDescent="0.2">
      <c r="A15" s="3"/>
      <c r="B15" s="6">
        <v>11</v>
      </c>
      <c r="C15" s="7"/>
      <c r="D15" s="8"/>
      <c r="E15" s="103" t="str">
        <f>HYPERLINK("https://rabota.by/resume/69ba2f260005a081ec0013a3fa706855635650","Слесарь-ремонтник")</f>
        <v>Слесарь-ремонтник</v>
      </c>
      <c r="F15" s="8">
        <v>1300</v>
      </c>
    </row>
    <row r="16" spans="1:6" ht="14.25" x14ac:dyDescent="0.2">
      <c r="A16" s="3"/>
      <c r="B16" s="6">
        <v>12</v>
      </c>
      <c r="C16" s="7"/>
      <c r="D16" s="8"/>
      <c r="E16" s="103" t="str">
        <f>HYPERLINK("https://rabota.by/resume/2387423800064388ac0013a3fa75733049554e","Слесарь-ремонтник")</f>
        <v>Слесарь-ремонтник</v>
      </c>
      <c r="F16" s="8">
        <v>1300</v>
      </c>
    </row>
    <row r="17" spans="1:6" ht="14.25" x14ac:dyDescent="0.2">
      <c r="A17" s="3"/>
      <c r="B17" s="6">
        <v>13</v>
      </c>
      <c r="C17" s="7"/>
      <c r="D17" s="8"/>
      <c r="E17" s="103" t="str">
        <f>HYPERLINK("https://rabota.by/resume/fc61cfd70005f3a7af0013a3fa543652395532","Слесарь-ремонтник")</f>
        <v>Слесарь-ремонтник</v>
      </c>
      <c r="F17" s="8">
        <v>1200</v>
      </c>
    </row>
    <row r="18" spans="1:6" ht="14.25" x14ac:dyDescent="0.2">
      <c r="A18" s="3"/>
      <c r="B18" s="6">
        <v>14</v>
      </c>
      <c r="C18" s="7"/>
      <c r="D18" s="8"/>
      <c r="E18" s="103" t="str">
        <f>HYPERLINK("https://rabota.by/resume/c2bf89710005f6e18e0013a3fa724778627130","Слесарь-ремонтник")</f>
        <v>Слесарь-ремонтник</v>
      </c>
      <c r="F18" s="8">
        <v>1200</v>
      </c>
    </row>
    <row r="19" spans="1:6" ht="14.25" x14ac:dyDescent="0.2">
      <c r="A19" s="3"/>
      <c r="B19" s="6">
        <v>15</v>
      </c>
      <c r="C19" s="7"/>
      <c r="D19" s="8"/>
      <c r="E19" s="103" t="str">
        <f>HYPERLINK("https://rabota.by/resume/00b34cde0007a978c70013a3fa356337617376","Слесарь-ремонтник")</f>
        <v>Слесарь-ремонтник</v>
      </c>
      <c r="F19" s="8">
        <v>1200</v>
      </c>
    </row>
    <row r="20" spans="1:6" ht="14.25" x14ac:dyDescent="0.2">
      <c r="A20" s="3"/>
      <c r="B20" s="6">
        <v>16</v>
      </c>
      <c r="C20" s="7"/>
      <c r="D20" s="8"/>
      <c r="E20" s="103" t="str">
        <f>HYPERLINK("https://rabota.by/resume/51ec103d000655f3580013a3fa436f6d347931","Слесарь-ремонтник")</f>
        <v>Слесарь-ремонтник</v>
      </c>
      <c r="F20" s="8">
        <v>1200</v>
      </c>
    </row>
    <row r="21" spans="1:6" ht="14.25" x14ac:dyDescent="0.2">
      <c r="A21" s="3"/>
      <c r="B21" s="6">
        <v>17</v>
      </c>
      <c r="C21" s="7"/>
      <c r="D21" s="8"/>
      <c r="E21" s="103" t="str">
        <f>HYPERLINK("https://rabota.by/resume/1f0daf6500094792c80013a3fa455635453862","Слесарь-ремонтник")</f>
        <v>Слесарь-ремонтник</v>
      </c>
      <c r="F21" s="8">
        <v>1100</v>
      </c>
    </row>
    <row r="22" spans="1:6" ht="14.25" x14ac:dyDescent="0.2">
      <c r="A22" s="3"/>
      <c r="B22" s="6">
        <v>18</v>
      </c>
      <c r="C22" s="7"/>
      <c r="D22" s="8"/>
      <c r="E22" s="103" t="str">
        <f>HYPERLINK("https://rabota.by/resume/fa847ad90006f105f50013a3fa63326c797566","Слесарь-ремонтник")</f>
        <v>Слесарь-ремонтник</v>
      </c>
      <c r="F22" s="8">
        <v>1100</v>
      </c>
    </row>
    <row r="23" spans="1:6" ht="14.25" x14ac:dyDescent="0.2">
      <c r="A23" s="3"/>
      <c r="B23" s="6">
        <v>19</v>
      </c>
      <c r="C23" s="7"/>
      <c r="D23" s="8"/>
      <c r="E23" s="103" t="str">
        <f>HYPERLINK("https://rabota.by/resume/9cef7720000422267e0013a3fa586f5153327a","Слесарь-ремонтник")</f>
        <v>Слесарь-ремонтник</v>
      </c>
      <c r="F23" s="8">
        <v>1100</v>
      </c>
    </row>
    <row r="24" spans="1:6" ht="14.25" x14ac:dyDescent="0.2">
      <c r="A24" s="3"/>
      <c r="B24" s="6">
        <v>20</v>
      </c>
      <c r="C24" s="7"/>
      <c r="D24" s="8"/>
      <c r="E24" s="103" t="str">
        <f>HYPERLINK("https://rabota.by/resume/0bd907b700096e062c0013a3fa76584878696f","Слесарь-ремонтник")</f>
        <v>Слесарь-ремонтник</v>
      </c>
      <c r="F24" s="8">
        <v>1000</v>
      </c>
    </row>
    <row r="25" spans="1:6" ht="14.25" x14ac:dyDescent="0.2">
      <c r="A25" s="3"/>
      <c r="B25" s="6">
        <v>21</v>
      </c>
      <c r="C25" s="7"/>
      <c r="D25" s="8"/>
      <c r="E25" s="103" t="str">
        <f>HYPERLINK("https://rabota.by/resume/538d4481000608b7860013a3fa6b4a47794a66","Слесарь-ремонтник")</f>
        <v>Слесарь-ремонтник</v>
      </c>
      <c r="F25" s="8">
        <v>1000</v>
      </c>
    </row>
    <row r="26" spans="1:6" ht="14.25" x14ac:dyDescent="0.2">
      <c r="A26" s="3"/>
      <c r="B26" s="6">
        <v>22</v>
      </c>
      <c r="C26" s="7"/>
      <c r="D26" s="8"/>
      <c r="E26" s="103" t="str">
        <f>HYPERLINK("https://rabota.by/resume/4f0e8b7600071a4eb80013a3fa324a774e6f37","Слесарь-ремонтник")</f>
        <v>Слесарь-ремонтник</v>
      </c>
      <c r="F26" s="8">
        <v>1000</v>
      </c>
    </row>
    <row r="27" spans="1:6" ht="14.25" x14ac:dyDescent="0.2">
      <c r="A27" s="3"/>
      <c r="B27" s="6">
        <v>23</v>
      </c>
      <c r="C27" s="7"/>
      <c r="D27" s="8"/>
      <c r="E27" s="103" t="str">
        <f>HYPERLINK("https://rabota.by/resume/df07d2060006b471920013a3fa4c3135534c57","Слесарь-ремонтник")</f>
        <v>Слесарь-ремонтник</v>
      </c>
      <c r="F27" s="8">
        <v>1000</v>
      </c>
    </row>
    <row r="28" spans="1:6" ht="14.25" x14ac:dyDescent="0.2">
      <c r="A28" s="3"/>
      <c r="B28" s="6">
        <v>24</v>
      </c>
      <c r="C28" s="7"/>
      <c r="D28" s="8"/>
      <c r="E28" s="103" t="str">
        <f>HYPERLINK("https://rabota.by/resume/cef823800006ce3c5d0013a3fa515059494774","Слесарь-ремонтник")</f>
        <v>Слесарь-ремонтник</v>
      </c>
      <c r="F28" s="8">
        <v>1000</v>
      </c>
    </row>
    <row r="29" spans="1:6" ht="14.25" x14ac:dyDescent="0.2">
      <c r="A29" s="3"/>
      <c r="B29" s="6">
        <v>25</v>
      </c>
      <c r="C29" s="7"/>
      <c r="D29" s="8"/>
      <c r="E29" s="103" t="str">
        <f>HYPERLINK("https://rabota.by/resume/0bfd14920001cf68eb0013a3fa49737a666745","Слесарь-ремонтник")</f>
        <v>Слесарь-ремонтник</v>
      </c>
      <c r="F29" s="8">
        <v>1000</v>
      </c>
    </row>
    <row r="30" spans="1:6" ht="14.25" x14ac:dyDescent="0.2">
      <c r="A30" s="3"/>
      <c r="B30" s="6">
        <v>26</v>
      </c>
      <c r="C30" s="7"/>
      <c r="D30" s="8"/>
      <c r="E30" s="103" t="str">
        <f>HYPERLINK("https://rabota.by/resume/46efad74000342abbb0013a3fa473034444367","Слесарь-ремонтник")</f>
        <v>Слесарь-ремонтник</v>
      </c>
      <c r="F30" s="8">
        <v>1000</v>
      </c>
    </row>
    <row r="31" spans="1:6" ht="14.25" x14ac:dyDescent="0.2">
      <c r="A31" s="3"/>
      <c r="B31" s="6">
        <v>27</v>
      </c>
      <c r="C31" s="7"/>
      <c r="D31" s="8"/>
      <c r="E31" s="103" t="str">
        <f>HYPERLINK("https://rabota.by/resume/e3ce687a0000bdc0990013a3fa736563726574","Слесарь-ремонтник")</f>
        <v>Слесарь-ремонтник</v>
      </c>
      <c r="F31" s="8">
        <v>1000</v>
      </c>
    </row>
    <row r="32" spans="1:6" ht="14.25" x14ac:dyDescent="0.2">
      <c r="A32" s="3"/>
      <c r="B32" s="6">
        <v>28</v>
      </c>
      <c r="C32" s="7"/>
      <c r="D32" s="8"/>
      <c r="E32" s="103" t="str">
        <f>HYPERLINK("https://rabota.by/resume/1c0446c40005f69c290013a3fa6e48494c4e69","Слесарь-ремонтник")</f>
        <v>Слесарь-ремонтник</v>
      </c>
      <c r="F32" s="8">
        <v>900</v>
      </c>
    </row>
    <row r="33" spans="1:6" ht="14.25" x14ac:dyDescent="0.2">
      <c r="A33" s="3"/>
      <c r="B33" s="6">
        <v>29</v>
      </c>
      <c r="C33" s="7"/>
      <c r="D33" s="8"/>
      <c r="E33" s="103" t="str">
        <f>HYPERLINK("https://rabota.by/resume/3ba078a00003decab40013a3fa61594d306e39","Слесарь-ремонтник")</f>
        <v>Слесарь-ремонтник</v>
      </c>
      <c r="F33" s="8">
        <v>900</v>
      </c>
    </row>
    <row r="34" spans="1:6" ht="14.25" x14ac:dyDescent="0.2">
      <c r="A34" s="3"/>
      <c r="B34" s="6">
        <v>30</v>
      </c>
      <c r="C34" s="7"/>
      <c r="D34" s="8"/>
      <c r="E34" s="103" t="str">
        <f>HYPERLINK("https://rabota.by/resume/21d7753c00093051950013a3fa4e6b53637a31","Слесарь-ремонтник")</f>
        <v>Слесарь-ремонтник</v>
      </c>
      <c r="F34" s="8">
        <v>800</v>
      </c>
    </row>
    <row r="35" spans="1:6" ht="14.25" x14ac:dyDescent="0.2">
      <c r="A35" s="3"/>
      <c r="B35" s="6">
        <v>31</v>
      </c>
      <c r="C35" s="7"/>
      <c r="D35" s="8"/>
      <c r="E35" s="103" t="str">
        <f>HYPERLINK("https://rabota.by/resume/d1c238d90008bcd3a30013a3fa6268697a4146","Слесарь-ремонтник")</f>
        <v>Слесарь-ремонтник</v>
      </c>
      <c r="F35" s="8">
        <v>800</v>
      </c>
    </row>
    <row r="36" spans="1:6" ht="14.25" x14ac:dyDescent="0.2">
      <c r="A36" s="3"/>
      <c r="B36" s="6">
        <v>32</v>
      </c>
      <c r="C36" s="7"/>
      <c r="D36" s="8"/>
      <c r="E36" s="103" t="str">
        <f>HYPERLINK("https://rabota.by/resume/075c0f3400080f08840013a3fa576b32713244","Слесарь-ремонтник")</f>
        <v>Слесарь-ремонтник</v>
      </c>
      <c r="F36" s="8">
        <v>800</v>
      </c>
    </row>
    <row r="37" spans="1:6" ht="14.25" x14ac:dyDescent="0.2">
      <c r="A37" s="3"/>
      <c r="B37" s="6">
        <v>33</v>
      </c>
      <c r="C37" s="7"/>
      <c r="D37" s="8"/>
      <c r="E37" s="103" t="str">
        <f>HYPERLINK("https://rabota.by/resume/3122d1a80004ffa4450013a3fa5246507a5241","Слесарь-ремонтник")</f>
        <v>Слесарь-ремонтник</v>
      </c>
      <c r="F37" s="8">
        <v>800</v>
      </c>
    </row>
    <row r="38" spans="1:6" ht="14.25" x14ac:dyDescent="0.2">
      <c r="A38" s="3"/>
      <c r="B38" s="6">
        <v>34</v>
      </c>
      <c r="C38" s="7"/>
      <c r="D38" s="8"/>
      <c r="E38" s="103" t="str">
        <f>HYPERLINK("https://rabota.by/resume/08277a9600073fd2f40013a3fa6b545552706d","Слесарь-ремонтник")</f>
        <v>Слесарь-ремонтник</v>
      </c>
      <c r="F38" s="8">
        <v>800</v>
      </c>
    </row>
    <row r="39" spans="1:6" ht="14.25" x14ac:dyDescent="0.2">
      <c r="A39" s="3"/>
      <c r="B39" s="6">
        <v>35</v>
      </c>
      <c r="C39" s="7"/>
      <c r="D39" s="8"/>
      <c r="E39" s="103" t="str">
        <f>HYPERLINK("https://rabota.by/resume/c7b53c800007486f590013a3fa39574e546d45","Слесарь-ремонтник")</f>
        <v>Слесарь-ремонтник</v>
      </c>
      <c r="F39" s="8">
        <v>800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820</v>
      </c>
      <c r="E40" s="11" t="s">
        <v>6</v>
      </c>
      <c r="F40" s="12">
        <f>IFERROR(PERCENTILE(F5:F39,0.1),"-")</f>
        <v>800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850</v>
      </c>
      <c r="E41" s="14" t="s">
        <v>7</v>
      </c>
      <c r="F41" s="15">
        <f>IFERROR(QUARTILE(F5:F39, 1),"-")</f>
        <v>1000</v>
      </c>
    </row>
    <row r="42" spans="1:6" ht="15" x14ac:dyDescent="0.25">
      <c r="A42" s="9"/>
      <c r="B42" s="16"/>
      <c r="C42" s="17" t="s">
        <v>8</v>
      </c>
      <c r="D42" s="18">
        <f>IFERROR(MEDIAN(D5:D39),"-")</f>
        <v>850</v>
      </c>
      <c r="E42" s="17" t="s">
        <v>8</v>
      </c>
      <c r="F42" s="18">
        <f>IFERROR(MEDIAN(F5:F39),"-")</f>
        <v>1100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960</v>
      </c>
      <c r="E43" s="20" t="s">
        <v>9</v>
      </c>
      <c r="F43" s="21">
        <f>IFERROR(QUARTILE(F5:F39,3), "-")</f>
        <v>1350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2843.9999999999991</v>
      </c>
      <c r="E44" s="23" t="s">
        <v>10</v>
      </c>
      <c r="F44" s="24">
        <f>IFERROR(PERCENTILE(F5:F39,0.9),"-")</f>
        <v>1878.0000000000002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800</v>
      </c>
    </row>
    <row r="48" spans="1:6" ht="14.25" x14ac:dyDescent="0.2">
      <c r="C48" s="90" t="s">
        <v>7</v>
      </c>
      <c r="D48" s="91">
        <f>IFERROR(QUARTILE(D5:F39, 1),"-")</f>
        <v>900</v>
      </c>
    </row>
    <row r="49" spans="3:4" ht="14.25" x14ac:dyDescent="0.2">
      <c r="C49" s="92" t="s">
        <v>8</v>
      </c>
      <c r="D49" s="93">
        <f>IFERROR(MEDIAN(D5:D39,F5:F39),"-")</f>
        <v>1050</v>
      </c>
    </row>
    <row r="50" spans="3:4" ht="14.25" x14ac:dyDescent="0.2">
      <c r="C50" s="94" t="s">
        <v>9</v>
      </c>
      <c r="D50" s="95">
        <f>IFERROR(QUARTILE(D5:F39,3), "-")</f>
        <v>1325</v>
      </c>
    </row>
    <row r="51" spans="3:4" ht="14.25" x14ac:dyDescent="0.2">
      <c r="C51" s="96" t="s">
        <v>10</v>
      </c>
      <c r="D51" s="97">
        <f>IFERROR(PERCENTILE(D5:F39,0.9),"-")</f>
        <v>1936.9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</vt:i4>
      </vt:variant>
    </vt:vector>
  </HeadingPairs>
  <TitlesOfParts>
    <vt:vector size="20" baseType="lpstr">
      <vt:lpstr>Список профессий</vt:lpstr>
      <vt:lpstr>Форма</vt:lpstr>
      <vt:lpstr>Продавец</vt:lpstr>
      <vt:lpstr>Обвальщик мяса</vt:lpstr>
      <vt:lpstr>Уборщик служебных помещений_ у</vt:lpstr>
      <vt:lpstr>Слесарь-сантехник</vt:lpstr>
      <vt:lpstr>Укладчик-упаковщик_ комплектов</vt:lpstr>
      <vt:lpstr>Кладовщик</vt:lpstr>
      <vt:lpstr>Слесарь-ремонтник</vt:lpstr>
      <vt:lpstr>Грузчик</vt:lpstr>
      <vt:lpstr>Изготовитель полуфабрикатов</vt:lpstr>
      <vt:lpstr>Птицевод</vt:lpstr>
      <vt:lpstr>Водитель-международник</vt:lpstr>
      <vt:lpstr>Водитель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2022-02-16T12:00:41Z</dcterms:modified>
  <dc:language>en-US</dc:language>
</cp:coreProperties>
</file>