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hsL8Z3rAIRfKMfa3AMSKS6ffBuQA=="/>
    </ext>
  </extLst>
</workbook>
</file>

<file path=xl/sharedStrings.xml><?xml version="1.0" encoding="utf-8"?>
<sst xmlns="http://schemas.openxmlformats.org/spreadsheetml/2006/main" count="142" uniqueCount="78">
  <si>
    <t>Nom :</t>
  </si>
  <si>
    <t>Prénom :</t>
  </si>
  <si>
    <t>Partie 4</t>
  </si>
  <si>
    <t>i =</t>
  </si>
  <si>
    <t>n =</t>
  </si>
  <si>
    <t>Matricule :</t>
  </si>
  <si>
    <t>Groupe :</t>
  </si>
  <si>
    <t>Aug. Salaire</t>
  </si>
  <si>
    <t>% dernier salaire</t>
  </si>
  <si>
    <t>TRAM</t>
  </si>
  <si>
    <t xml:space="preserve">Montant </t>
  </si>
  <si>
    <t>Facteur act.</t>
  </si>
  <si>
    <t>Montant act.</t>
  </si>
  <si>
    <t>a)</t>
  </si>
  <si>
    <t>(F/P,3%,40)</t>
  </si>
  <si>
    <t>Partie 1</t>
  </si>
  <si>
    <t>i1 =</t>
  </si>
  <si>
    <t>i2 =</t>
  </si>
  <si>
    <t>g =</t>
  </si>
  <si>
    <t>b)</t>
  </si>
  <si>
    <t>-</t>
  </si>
  <si>
    <t>Montants</t>
  </si>
  <si>
    <t>Fact.Act1</t>
  </si>
  <si>
    <t>Fact.Act2</t>
  </si>
  <si>
    <t>Fact.Act3</t>
  </si>
  <si>
    <t>Formule</t>
  </si>
  <si>
    <t>Montants act.</t>
  </si>
  <si>
    <t>(P/A,10%,3)</t>
  </si>
  <si>
    <t>c)</t>
  </si>
  <si>
    <t>(A/F,6%,40)</t>
  </si>
  <si>
    <t>(P/A,10%,3)*(P/F,10%,3)</t>
  </si>
  <si>
    <t>(P/G,10%,3)*(P/F,10%,3)</t>
  </si>
  <si>
    <t>d)</t>
  </si>
  <si>
    <t>(P/F,6%,40)</t>
  </si>
  <si>
    <t>(P/F,8%,1)*(P/F,10%,6)</t>
  </si>
  <si>
    <t>Montant</t>
  </si>
  <si>
    <t>(P/A.-5%,8%,3)*(P/F,8%,2)*(P/F,10%,6)</t>
  </si>
  <si>
    <t>e)</t>
  </si>
  <si>
    <t>(F/A,3%,6%,40)</t>
  </si>
  <si>
    <t>Réponse =</t>
  </si>
  <si>
    <t>Partie 5</t>
  </si>
  <si>
    <t>1) Intérêt semestriel = (1355 $ x 5 %)/2 = 33,875 $</t>
  </si>
  <si>
    <t>n = 20 semestres</t>
  </si>
  <si>
    <t>(F/P,10%,7)</t>
  </si>
  <si>
    <t xml:space="preserve">2) TRAM effectif par semestre = </t>
  </si>
  <si>
    <t>(P/A,10%,3)*(F/P,10%,7)</t>
  </si>
  <si>
    <t>3)</t>
  </si>
  <si>
    <t>(P/A,10%,3)*(F/P,10%,4)</t>
  </si>
  <si>
    <t>VA =</t>
  </si>
  <si>
    <t>33,875 $ (P/A;5,50 %;20) + 1355 $ (P/F;5,50 %;20)</t>
  </si>
  <si>
    <t>(P/G,10%,3)*(F/P,10%,4)</t>
  </si>
  <si>
    <t>(P/G,10%,3)*(P/F,10%,1)</t>
  </si>
  <si>
    <t>Partie 2</t>
  </si>
  <si>
    <t>Calculs</t>
  </si>
  <si>
    <t>ipp =</t>
  </si>
  <si>
    <t>1) Coupons = 900 $ * (9 %/ 2) = 40,50 $ / semestre</t>
  </si>
  <si>
    <t>2) Échéances = 9 années * 2 semestres / années = 18 semestres</t>
  </si>
  <si>
    <t>(F/P,10,25%,10)</t>
  </si>
  <si>
    <t>3) Valeur nominale à échéance = 900 $</t>
  </si>
  <si>
    <t>(P/A,10,25%,5)*(F/P,10,25%,10)</t>
  </si>
  <si>
    <t>4)</t>
  </si>
  <si>
    <t>(P/A,10,25%,3)*(F/P,10,25%,5)</t>
  </si>
  <si>
    <t>r1 = 8,0 %</t>
  </si>
  <si>
    <t>VAN(r1) =</t>
  </si>
  <si>
    <t>(F/P,10,25%,1)</t>
  </si>
  <si>
    <t>r = ?</t>
  </si>
  <si>
    <t>VAN(r) =</t>
  </si>
  <si>
    <t>Valeur futur dans 13 ans =</t>
  </si>
  <si>
    <t>r2 = 9,0 %</t>
  </si>
  <si>
    <t>VAN(r2) =</t>
  </si>
  <si>
    <t>r =</t>
  </si>
  <si>
    <t>Rendement effectif annuel =</t>
  </si>
  <si>
    <t>Partie 3</t>
  </si>
  <si>
    <t>(P/A,8%,10)</t>
  </si>
  <si>
    <t>(P/G,10%,10)</t>
  </si>
  <si>
    <t>Valeur actuelle à l'an 0</t>
  </si>
  <si>
    <t>Annuité échelonné sur 10 ans = (A/P,8%,10) * Valeur actuelle à l'an 0</t>
  </si>
  <si>
    <t>Annuité échelonné sur 10 ans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</si>
</sst>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 * #,##0.00_)\ &quot;$&quot;_ ;_ * \(#,##0.00\)\ &quot;$&quot;_ ;_ * &quot;-&quot;??_)\ &quot;$&quot;_ ;_ @_ "/>
    <numFmt numFmtId="165" formatCode="0.00000"/>
    <numFmt numFmtId="166" formatCode="_ * #,##0_)\ &quot;$&quot;_ ;_ * \(#,##0\)\ &quot;$&quot;_ ;_ * &quot;-&quot;??_)\ &quot;$&quot;_ ;_ @_ "/>
    <numFmt numFmtId="167" formatCode="_ * #,##0.00000_)\ &quot;$&quot;_ ;_ * \(#,##0.00000\)\ &quot;$&quot;_ ;_ * &quot;-&quot;??_)\ &quot;$&quot;_ ;_ @_ "/>
    <numFmt numFmtId="168" formatCode="#,##0\ &quot;$&quot;_);[Red]\(#,##0\ &quot;$&quot;\)"/>
    <numFmt numFmtId="169" formatCode="#,##0.00\ &quot;$&quot;_);[Red]\(#,##0.00\ &quot;$&quot;\)"/>
  </numFmts>
  <fonts count="7">
    <font>
      <sz val="11.0"/>
      <color theme="1"/>
      <name val="Calibri"/>
      <scheme val="minor"/>
    </font>
    <font>
      <b/>
      <sz val="11.0"/>
      <color theme="1"/>
      <name val="Times New Roman"/>
    </font>
    <font>
      <b/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0" numFmtId="0" xfId="0" applyAlignment="1" applyFont="1">
      <alignment horizontal="right"/>
    </xf>
    <xf borderId="0" fillId="0" fontId="0" numFmtId="9" xfId="0" applyFont="1" applyNumberFormat="1"/>
    <xf borderId="0" fillId="0" fontId="3" numFmtId="0" xfId="0" applyFont="1"/>
    <xf borderId="0" fillId="0" fontId="2" numFmtId="0" xfId="0" applyAlignment="1" applyFont="1">
      <alignment horizontal="left"/>
    </xf>
    <xf borderId="0" fillId="0" fontId="4" numFmtId="9" xfId="0" applyFont="1" applyNumberFormat="1"/>
    <xf borderId="0" fillId="0" fontId="4" numFmtId="0" xfId="0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0" numFmtId="0" xfId="0" applyFont="1"/>
    <xf borderId="1" fillId="0" fontId="4" numFmtId="0" xfId="0" applyBorder="1" applyFont="1"/>
    <xf borderId="1" fillId="0" fontId="4" numFmtId="164" xfId="0" applyAlignment="1" applyBorder="1" applyFont="1" applyNumberFormat="1">
      <alignment horizontal="right"/>
    </xf>
    <xf borderId="0" fillId="0" fontId="4" numFmtId="165" xfId="0" applyAlignment="1" applyFont="1" applyNumberFormat="1">
      <alignment horizontal="right"/>
    </xf>
    <xf borderId="1" fillId="2" fontId="1" numFmtId="164" xfId="0" applyAlignment="1" applyBorder="1" applyFill="1" applyFont="1" applyNumberFormat="1">
      <alignment horizontal="right"/>
    </xf>
    <xf borderId="0" fillId="0" fontId="4" numFmtId="0" xfId="0" applyAlignment="1" applyFont="1">
      <alignment horizontal="center"/>
    </xf>
    <xf borderId="0" fillId="0" fontId="4" numFmtId="166" xfId="0" applyAlignment="1" applyFont="1" applyNumberFormat="1">
      <alignment horizontal="center"/>
    </xf>
    <xf borderId="2" fillId="0" fontId="1" numFmtId="0" xfId="0" applyAlignment="1" applyBorder="1" applyFont="1">
      <alignment horizontal="right"/>
    </xf>
    <xf borderId="2" fillId="0" fontId="1" numFmtId="9" xfId="0" applyAlignment="1" applyBorder="1" applyFont="1" applyNumberFormat="1">
      <alignment horizontal="left"/>
    </xf>
    <xf borderId="3" fillId="0" fontId="1" numFmtId="0" xfId="0" applyAlignment="1" applyBorder="1" applyFont="1">
      <alignment horizontal="right"/>
    </xf>
    <xf borderId="4" fillId="0" fontId="1" numFmtId="9" xfId="0" applyAlignment="1" applyBorder="1" applyFont="1" applyNumberFormat="1">
      <alignment horizontal="left"/>
    </xf>
    <xf borderId="5" fillId="0" fontId="1" numFmtId="0" xfId="0" applyAlignment="1" applyBorder="1" applyFont="1">
      <alignment horizontal="right"/>
    </xf>
    <xf borderId="1" fillId="0" fontId="2" numFmtId="9" xfId="0" applyAlignment="1" applyBorder="1" applyFont="1" applyNumberFormat="1">
      <alignment horizontal="left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4" numFmtId="166" xfId="0" applyBorder="1" applyFont="1" applyNumberFormat="1"/>
    <xf borderId="1" fillId="0" fontId="4" numFmtId="165" xfId="0" applyBorder="1" applyFont="1" applyNumberFormat="1"/>
    <xf borderId="1" fillId="3" fontId="4" numFmtId="165" xfId="0" applyAlignment="1" applyBorder="1" applyFill="1" applyFont="1" applyNumberFormat="1">
      <alignment horizontal="center"/>
    </xf>
    <xf borderId="11" fillId="3" fontId="4" numFmtId="165" xfId="0" applyAlignment="1" applyBorder="1" applyFont="1" applyNumberFormat="1">
      <alignment horizontal="center"/>
    </xf>
    <xf borderId="12" fillId="0" fontId="4" numFmtId="164" xfId="0" applyBorder="1" applyFont="1" applyNumberFormat="1"/>
    <xf borderId="1" fillId="0" fontId="4" numFmtId="165" xfId="0" applyAlignment="1" applyBorder="1" applyFont="1" applyNumberFormat="1">
      <alignment horizontal="right"/>
    </xf>
    <xf borderId="13" fillId="0" fontId="4" numFmtId="166" xfId="0" applyBorder="1" applyFont="1" applyNumberFormat="1"/>
    <xf borderId="3" fillId="3" fontId="4" numFmtId="165" xfId="0" applyAlignment="1" applyBorder="1" applyFont="1" applyNumberFormat="1">
      <alignment horizontal="center"/>
    </xf>
    <xf borderId="14" fillId="3" fontId="4" numFmtId="165" xfId="0" applyAlignment="1" applyBorder="1" applyFont="1" applyNumberFormat="1">
      <alignment horizontal="center"/>
    </xf>
    <xf borderId="15" fillId="0" fontId="4" numFmtId="164" xfId="0" applyBorder="1" applyFont="1" applyNumberFormat="1"/>
    <xf borderId="16" fillId="0" fontId="1" numFmtId="0" xfId="0" applyAlignment="1" applyBorder="1" applyFont="1">
      <alignment horizontal="right"/>
    </xf>
    <xf borderId="17" fillId="2" fontId="1" numFmtId="164" xfId="0" applyBorder="1" applyFont="1" applyNumberFormat="1"/>
    <xf borderId="2" fillId="0" fontId="1" numFmtId="9" xfId="0" applyBorder="1" applyFont="1" applyNumberFormat="1"/>
    <xf borderId="18" fillId="0" fontId="4" numFmtId="0" xfId="0" applyAlignment="1" applyBorder="1" applyFont="1">
      <alignment vertical="center"/>
    </xf>
    <xf borderId="19" fillId="0" fontId="4" numFmtId="0" xfId="0" applyBorder="1" applyFont="1"/>
    <xf borderId="20" fillId="0" fontId="4" numFmtId="0" xfId="0" applyBorder="1" applyFont="1"/>
    <xf borderId="0" fillId="0" fontId="4" numFmtId="165" xfId="0" applyFont="1" applyNumberFormat="1"/>
    <xf borderId="1" fillId="0" fontId="4" numFmtId="165" xfId="0" applyAlignment="1" applyBorder="1" applyFont="1" applyNumberFormat="1">
      <alignment horizontal="center"/>
    </xf>
    <xf borderId="1" fillId="0" fontId="4" numFmtId="167" xfId="0" applyAlignment="1" applyBorder="1" applyFont="1" applyNumberFormat="1">
      <alignment horizontal="center"/>
    </xf>
    <xf borderId="21" fillId="0" fontId="4" numFmtId="167" xfId="0" applyAlignment="1" applyBorder="1" applyFont="1" applyNumberFormat="1">
      <alignment horizontal="center"/>
    </xf>
    <xf borderId="12" fillId="0" fontId="4" numFmtId="166" xfId="0" applyBorder="1" applyFont="1" applyNumberFormat="1"/>
    <xf borderId="22" fillId="0" fontId="4" numFmtId="0" xfId="0" applyBorder="1" applyFont="1"/>
    <xf borderId="0" fillId="0" fontId="4" numFmtId="0" xfId="0" applyAlignment="1" applyFont="1">
      <alignment horizontal="left"/>
    </xf>
    <xf borderId="23" fillId="0" fontId="4" numFmtId="0" xfId="0" applyBorder="1" applyFont="1"/>
    <xf borderId="22" fillId="0" fontId="4" numFmtId="0" xfId="0" applyAlignment="1" applyBorder="1" applyFont="1">
      <alignment horizontal="right"/>
    </xf>
    <xf borderId="0" fillId="0" fontId="4" numFmtId="168" xfId="0" applyFont="1" applyNumberFormat="1"/>
    <xf borderId="0" fillId="0" fontId="4" numFmtId="164" xfId="0" applyFont="1" applyNumberFormat="1"/>
    <xf borderId="0" fillId="0" fontId="4" numFmtId="0" xfId="0" applyAlignment="1" applyFont="1">
      <alignment shrinkToFit="0" wrapText="1"/>
    </xf>
    <xf borderId="0" fillId="0" fontId="1" numFmtId="166" xfId="0" applyFont="1" applyNumberFormat="1"/>
    <xf borderId="3" fillId="0" fontId="4" numFmtId="165" xfId="0" applyBorder="1" applyFont="1" applyNumberFormat="1"/>
    <xf borderId="3" fillId="0" fontId="4" numFmtId="167" xfId="0" applyAlignment="1" applyBorder="1" applyFont="1" applyNumberFormat="1">
      <alignment horizontal="center"/>
    </xf>
    <xf borderId="5" fillId="0" fontId="4" numFmtId="167" xfId="0" applyAlignment="1" applyBorder="1" applyFont="1" applyNumberFormat="1">
      <alignment horizontal="center"/>
    </xf>
    <xf borderId="24" fillId="0" fontId="4" numFmtId="166" xfId="0" applyBorder="1" applyFont="1" applyNumberFormat="1"/>
    <xf borderId="25" fillId="0" fontId="4" numFmtId="0" xfId="0" applyBorder="1" applyFont="1"/>
    <xf borderId="26" fillId="0" fontId="4" numFmtId="0" xfId="0" applyBorder="1" applyFont="1"/>
    <xf borderId="27" fillId="2" fontId="4" numFmtId="164" xfId="0" applyBorder="1" applyFont="1" applyNumberFormat="1"/>
    <xf borderId="28" fillId="0" fontId="1" numFmtId="0" xfId="0" applyAlignment="1" applyBorder="1" applyFont="1">
      <alignment horizontal="right"/>
    </xf>
    <xf borderId="29" fillId="2" fontId="1" numFmtId="164" xfId="0" applyBorder="1" applyFont="1" applyNumberFormat="1"/>
    <xf borderId="28" fillId="0" fontId="1" numFmtId="0" xfId="0" applyAlignment="1" applyBorder="1" applyFont="1">
      <alignment vertical="center"/>
    </xf>
    <xf borderId="28" fillId="0" fontId="4" numFmtId="0" xfId="0" applyAlignment="1" applyBorder="1" applyFont="1">
      <alignment horizontal="right"/>
    </xf>
    <xf borderId="30" fillId="0" fontId="4" numFmtId="10" xfId="0" applyAlignment="1" applyBorder="1" applyFont="1" applyNumberFormat="1">
      <alignment horizontal="left"/>
    </xf>
    <xf borderId="18" fillId="0" fontId="0" numFmtId="0" xfId="0" applyBorder="1" applyFont="1"/>
    <xf borderId="19" fillId="0" fontId="0" numFmtId="0" xfId="0" applyBorder="1" applyFont="1"/>
    <xf borderId="20" fillId="0" fontId="0" numFmtId="0" xfId="0" applyBorder="1" applyFont="1"/>
    <xf borderId="31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22" fillId="0" fontId="0" numFmtId="0" xfId="0" applyBorder="1" applyFont="1"/>
    <xf borderId="23" fillId="0" fontId="0" numFmtId="0" xfId="0" applyBorder="1" applyFont="1"/>
    <xf borderId="22" fillId="0" fontId="4" numFmtId="166" xfId="0" applyBorder="1" applyFont="1" applyNumberFormat="1"/>
    <xf borderId="0" fillId="0" fontId="4" numFmtId="165" xfId="0" applyAlignment="1" applyFont="1" applyNumberFormat="1">
      <alignment horizontal="center"/>
    </xf>
    <xf borderId="23" fillId="0" fontId="4" numFmtId="169" xfId="0" applyBorder="1" applyFont="1" applyNumberFormat="1"/>
    <xf borderId="33" fillId="0" fontId="4" numFmtId="0" xfId="0" applyAlignment="1" applyBorder="1" applyFont="1">
      <alignment horizontal="center"/>
    </xf>
    <xf borderId="23" fillId="0" fontId="4" numFmtId="0" xfId="0" applyAlignment="1" applyBorder="1" applyFont="1">
      <alignment shrinkToFit="0" wrapText="1"/>
    </xf>
    <xf borderId="0" fillId="0" fontId="0" numFmtId="0" xfId="0" applyAlignment="1" applyFont="1">
      <alignment horizontal="left"/>
    </xf>
    <xf borderId="25" fillId="0" fontId="4" numFmtId="166" xfId="0" applyBorder="1" applyFont="1" applyNumberFormat="1"/>
    <xf borderId="26" fillId="0" fontId="4" numFmtId="165" xfId="0" applyAlignment="1" applyBorder="1" applyFont="1" applyNumberFormat="1">
      <alignment horizontal="center"/>
    </xf>
    <xf borderId="26" fillId="0" fontId="4" numFmtId="0" xfId="0" applyAlignment="1" applyBorder="1" applyFont="1">
      <alignment horizontal="center"/>
    </xf>
    <xf borderId="34" fillId="0" fontId="5" numFmtId="166" xfId="0" applyBorder="1" applyFont="1" applyNumberFormat="1"/>
    <xf borderId="32" fillId="0" fontId="4" numFmtId="0" xfId="0" applyAlignment="1" applyBorder="1" applyFont="1">
      <alignment horizontal="center"/>
    </xf>
    <xf borderId="0" fillId="0" fontId="0" numFmtId="164" xfId="0" applyFont="1" applyNumberFormat="1"/>
    <xf borderId="0" fillId="0" fontId="0" numFmtId="168" xfId="0" applyAlignment="1" applyFont="1" applyNumberFormat="1">
      <alignment horizontal="left"/>
    </xf>
    <xf borderId="28" fillId="0" fontId="4" numFmtId="0" xfId="0" applyBorder="1" applyFont="1"/>
    <xf borderId="35" fillId="0" fontId="4" numFmtId="0" xfId="0" applyAlignment="1" applyBorder="1" applyFont="1">
      <alignment horizontal="right"/>
    </xf>
    <xf borderId="30" fillId="0" fontId="4" numFmtId="169" xfId="0" applyBorder="1" applyFont="1" applyNumberFormat="1"/>
    <xf borderId="36" fillId="2" fontId="1" numFmtId="169" xfId="0" applyBorder="1" applyFont="1" applyNumberFormat="1"/>
    <xf borderId="25" fillId="0" fontId="0" numFmtId="0" xfId="0" applyAlignment="1" applyBorder="1" applyFont="1">
      <alignment horizontal="right"/>
    </xf>
    <xf borderId="26" fillId="0" fontId="0" numFmtId="10" xfId="0" applyAlignment="1" applyBorder="1" applyFont="1" applyNumberFormat="1">
      <alignment horizontal="left"/>
    </xf>
    <xf borderId="26" fillId="0" fontId="0" numFmtId="0" xfId="0" applyAlignment="1" applyBorder="1" applyFont="1">
      <alignment horizontal="right"/>
    </xf>
    <xf borderId="27" fillId="2" fontId="0" numFmtId="10" xfId="0" applyBorder="1" applyFont="1" applyNumberFormat="1"/>
    <xf borderId="32" fillId="0" fontId="1" numFmtId="0" xfId="0" applyAlignment="1" applyBorder="1" applyFont="1">
      <alignment vertical="center"/>
    </xf>
    <xf borderId="19" fillId="0" fontId="4" numFmtId="0" xfId="0" applyAlignment="1" applyBorder="1" applyFont="1">
      <alignment horizontal="right"/>
    </xf>
    <xf borderId="19" fillId="0" fontId="4" numFmtId="9" xfId="0" applyAlignment="1" applyBorder="1" applyFont="1" applyNumberFormat="1">
      <alignment horizontal="left"/>
    </xf>
    <xf borderId="37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9" fillId="0" fontId="1" numFmtId="0" xfId="0" applyAlignment="1" applyBorder="1" applyFont="1">
      <alignment horizontal="center"/>
    </xf>
    <xf borderId="18" fillId="0" fontId="4" numFmtId="166" xfId="0" applyBorder="1" applyFont="1" applyNumberFormat="1"/>
    <xf borderId="19" fillId="0" fontId="4" numFmtId="165" xfId="0" applyBorder="1" applyFont="1" applyNumberFormat="1"/>
    <xf borderId="19" fillId="0" fontId="4" numFmtId="165" xfId="0" applyAlignment="1" applyBorder="1" applyFont="1" applyNumberFormat="1">
      <alignment horizontal="center"/>
    </xf>
    <xf borderId="20" fillId="0" fontId="4" numFmtId="164" xfId="0" applyBorder="1" applyFont="1" applyNumberFormat="1"/>
    <xf borderId="23" fillId="0" fontId="4" numFmtId="164" xfId="0" applyBorder="1" applyFont="1" applyNumberFormat="1"/>
    <xf borderId="34" fillId="0" fontId="6" numFmtId="164" xfId="0" applyBorder="1" applyFont="1" applyNumberFormat="1"/>
    <xf borderId="40" fillId="0" fontId="4" numFmtId="0" xfId="0" applyAlignment="1" applyBorder="1" applyFont="1">
      <alignment horizontal="center"/>
    </xf>
    <xf borderId="30" fillId="0" fontId="4" numFmtId="164" xfId="0" applyBorder="1" applyFont="1" applyNumberFormat="1"/>
    <xf borderId="0" fillId="0" fontId="0" numFmtId="165" xfId="0" applyFont="1" applyNumberFormat="1"/>
    <xf borderId="23" fillId="0" fontId="4" numFmtId="164" xfId="0" applyAlignment="1" applyBorder="1" applyFont="1" applyNumberFormat="1">
      <alignment horizontal="center" shrinkToFit="0" wrapText="1"/>
    </xf>
    <xf borderId="26" fillId="0" fontId="4" numFmtId="164" xfId="0" applyBorder="1" applyFont="1" applyNumberFormat="1"/>
    <xf borderId="36" fillId="2" fontId="1" numFmtId="164" xfId="0" applyBorder="1" applyFont="1" applyNumberFormat="1"/>
    <xf borderId="0" fillId="0" fontId="1" numFmtId="169" xfId="0" applyAlignment="1" applyFont="1" applyNumberFormat="1">
      <alignment horizontal="center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4.71"/>
    <col customWidth="1" min="3" max="3" width="13.57"/>
    <col customWidth="1" min="4" max="4" width="16.71"/>
    <col customWidth="1" min="5" max="5" width="33.43"/>
    <col customWidth="1" min="6" max="6" width="13.57"/>
    <col customWidth="1" min="7" max="7" width="13.14"/>
    <col customWidth="1" min="8" max="9" width="10.71"/>
    <col customWidth="1" min="10" max="10" width="15.14"/>
    <col customWidth="1" min="11" max="11" width="24.14"/>
    <col customWidth="1" min="12" max="12" width="16.14"/>
    <col customWidth="1" min="13" max="26" width="10.71"/>
  </cols>
  <sheetData>
    <row r="1" ht="14.25" customHeight="1">
      <c r="A1" s="1" t="s">
        <v>0</v>
      </c>
      <c r="B1" s="2"/>
      <c r="D1" s="1" t="s">
        <v>1</v>
      </c>
      <c r="E1" s="2"/>
      <c r="G1" s="3"/>
      <c r="I1" s="4" t="s">
        <v>2</v>
      </c>
      <c r="J1" s="5" t="s">
        <v>3</v>
      </c>
      <c r="K1" s="6">
        <v>0.06</v>
      </c>
      <c r="L1" s="5" t="s">
        <v>4</v>
      </c>
      <c r="M1" s="7">
        <v>40.0</v>
      </c>
    </row>
    <row r="2" ht="14.25" customHeight="1">
      <c r="A2" s="1" t="s">
        <v>5</v>
      </c>
      <c r="B2" s="2"/>
      <c r="D2" s="2" t="s">
        <v>6</v>
      </c>
      <c r="E2" s="8"/>
      <c r="I2" s="1" t="s">
        <v>7</v>
      </c>
      <c r="J2" s="9">
        <v>0.03</v>
      </c>
      <c r="K2" s="1" t="s">
        <v>8</v>
      </c>
      <c r="L2" s="9">
        <v>0.72</v>
      </c>
      <c r="M2" s="1" t="s">
        <v>9</v>
      </c>
      <c r="N2" s="10"/>
      <c r="O2" s="10"/>
      <c r="P2" s="10"/>
    </row>
    <row r="3" ht="14.25" customHeight="1">
      <c r="I3" s="11"/>
      <c r="J3" s="12" t="s">
        <v>10</v>
      </c>
      <c r="K3" s="12" t="s">
        <v>11</v>
      </c>
      <c r="L3" s="12" t="s">
        <v>12</v>
      </c>
      <c r="M3" s="10"/>
      <c r="N3" s="10"/>
      <c r="O3" s="10"/>
      <c r="P3" s="10"/>
      <c r="Q3" s="13"/>
    </row>
    <row r="4" ht="14.25" customHeight="1">
      <c r="I4" s="14" t="s">
        <v>13</v>
      </c>
      <c r="J4" s="15">
        <v>76000.0</v>
      </c>
      <c r="K4" s="16">
        <f>FV(J2,M1,,-1)</f>
        <v>3.262037792</v>
      </c>
      <c r="L4" s="17">
        <f>J4*K4</f>
        <v>247914.8722</v>
      </c>
      <c r="M4" s="10"/>
      <c r="N4" s="18" t="s">
        <v>14</v>
      </c>
      <c r="O4" s="10"/>
      <c r="P4" s="10"/>
      <c r="Q4" s="13"/>
    </row>
    <row r="5" ht="14.25" customHeight="1">
      <c r="A5" s="4" t="s">
        <v>15</v>
      </c>
      <c r="I5" s="14"/>
      <c r="J5" s="12" t="s">
        <v>10</v>
      </c>
      <c r="K5" s="12" t="s">
        <v>11</v>
      </c>
      <c r="L5" s="12" t="s">
        <v>12</v>
      </c>
      <c r="M5" s="13"/>
      <c r="N5" s="1"/>
      <c r="O5" s="19"/>
      <c r="P5" s="19"/>
      <c r="Q5" s="13"/>
    </row>
    <row r="6" ht="14.25" customHeight="1">
      <c r="A6" s="10" t="s">
        <v>13</v>
      </c>
      <c r="B6" s="20" t="s">
        <v>16</v>
      </c>
      <c r="C6" s="21">
        <v>0.1</v>
      </c>
      <c r="D6" s="22" t="s">
        <v>17</v>
      </c>
      <c r="E6" s="23">
        <v>0.08</v>
      </c>
      <c r="F6" s="24" t="s">
        <v>18</v>
      </c>
      <c r="G6" s="25">
        <v>-0.05</v>
      </c>
      <c r="I6" s="14" t="s">
        <v>19</v>
      </c>
      <c r="J6" s="15">
        <f>L4*L2</f>
        <v>178498.708</v>
      </c>
      <c r="K6" s="16">
        <v>30.0</v>
      </c>
      <c r="L6" s="17">
        <f>J6*K6</f>
        <v>5354961.239</v>
      </c>
      <c r="M6" s="10"/>
      <c r="N6" s="18" t="s">
        <v>20</v>
      </c>
      <c r="O6" s="10"/>
      <c r="P6" s="10"/>
      <c r="Q6" s="13"/>
    </row>
    <row r="7" ht="14.25" customHeight="1">
      <c r="A7" s="26" t="s">
        <v>21</v>
      </c>
      <c r="B7" s="27" t="s">
        <v>22</v>
      </c>
      <c r="C7" s="27" t="s">
        <v>23</v>
      </c>
      <c r="D7" s="27" t="s">
        <v>24</v>
      </c>
      <c r="E7" s="28" t="s">
        <v>25</v>
      </c>
      <c r="F7" s="29" t="s">
        <v>26</v>
      </c>
      <c r="I7" s="11"/>
      <c r="J7" s="12" t="s">
        <v>10</v>
      </c>
      <c r="K7" s="12" t="s">
        <v>11</v>
      </c>
      <c r="L7" s="12" t="s">
        <v>12</v>
      </c>
      <c r="M7" s="10"/>
      <c r="N7" s="10"/>
      <c r="O7" s="10"/>
      <c r="P7" s="10"/>
      <c r="Q7" s="13"/>
    </row>
    <row r="8" ht="14.25" customHeight="1">
      <c r="A8" s="30">
        <v>310.0</v>
      </c>
      <c r="B8" s="31">
        <f>PV(C6,3,-1)</f>
        <v>2.486851991</v>
      </c>
      <c r="C8" s="31"/>
      <c r="D8" s="32" t="s">
        <v>20</v>
      </c>
      <c r="E8" s="33" t="s">
        <v>27</v>
      </c>
      <c r="F8" s="34">
        <f>A8*B8</f>
        <v>770.9241172</v>
      </c>
      <c r="I8" s="14" t="s">
        <v>28</v>
      </c>
      <c r="J8" s="15">
        <f>L6</f>
        <v>5354961.239</v>
      </c>
      <c r="K8" s="16">
        <f>PMT(K1,M1,,-1)</f>
        <v>0.006461535921</v>
      </c>
      <c r="L8" s="17">
        <f>J8*K8</f>
        <v>34601.2744</v>
      </c>
      <c r="M8" s="10"/>
      <c r="N8" s="10" t="s">
        <v>29</v>
      </c>
      <c r="O8" s="10"/>
      <c r="P8" s="10"/>
      <c r="Q8" s="13"/>
    </row>
    <row r="9" ht="14.25" customHeight="1">
      <c r="A9" s="30">
        <v>320.0</v>
      </c>
      <c r="B9" s="31">
        <f>PV(C6,3,-1)</f>
        <v>2.486851991</v>
      </c>
      <c r="C9" s="31">
        <f>PV(C6,3,,-1)</f>
        <v>0.7513148009</v>
      </c>
      <c r="D9" s="32" t="s">
        <v>20</v>
      </c>
      <c r="E9" s="33" t="s">
        <v>30</v>
      </c>
      <c r="F9" s="34">
        <f t="shared" ref="F9:F11" si="1">A9*B9*C9</f>
        <v>597.8907867</v>
      </c>
      <c r="I9" s="14"/>
      <c r="J9" s="12" t="s">
        <v>10</v>
      </c>
      <c r="K9" s="12" t="s">
        <v>11</v>
      </c>
      <c r="L9" s="12" t="s">
        <v>12</v>
      </c>
      <c r="M9" s="10"/>
      <c r="N9" s="10"/>
      <c r="O9" s="10"/>
      <c r="P9" s="10"/>
      <c r="Q9" s="13"/>
    </row>
    <row r="10" ht="14.25" customHeight="1">
      <c r="A10" s="30">
        <v>50.0</v>
      </c>
      <c r="B10" s="31">
        <f>(1/C6)*((((1+C6)^3-1)/(C6*(1+C6)^3))-3/(1+C6)^3)</f>
        <v>2.329075883</v>
      </c>
      <c r="C10" s="31">
        <f>PV(C6,3,,-1)</f>
        <v>0.7513148009</v>
      </c>
      <c r="D10" s="32" t="s">
        <v>20</v>
      </c>
      <c r="E10" s="33" t="s">
        <v>31</v>
      </c>
      <c r="F10" s="34">
        <f t="shared" si="1"/>
        <v>87.49345916</v>
      </c>
      <c r="I10" s="14" t="s">
        <v>32</v>
      </c>
      <c r="J10" s="15">
        <f>L6</f>
        <v>5354961.239</v>
      </c>
      <c r="K10" s="16">
        <f>PV(K1,M1,,-1)</f>
        <v>0.09722218771</v>
      </c>
      <c r="L10" s="17">
        <f>J10*K10</f>
        <v>520621.0468</v>
      </c>
      <c r="M10" s="10"/>
      <c r="N10" s="10" t="s">
        <v>33</v>
      </c>
      <c r="O10" s="10"/>
      <c r="P10" s="10"/>
      <c r="Q10" s="13"/>
    </row>
    <row r="11" ht="14.25" customHeight="1">
      <c r="A11" s="30">
        <v>-300.0</v>
      </c>
      <c r="B11" s="31">
        <f>PV(E6,1,,-1)</f>
        <v>0.9259259259</v>
      </c>
      <c r="C11" s="31">
        <f>PV(C6,6,,-1)</f>
        <v>0.5644739301</v>
      </c>
      <c r="D11" s="32" t="s">
        <v>20</v>
      </c>
      <c r="E11" s="33" t="s">
        <v>34</v>
      </c>
      <c r="F11" s="34">
        <f t="shared" si="1"/>
        <v>-156.7983139</v>
      </c>
      <c r="I11" s="14"/>
      <c r="J11" s="12" t="s">
        <v>35</v>
      </c>
      <c r="K11" s="12" t="s">
        <v>11</v>
      </c>
      <c r="L11" s="12" t="s">
        <v>12</v>
      </c>
      <c r="M11" s="10"/>
      <c r="N11" s="1"/>
      <c r="O11" s="19"/>
      <c r="P11" s="19"/>
      <c r="Q11" s="13"/>
    </row>
    <row r="12" ht="14.25" customHeight="1">
      <c r="A12" s="30">
        <v>420.0</v>
      </c>
      <c r="B12" s="31">
        <f>(1-((1+G6)^3)*((1+E6)^(-3)))/(E6-G6)</f>
        <v>2.456831403</v>
      </c>
      <c r="C12" s="31">
        <f>PV(E6,2,,-1)</f>
        <v>0.8573388203</v>
      </c>
      <c r="D12" s="31">
        <f>PV(C6,6,,-1)</f>
        <v>0.5644739301</v>
      </c>
      <c r="E12" s="33" t="s">
        <v>36</v>
      </c>
      <c r="F12" s="34">
        <f>A12*B12*C12*D12</f>
        <v>499.3683612</v>
      </c>
      <c r="I12" s="14" t="s">
        <v>37</v>
      </c>
      <c r="J12" s="15">
        <v>76000.0</v>
      </c>
      <c r="K12" s="35">
        <f>((1+K1)^M1-(1+J2)^M1)/(K1-J2)</f>
        <v>234.1226715</v>
      </c>
      <c r="L12" s="17">
        <f>J12*K12</f>
        <v>17793323.03</v>
      </c>
      <c r="M12" s="10"/>
      <c r="N12" s="10" t="s">
        <v>38</v>
      </c>
      <c r="O12" s="10"/>
      <c r="P12" s="10"/>
      <c r="Q12" s="13"/>
    </row>
    <row r="13" ht="14.25" customHeight="1">
      <c r="A13" s="36">
        <v>-300.0</v>
      </c>
      <c r="B13" s="37" t="s">
        <v>20</v>
      </c>
      <c r="C13" s="37" t="s">
        <v>20</v>
      </c>
      <c r="D13" s="37" t="s">
        <v>20</v>
      </c>
      <c r="E13" s="38" t="s">
        <v>20</v>
      </c>
      <c r="F13" s="39">
        <f>A13</f>
        <v>-300</v>
      </c>
      <c r="I13" s="1"/>
      <c r="J13" s="1"/>
      <c r="K13" s="1"/>
      <c r="L13" s="1"/>
      <c r="M13" s="1"/>
      <c r="N13" s="1"/>
      <c r="O13" s="10"/>
      <c r="P13" s="10"/>
      <c r="Q13" s="13"/>
    </row>
    <row r="14" ht="14.25" customHeight="1">
      <c r="A14" s="10"/>
      <c r="B14" s="10"/>
      <c r="C14" s="10"/>
      <c r="D14" s="1"/>
      <c r="E14" s="40" t="s">
        <v>39</v>
      </c>
      <c r="F14" s="41">
        <f>SUM(F8:F13)</f>
        <v>1498.87841</v>
      </c>
      <c r="I14" s="1" t="s">
        <v>40</v>
      </c>
      <c r="J14" s="1"/>
      <c r="K14" s="1"/>
      <c r="L14" s="1"/>
      <c r="M14" s="1"/>
      <c r="N14" s="1"/>
      <c r="O14" s="10"/>
      <c r="P14" s="10"/>
      <c r="Q14" s="13"/>
    </row>
    <row r="15" ht="14.25" customHeight="1">
      <c r="I15" s="1"/>
      <c r="J15" s="1"/>
      <c r="K15" s="1"/>
      <c r="L15" s="1"/>
      <c r="M15" s="10"/>
      <c r="N15" s="1"/>
      <c r="O15" s="19"/>
      <c r="P15" s="19"/>
      <c r="Q15" s="13"/>
      <c r="R15" s="13"/>
    </row>
    <row r="16" ht="14.25" customHeight="1">
      <c r="A16" s="4"/>
      <c r="I16" s="10" t="s">
        <v>13</v>
      </c>
      <c r="J16" s="10"/>
      <c r="K16" s="10"/>
      <c r="L16" s="10"/>
      <c r="M16" s="10"/>
      <c r="N16" s="10"/>
      <c r="O16" s="10"/>
      <c r="P16" s="10"/>
      <c r="Q16" s="13"/>
      <c r="R16" s="13"/>
    </row>
    <row r="17" ht="14.25" customHeight="1">
      <c r="A17" s="10" t="s">
        <v>19</v>
      </c>
      <c r="B17" s="20" t="s">
        <v>3</v>
      </c>
      <c r="C17" s="42">
        <v>0.1</v>
      </c>
      <c r="D17" s="10"/>
      <c r="E17" s="10"/>
      <c r="F17" s="10"/>
      <c r="I17" s="1"/>
      <c r="J17" s="10"/>
      <c r="K17" s="10"/>
      <c r="L17" s="10"/>
      <c r="M17" s="10"/>
      <c r="N17" s="10"/>
      <c r="O17" s="10"/>
      <c r="P17" s="10"/>
      <c r="Q17" s="13"/>
      <c r="R17" s="13"/>
    </row>
    <row r="18" ht="14.25" customHeight="1">
      <c r="A18" s="26" t="s">
        <v>21</v>
      </c>
      <c r="B18" s="27" t="s">
        <v>22</v>
      </c>
      <c r="C18" s="27" t="s">
        <v>23</v>
      </c>
      <c r="D18" s="27" t="s">
        <v>24</v>
      </c>
      <c r="E18" s="28" t="s">
        <v>25</v>
      </c>
      <c r="F18" s="29" t="s">
        <v>26</v>
      </c>
      <c r="I18" s="43" t="s">
        <v>41</v>
      </c>
      <c r="J18" s="44"/>
      <c r="K18" s="44"/>
      <c r="L18" s="45" t="s">
        <v>42</v>
      </c>
      <c r="M18" s="10"/>
      <c r="N18" s="10"/>
      <c r="O18" s="10"/>
      <c r="P18" s="10"/>
      <c r="Q18" s="13"/>
      <c r="R18" s="13"/>
    </row>
    <row r="19" ht="14.25" customHeight="1">
      <c r="A19" s="30">
        <v>-300.0</v>
      </c>
      <c r="B19" s="46">
        <f>FV(C17,7,,-1)</f>
        <v>1.9487171</v>
      </c>
      <c r="C19" s="47" t="s">
        <v>20</v>
      </c>
      <c r="D19" s="48" t="s">
        <v>20</v>
      </c>
      <c r="E19" s="49" t="s">
        <v>43</v>
      </c>
      <c r="F19" s="50">
        <f>A19*B19</f>
        <v>-584.61513</v>
      </c>
      <c r="I19" s="51" t="s">
        <v>44</v>
      </c>
      <c r="J19" s="10"/>
      <c r="K19" s="52">
        <f>(1+0.11/2)^(2/2)-1</f>
        <v>0.055</v>
      </c>
      <c r="L19" s="53"/>
      <c r="M19" s="10"/>
      <c r="N19" s="10"/>
      <c r="O19" s="10"/>
      <c r="P19" s="10"/>
      <c r="Q19" s="13"/>
      <c r="R19" s="13"/>
    </row>
    <row r="20" ht="14.25" customHeight="1">
      <c r="A20" s="30">
        <v>310.0</v>
      </c>
      <c r="B20" s="31">
        <f t="shared" ref="B20:B21" si="2">PV(0.1,3,-1)</f>
        <v>2.486851991</v>
      </c>
      <c r="C20" s="31">
        <f>FV(C17,7,,-1)</f>
        <v>1.9487171</v>
      </c>
      <c r="D20" s="48" t="s">
        <v>20</v>
      </c>
      <c r="E20" s="49" t="s">
        <v>45</v>
      </c>
      <c r="F20" s="50">
        <f t="shared" ref="F20:F22" si="3">A20*B20*C20</f>
        <v>1502.31301</v>
      </c>
      <c r="I20" s="51" t="s">
        <v>46</v>
      </c>
      <c r="J20" s="9"/>
      <c r="K20" s="10"/>
      <c r="L20" s="53"/>
      <c r="M20" s="10"/>
      <c r="N20" s="10"/>
      <c r="O20" s="10"/>
      <c r="P20" s="10"/>
      <c r="Q20" s="13"/>
      <c r="R20" s="13"/>
    </row>
    <row r="21" ht="14.25" customHeight="1">
      <c r="A21" s="30">
        <v>320.0</v>
      </c>
      <c r="B21" s="31">
        <f t="shared" si="2"/>
        <v>2.486851991</v>
      </c>
      <c r="C21" s="31">
        <f>FV(C17,4,,-1)</f>
        <v>1.4641</v>
      </c>
      <c r="D21" s="48" t="s">
        <v>20</v>
      </c>
      <c r="E21" s="49" t="s">
        <v>47</v>
      </c>
      <c r="F21" s="50">
        <f t="shared" si="3"/>
        <v>1165.12</v>
      </c>
      <c r="I21" s="54" t="s">
        <v>48</v>
      </c>
      <c r="J21" s="55" t="s">
        <v>49</v>
      </c>
      <c r="K21" s="10"/>
      <c r="L21" s="53"/>
      <c r="M21" s="10"/>
      <c r="N21" s="10"/>
      <c r="O21" s="10"/>
      <c r="P21" s="10"/>
      <c r="Q21" s="13"/>
      <c r="R21" s="13"/>
    </row>
    <row r="22" ht="14.25" customHeight="1">
      <c r="A22" s="30">
        <v>50.0</v>
      </c>
      <c r="B22" s="31">
        <f>(1/C6)*((((1+C6)^3-1)/(C6*(1+C6)^3))-3/(1+C6)^3)</f>
        <v>2.329075883</v>
      </c>
      <c r="C22" s="31">
        <f>FV(C17,4,,-1)</f>
        <v>1.4641</v>
      </c>
      <c r="D22" s="48" t="s">
        <v>20</v>
      </c>
      <c r="E22" s="49" t="s">
        <v>50</v>
      </c>
      <c r="F22" s="50">
        <f t="shared" si="3"/>
        <v>170.5</v>
      </c>
      <c r="I22" s="54" t="s">
        <v>48</v>
      </c>
      <c r="J22" s="56">
        <f>33.875*PV(K19,20,-1)+1355*PV(K19,20,,-1)</f>
        <v>869.216952</v>
      </c>
      <c r="K22" s="10"/>
      <c r="L22" s="53"/>
      <c r="M22" s="10"/>
      <c r="N22" s="57"/>
      <c r="O22" s="57"/>
      <c r="P22" s="57"/>
      <c r="Q22" s="13"/>
      <c r="R22" s="13"/>
    </row>
    <row r="23" ht="14.25" customHeight="1">
      <c r="A23" s="30">
        <v>-300.0</v>
      </c>
      <c r="B23" s="47" t="s">
        <v>20</v>
      </c>
      <c r="C23" s="47" t="s">
        <v>20</v>
      </c>
      <c r="D23" s="48" t="s">
        <v>20</v>
      </c>
      <c r="E23" s="49" t="s">
        <v>20</v>
      </c>
      <c r="F23" s="50">
        <f>A23</f>
        <v>-300</v>
      </c>
      <c r="I23" s="51"/>
      <c r="J23" s="10"/>
      <c r="K23" s="10"/>
      <c r="L23" s="53"/>
      <c r="M23" s="10"/>
      <c r="N23" s="1"/>
      <c r="O23" s="58"/>
      <c r="P23" s="58"/>
      <c r="Q23" s="13"/>
      <c r="R23" s="13"/>
    </row>
    <row r="24" ht="14.25" customHeight="1">
      <c r="A24" s="36">
        <v>420.0</v>
      </c>
      <c r="B24" s="59">
        <f>(1-((1+G6)^3)*((1+C6)^(-3)))/(C6-G6)</f>
        <v>2.372276484</v>
      </c>
      <c r="C24" s="59">
        <f>PV(C17,1,,-1)</f>
        <v>0.9090909091</v>
      </c>
      <c r="D24" s="60" t="s">
        <v>20</v>
      </c>
      <c r="E24" s="61" t="s">
        <v>51</v>
      </c>
      <c r="F24" s="62">
        <f>A24*B24*C24</f>
        <v>905.7782938</v>
      </c>
      <c r="I24" s="63"/>
      <c r="J24" s="64"/>
      <c r="K24" s="64"/>
      <c r="L24" s="65">
        <f>J22</f>
        <v>869.216952</v>
      </c>
      <c r="M24" s="13"/>
      <c r="N24" s="13"/>
      <c r="O24" s="13"/>
      <c r="P24" s="13"/>
      <c r="Q24" s="13"/>
      <c r="R24" s="13"/>
    </row>
    <row r="25" ht="14.25" customHeight="1">
      <c r="A25" s="10"/>
      <c r="B25" s="10"/>
      <c r="C25" s="10"/>
      <c r="D25" s="1"/>
      <c r="E25" s="66" t="s">
        <v>39</v>
      </c>
      <c r="F25" s="67">
        <f>SUM(F19:F24)</f>
        <v>2859.096174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ht="14.25" customHeight="1">
      <c r="I26" s="13" t="s">
        <v>19</v>
      </c>
      <c r="J26" s="13"/>
      <c r="K26" s="13"/>
      <c r="L26" s="13"/>
      <c r="M26" s="13"/>
      <c r="N26" s="13"/>
      <c r="O26" s="13"/>
      <c r="P26" s="13"/>
      <c r="Q26" s="13"/>
      <c r="R26" s="13"/>
    </row>
    <row r="27" ht="14.25" customHeight="1">
      <c r="A27" s="1" t="s">
        <v>52</v>
      </c>
      <c r="B27" s="10"/>
      <c r="C27" s="10"/>
      <c r="D27" s="10"/>
      <c r="E27" s="10"/>
      <c r="F27" s="10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ht="14.25" customHeight="1">
      <c r="A28" s="68" t="s">
        <v>53</v>
      </c>
      <c r="B28" s="69" t="s">
        <v>54</v>
      </c>
      <c r="C28" s="70">
        <f>(1+0.1/2)^(2/1)-1</f>
        <v>0.1025</v>
      </c>
      <c r="D28" s="44"/>
      <c r="E28" s="44"/>
      <c r="F28" s="45"/>
      <c r="I28" s="71" t="s">
        <v>55</v>
      </c>
      <c r="J28" s="72"/>
      <c r="K28" s="72"/>
      <c r="L28" s="73"/>
      <c r="M28" s="13"/>
      <c r="N28" s="13"/>
      <c r="O28" s="13"/>
      <c r="P28" s="13"/>
      <c r="Q28" s="13"/>
      <c r="R28" s="13"/>
    </row>
    <row r="29" ht="14.25" customHeight="1">
      <c r="A29" s="26" t="s">
        <v>21</v>
      </c>
      <c r="B29" s="74" t="s">
        <v>22</v>
      </c>
      <c r="C29" s="74" t="s">
        <v>23</v>
      </c>
      <c r="D29" s="29" t="s">
        <v>26</v>
      </c>
      <c r="E29" s="75" t="s">
        <v>25</v>
      </c>
      <c r="F29" s="53"/>
      <c r="I29" s="76" t="s">
        <v>56</v>
      </c>
      <c r="J29" s="13"/>
      <c r="K29" s="13"/>
      <c r="L29" s="77"/>
      <c r="M29" s="13"/>
      <c r="N29" s="13"/>
      <c r="O29" s="13"/>
      <c r="P29" s="13"/>
      <c r="Q29" s="13"/>
      <c r="R29" s="13"/>
    </row>
    <row r="30" ht="14.25" customHeight="1">
      <c r="A30" s="78">
        <v>4230.0</v>
      </c>
      <c r="B30" s="46">
        <f>FV(C28,10,,-1)</f>
        <v>2.653297705</v>
      </c>
      <c r="C30" s="79" t="s">
        <v>20</v>
      </c>
      <c r="D30" s="80">
        <f>A30*B30</f>
        <v>11223.44929</v>
      </c>
      <c r="E30" s="81" t="s">
        <v>57</v>
      </c>
      <c r="F30" s="80"/>
      <c r="I30" s="76" t="s">
        <v>58</v>
      </c>
      <c r="J30" s="13"/>
      <c r="K30" s="13"/>
      <c r="L30" s="77"/>
    </row>
    <row r="31" ht="14.25" customHeight="1">
      <c r="A31" s="78">
        <v>2890.0</v>
      </c>
      <c r="B31" s="46">
        <f>PV(C28,5,-1)</f>
        <v>3.766699965</v>
      </c>
      <c r="C31" s="46">
        <f>FV(C28,10,,-1)</f>
        <v>2.653297705</v>
      </c>
      <c r="D31" s="80">
        <f t="shared" ref="D31:D32" si="4">A31*B31*C31</f>
        <v>28883.16972</v>
      </c>
      <c r="E31" s="81" t="s">
        <v>59</v>
      </c>
      <c r="F31" s="53"/>
      <c r="I31" s="76" t="s">
        <v>60</v>
      </c>
      <c r="J31" s="13"/>
      <c r="K31" s="13"/>
      <c r="L31" s="77"/>
    </row>
    <row r="32" ht="14.25" customHeight="1">
      <c r="A32" s="78">
        <v>7080.0</v>
      </c>
      <c r="B32" s="46">
        <f>PV(C28,3,-1)</f>
        <v>2.47594735</v>
      </c>
      <c r="C32" s="46">
        <f>FV(C28,5,,-1)</f>
        <v>1.628894627</v>
      </c>
      <c r="D32" s="80">
        <f t="shared" si="4"/>
        <v>28554.04593</v>
      </c>
      <c r="E32" s="81" t="s">
        <v>61</v>
      </c>
      <c r="F32" s="82"/>
      <c r="I32" s="76" t="s">
        <v>62</v>
      </c>
      <c r="J32" s="5" t="s">
        <v>63</v>
      </c>
      <c r="K32" s="83">
        <f>40.5*(((1+0.08)^(18)-1)/(0.08*(1+0.08)^(18)))+900*(1+0.08)^(-18)-600</f>
        <v>4.785555214</v>
      </c>
      <c r="L32" s="77"/>
    </row>
    <row r="33" ht="14.25" customHeight="1">
      <c r="A33" s="84">
        <v>8099.0</v>
      </c>
      <c r="B33" s="85" t="s">
        <v>20</v>
      </c>
      <c r="C33" s="86" t="s">
        <v>20</v>
      </c>
      <c r="D33" s="87">
        <f>A33</f>
        <v>8099</v>
      </c>
      <c r="E33" s="88" t="s">
        <v>64</v>
      </c>
      <c r="F33" s="53"/>
      <c r="G33" s="89"/>
      <c r="I33" s="76" t="s">
        <v>65</v>
      </c>
      <c r="J33" s="5" t="s">
        <v>66</v>
      </c>
      <c r="K33" s="90">
        <v>0.0</v>
      </c>
      <c r="L33" s="77"/>
    </row>
    <row r="34" ht="14.25" customHeight="1">
      <c r="A34" s="51"/>
      <c r="B34" s="91"/>
      <c r="C34" s="92" t="s">
        <v>67</v>
      </c>
      <c r="D34" s="93">
        <f>SUM(D30:D33)</f>
        <v>76759.66494</v>
      </c>
      <c r="E34" s="10"/>
      <c r="F34" s="53"/>
      <c r="I34" s="76" t="s">
        <v>68</v>
      </c>
      <c r="J34" s="5" t="s">
        <v>69</v>
      </c>
      <c r="K34" s="83">
        <f>40.5*(((1+0.09)^(18)-1)/(0.09*(1+0.09)^(18)))+900*(1+0.09)^(-18)-600</f>
        <v>-54.60281693</v>
      </c>
      <c r="L34" s="77"/>
    </row>
    <row r="35" ht="14.25" customHeight="1">
      <c r="A35" s="63"/>
      <c r="B35" s="64"/>
      <c r="C35" s="64"/>
      <c r="D35" s="64"/>
      <c r="E35" s="66" t="s">
        <v>39</v>
      </c>
      <c r="F35" s="94">
        <f>SUM(D30:D33)</f>
        <v>76759.66494</v>
      </c>
      <c r="I35" s="95" t="s">
        <v>70</v>
      </c>
      <c r="J35" s="96">
        <f>0.08+(K32/(K32-K34))*(0.09-0.08)</f>
        <v>0.08080580677</v>
      </c>
      <c r="K35" s="97" t="s">
        <v>71</v>
      </c>
      <c r="L35" s="98">
        <f>(1+J35)^2-1</f>
        <v>0.1681411919</v>
      </c>
    </row>
    <row r="36" ht="14.25" customHeight="1"/>
    <row r="37" ht="14.25" customHeight="1">
      <c r="A37" s="1" t="s">
        <v>72</v>
      </c>
      <c r="B37" s="10"/>
      <c r="C37" s="10"/>
      <c r="D37" s="10"/>
      <c r="E37" s="10"/>
      <c r="F37" s="10"/>
    </row>
    <row r="38" ht="14.25" customHeight="1">
      <c r="A38" s="99" t="s">
        <v>53</v>
      </c>
      <c r="B38" s="100" t="s">
        <v>3</v>
      </c>
      <c r="C38" s="101">
        <v>0.08</v>
      </c>
      <c r="D38" s="44"/>
      <c r="E38" s="44"/>
      <c r="F38" s="45"/>
    </row>
    <row r="39" ht="14.25" customHeight="1">
      <c r="A39" s="102" t="s">
        <v>21</v>
      </c>
      <c r="B39" s="103" t="s">
        <v>22</v>
      </c>
      <c r="C39" s="103" t="s">
        <v>23</v>
      </c>
      <c r="D39" s="104" t="s">
        <v>26</v>
      </c>
      <c r="E39" s="75" t="s">
        <v>25</v>
      </c>
      <c r="F39" s="53"/>
    </row>
    <row r="40" ht="14.25" customHeight="1">
      <c r="A40" s="105">
        <v>-5225.0</v>
      </c>
      <c r="B40" s="106">
        <f>PV(C38,10,-1)</f>
        <v>6.710081399</v>
      </c>
      <c r="C40" s="107" t="s">
        <v>20</v>
      </c>
      <c r="D40" s="108">
        <f t="shared" ref="D40:D41" si="5">A40*B40</f>
        <v>-35060.17531</v>
      </c>
      <c r="E40" s="81" t="s">
        <v>73</v>
      </c>
      <c r="F40" s="53"/>
    </row>
    <row r="41" ht="14.25" customHeight="1">
      <c r="A41" s="78">
        <v>-980.0</v>
      </c>
      <c r="B41" s="46">
        <f>(1/C38)*((((1+C38)^10-1)/(C38*(1+C38)^10))-10/(1+C38)^10)</f>
        <v>25.97683148</v>
      </c>
      <c r="C41" s="79" t="s">
        <v>20</v>
      </c>
      <c r="D41" s="109">
        <f t="shared" si="5"/>
        <v>-25457.29485</v>
      </c>
      <c r="E41" s="81" t="s">
        <v>74</v>
      </c>
      <c r="F41" s="53"/>
      <c r="G41" s="10"/>
    </row>
    <row r="42" ht="14.25" customHeight="1">
      <c r="A42" s="84">
        <v>-99500.0</v>
      </c>
      <c r="B42" s="86" t="s">
        <v>20</v>
      </c>
      <c r="C42" s="86" t="s">
        <v>20</v>
      </c>
      <c r="D42" s="110">
        <f>A42</f>
        <v>-99500</v>
      </c>
      <c r="E42" s="111" t="s">
        <v>20</v>
      </c>
      <c r="F42" s="82"/>
      <c r="G42" s="10"/>
      <c r="H42" s="10"/>
      <c r="I42" s="10"/>
      <c r="J42" s="10"/>
      <c r="K42" s="10"/>
      <c r="L42" s="10"/>
      <c r="M42" s="10"/>
    </row>
    <row r="43" ht="14.25" customHeight="1">
      <c r="A43" s="51"/>
      <c r="B43" s="91"/>
      <c r="C43" s="92" t="s">
        <v>75</v>
      </c>
      <c r="D43" s="112">
        <f>SUM(D40:D42)</f>
        <v>-160017.4702</v>
      </c>
      <c r="E43" s="113"/>
      <c r="F43" s="114"/>
      <c r="G43" s="13"/>
    </row>
    <row r="44" ht="14.25" customHeight="1">
      <c r="A44" s="51" t="s">
        <v>76</v>
      </c>
      <c r="B44" s="10"/>
      <c r="C44" s="13"/>
      <c r="D44" s="10"/>
      <c r="E44" s="10"/>
      <c r="F44" s="53"/>
      <c r="G44" s="13"/>
    </row>
    <row r="45" ht="14.25" customHeight="1">
      <c r="A45" s="63" t="s">
        <v>77</v>
      </c>
      <c r="B45" s="64"/>
      <c r="C45" s="115">
        <f>PMT(C38,10,-1)*D43</f>
        <v>-23847.32176</v>
      </c>
      <c r="D45" s="64"/>
      <c r="E45" s="66" t="s">
        <v>39</v>
      </c>
      <c r="F45" s="116">
        <f>C45</f>
        <v>-23847.32176</v>
      </c>
      <c r="G45" s="13"/>
    </row>
    <row r="46" ht="14.25" customHeight="1">
      <c r="G46" s="13"/>
    </row>
    <row r="47" ht="14.25" customHeight="1">
      <c r="G47" s="13"/>
    </row>
    <row r="48" ht="14.25" customHeight="1">
      <c r="G48" s="10"/>
    </row>
    <row r="49" ht="14.25" customHeight="1">
      <c r="G49" s="117"/>
    </row>
    <row r="50" ht="14.25" customHeight="1">
      <c r="G50" s="13"/>
    </row>
    <row r="51" ht="14.25" customHeight="1">
      <c r="G51" s="10"/>
    </row>
    <row r="52" ht="14.25" customHeight="1">
      <c r="G52" s="10"/>
    </row>
    <row r="53" ht="14.25" customHeight="1">
      <c r="G53" s="10"/>
    </row>
    <row r="54" ht="14.25" customHeight="1">
      <c r="G54" s="10"/>
    </row>
    <row r="55" ht="14.25" customHeight="1">
      <c r="G55" s="10"/>
      <c r="H55" s="13"/>
      <c r="I55" s="13"/>
      <c r="J55" s="13"/>
    </row>
    <row r="56" ht="14.25" customHeight="1">
      <c r="G56" s="57"/>
      <c r="H56" s="13"/>
      <c r="I56" s="13"/>
      <c r="J56" s="13"/>
    </row>
    <row r="57" ht="14.25" customHeight="1">
      <c r="G57" s="118"/>
      <c r="H57" s="10"/>
      <c r="I57" s="13"/>
      <c r="J57" s="13"/>
    </row>
    <row r="58" ht="14.25" customHeight="1">
      <c r="G58" s="10"/>
      <c r="H58" s="10"/>
      <c r="I58" s="13"/>
      <c r="J58" s="13"/>
    </row>
    <row r="59" ht="14.25" customHeight="1">
      <c r="G59" s="19"/>
      <c r="H59" s="10"/>
      <c r="I59" s="13"/>
      <c r="J59" s="13"/>
    </row>
    <row r="60" ht="14.25" customHeight="1">
      <c r="H60" s="10"/>
      <c r="I60" s="13"/>
      <c r="J60" s="13"/>
    </row>
    <row r="61" ht="14.25" customHeight="1">
      <c r="H61" s="10"/>
      <c r="I61" s="13"/>
      <c r="J61" s="13"/>
    </row>
    <row r="62" ht="14.25" customHeight="1">
      <c r="H62" s="10"/>
      <c r="I62" s="13"/>
      <c r="J62" s="13"/>
    </row>
    <row r="63" ht="14.25" customHeight="1">
      <c r="H63" s="10"/>
      <c r="I63" s="13"/>
      <c r="J63" s="13"/>
    </row>
    <row r="64" ht="14.25" customHeight="1">
      <c r="H64" s="10"/>
      <c r="I64" s="13"/>
      <c r="J64" s="13"/>
    </row>
    <row r="65" ht="14.25" customHeight="1">
      <c r="H65" s="10"/>
      <c r="I65" s="13"/>
      <c r="J65" s="13"/>
    </row>
    <row r="66" ht="14.25" customHeight="1">
      <c r="H66" s="10"/>
      <c r="I66" s="13"/>
      <c r="J66" s="13"/>
    </row>
    <row r="67" ht="14.25" customHeight="1">
      <c r="H67" s="10"/>
      <c r="I67" s="13"/>
      <c r="J67" s="13"/>
    </row>
    <row r="68" ht="14.25" customHeight="1">
      <c r="H68" s="10"/>
      <c r="I68" s="13"/>
      <c r="J68" s="13"/>
    </row>
    <row r="69" ht="14.25" customHeight="1">
      <c r="H69" s="10"/>
      <c r="I69" s="13"/>
      <c r="J69" s="13"/>
    </row>
    <row r="70" ht="14.25" customHeight="1">
      <c r="H70" s="10"/>
      <c r="I70" s="13"/>
      <c r="J70" s="13"/>
    </row>
    <row r="71" ht="14.25" customHeight="1">
      <c r="H71" s="10"/>
      <c r="I71" s="13"/>
      <c r="J71" s="13"/>
    </row>
    <row r="72" ht="14.25" customHeight="1">
      <c r="H72" s="10"/>
      <c r="I72" s="13"/>
      <c r="J72" s="13"/>
    </row>
    <row r="73" ht="14.25" customHeight="1">
      <c r="H73" s="10"/>
      <c r="I73" s="13"/>
      <c r="J73" s="13"/>
    </row>
    <row r="74" ht="14.25" customHeight="1">
      <c r="H74" s="10"/>
      <c r="I74" s="13"/>
      <c r="J74" s="13"/>
    </row>
    <row r="75" ht="14.25" customHeight="1">
      <c r="H75" s="10"/>
      <c r="I75" s="13"/>
      <c r="J75" s="13"/>
    </row>
    <row r="76" ht="14.25" customHeight="1">
      <c r="H76" s="10"/>
      <c r="I76" s="13"/>
      <c r="J76" s="13"/>
    </row>
    <row r="77" ht="14.25" customHeight="1">
      <c r="H77" s="10"/>
      <c r="I77" s="13"/>
      <c r="J77" s="13"/>
    </row>
    <row r="78" ht="14.25" customHeight="1">
      <c r="H78" s="10"/>
      <c r="I78" s="13"/>
      <c r="J78" s="13"/>
    </row>
    <row r="79" ht="14.25" customHeight="1">
      <c r="H79" s="10"/>
      <c r="I79" s="13"/>
      <c r="J79" s="13"/>
    </row>
    <row r="80" ht="14.25" customHeight="1">
      <c r="H80" s="10"/>
      <c r="I80" s="13"/>
      <c r="J80" s="13"/>
    </row>
    <row r="81" ht="14.25" customHeight="1">
      <c r="H81" s="10"/>
      <c r="I81" s="13"/>
      <c r="J81" s="13"/>
    </row>
    <row r="82" ht="14.25" customHeight="1">
      <c r="H82" s="10"/>
      <c r="I82" s="13"/>
      <c r="J82" s="13"/>
    </row>
    <row r="83" ht="14.25" customHeight="1">
      <c r="H83" s="10"/>
      <c r="I83" s="13"/>
      <c r="J83" s="13"/>
    </row>
    <row r="84" ht="14.25" customHeight="1">
      <c r="H84" s="13"/>
      <c r="I84" s="13"/>
      <c r="J84" s="13"/>
    </row>
    <row r="85" ht="14.25" customHeight="1">
      <c r="H85" s="13"/>
      <c r="I85" s="13"/>
      <c r="J85" s="13"/>
    </row>
    <row r="86" ht="14.25" customHeight="1">
      <c r="H86" s="13"/>
      <c r="I86" s="13"/>
      <c r="J86" s="13"/>
    </row>
    <row r="87" ht="14.25" customHeight="1">
      <c r="H87" s="13"/>
      <c r="I87" s="13"/>
      <c r="J87" s="13"/>
    </row>
    <row r="88" ht="14.25" customHeight="1">
      <c r="H88" s="13"/>
      <c r="I88" s="13"/>
      <c r="J88" s="13"/>
    </row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C1"/>
    <mergeCell ref="E1:F1"/>
    <mergeCell ref="B2:C2"/>
  </mergeCells>
  <printOptions/>
  <pageMargins bottom="0.75" footer="0.0" header="0.0" left="0.7" right="0.7" top="0.75"/>
  <pageSetup scale="70" orientation="portrait"/>
  <headerFooter>
    <oddHeader>&amp;CTP : 3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2020-05-21T17:31:34Z</dcterms:created>
  <dc:creator>anas ramdani</dc:creator>
</cp:coreProperties>
</file>