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ives" sheetId="1" r:id="rId4"/>
    <sheet state="visible" name="Enoncé" sheetId="2" r:id="rId5"/>
    <sheet state="hidden" name="Enoncé (2)" sheetId="3" r:id="rId6"/>
    <sheet state="hidden" name="Feuil2" sheetId="4" r:id="rId7"/>
    <sheet state="hidden" name="Feuil3" sheetId="5" r:id="rId8"/>
    <sheet state="hidden" name="Feuil4" sheetId="6" r:id="rId9"/>
    <sheet state="hidden" name="Feuil5" sheetId="7" r:id="rId10"/>
  </sheets>
  <definedNames/>
  <calcPr/>
  <extLst>
    <ext uri="GoogleSheetsCustomDataVersion1">
      <go:sheetsCustomData xmlns:go="http://customooxmlschemas.google.com/" r:id="rId11" roundtripDataSignature="AMtx7mj81aydzHHTNZglCo+xMMd12gmysw=="/>
    </ext>
  </extLst>
</workbook>
</file>

<file path=xl/sharedStrings.xml><?xml version="1.0" encoding="utf-8"?>
<sst xmlns="http://schemas.openxmlformats.org/spreadsheetml/2006/main" count="444" uniqueCount="224">
  <si>
    <t>DIRECTIVES IMPORTANTES</t>
  </si>
  <si>
    <t>Étapes du TP</t>
  </si>
  <si>
    <t>1- Télécharger sur votre ordinateur le fichier Excel</t>
  </si>
  <si>
    <t>2- Renomer le fichier avec votre numéro de matricule - TP3 - Gr.lab</t>
  </si>
  <si>
    <t xml:space="preserve">Exemple: </t>
  </si>
  <si>
    <t>Si vous avez le numéro de matricule 1827096 et vous êtes inscrit dans votre dossier étudiant sous le groupe lab 5</t>
  </si>
  <si>
    <t>1827096 - TP3 - Gr.5-A2020.xlsx</t>
  </si>
  <si>
    <t>Dans le doute, copier/coller l'exemple et modifier le nom du fichier.</t>
  </si>
  <si>
    <t xml:space="preserve">Ne pas vous tromper dans votre matricule, espaces, caractères, numéro de groupe, etc.													
														</t>
  </si>
  <si>
    <t>3- Effectuer et compléter le TP</t>
  </si>
  <si>
    <t xml:space="preserve"> Effectuer vos calculs à l'aide d'Excel seulement, pas de calculatrice. Excel garde toutes les décimales même si elles ne sont pas montrées.</t>
  </si>
  <si>
    <t xml:space="preserve"> Mettre les réponses dans les cases en jaunes seulement</t>
  </si>
  <si>
    <t>Il est possible que pour certaines questions il n'y ait pas de réponse. Dans ce cas, mettre 0 dans la cellule en jaune.</t>
  </si>
  <si>
    <t xml:space="preserve"> NE PAS MODIFIER LE FICHIER (ajouter des lignes ou des colonnes, fusionner, etc.).</t>
  </si>
  <si>
    <t xml:space="preserve"> Ne pas changer le format de la réponse.</t>
  </si>
  <si>
    <t xml:space="preserve"> Ne pas faire de copier/coller ou de couper/coller.</t>
  </si>
  <si>
    <t xml:space="preserve"> Vous pouvez utiliser la section « Notes personnelles non notées » pour mettre ce que vous voulez. Cette section ne sera pas corrigée.</t>
  </si>
  <si>
    <t>4- Déposer le fichier Excel dans la BONNE boite de dépôt.</t>
  </si>
  <si>
    <t>3 points sur 20 sont donnés pour suivre la démarche parfaitement</t>
  </si>
  <si>
    <t>Amusez vous bien !!!!</t>
  </si>
  <si>
    <t>SSH-3201 - Économique de l’ingénieur (TP 4)</t>
  </si>
  <si>
    <t>A 2020</t>
  </si>
  <si>
    <t xml:space="preserve">Nom : </t>
  </si>
  <si>
    <t xml:space="preserve">Prénom : </t>
  </si>
  <si>
    <t xml:space="preserve">Matricule : </t>
  </si>
  <si>
    <t xml:space="preserve">Groupe : </t>
  </si>
  <si>
    <t>Notes personnelles non notées</t>
  </si>
  <si>
    <t>L’entreprise Covida inc. est en affaires depuis plusieurs années. Elle entrevoit la possibilité de modifier sa production. Dans un premier temps, on vous demande de faire l’analyse de la situation actuelle et dans un deuxième temps, on vous demande d’effectuer une analyse comparative considérant la modification de la production.</t>
  </si>
  <si>
    <t>Partie 1:</t>
  </si>
  <si>
    <t>CV</t>
  </si>
  <si>
    <t>CF</t>
  </si>
  <si>
    <t>Unités fabriquées et vendues</t>
  </si>
  <si>
    <t>1.1 Prix de vente unitaire</t>
  </si>
  <si>
    <t>PVu =</t>
  </si>
  <si>
    <t>Somme revenus 2019 / Nombre d'unités vendues en 2019</t>
  </si>
  <si>
    <t>Tableau des revenus et des coûts pour l'année 2019</t>
  </si>
  <si>
    <t>/ unité</t>
  </si>
  <si>
    <t>Unités vendues</t>
  </si>
  <si>
    <t>Revenus</t>
  </si>
  <si>
    <t>Coût MO</t>
  </si>
  <si>
    <t>Coût MP</t>
  </si>
  <si>
    <t>Amorstissement des équipements de production</t>
  </si>
  <si>
    <t>Janvier</t>
  </si>
  <si>
    <t>Février</t>
  </si>
  <si>
    <t>Prix de vente unitaire</t>
  </si>
  <si>
    <t>Mars</t>
  </si>
  <si>
    <t>Avril</t>
  </si>
  <si>
    <t xml:space="preserve"> 1.2 Moindre carrée MO</t>
  </si>
  <si>
    <t>Mai</t>
  </si>
  <si>
    <t>Unitées vendues</t>
  </si>
  <si>
    <t>Coût MO totaux</t>
  </si>
  <si>
    <t>Juin</t>
  </si>
  <si>
    <t>Mois</t>
  </si>
  <si>
    <t>x</t>
  </si>
  <si>
    <t>y</t>
  </si>
  <si>
    <t>xy</t>
  </si>
  <si>
    <t>x^2</t>
  </si>
  <si>
    <t>Juillet</t>
  </si>
  <si>
    <t>Août</t>
  </si>
  <si>
    <t>Septembre</t>
  </si>
  <si>
    <t>Octobre</t>
  </si>
  <si>
    <t>Novembre</t>
  </si>
  <si>
    <t>Décembre</t>
  </si>
  <si>
    <t>En moyenne, chaque unité vendue a rapporté un bénéfice de 2,21 $.</t>
  </si>
  <si>
    <t>L'usine peut produire au maximum 5 800 unités par mois.</t>
  </si>
  <si>
    <t>1.1) Quel est le prix de vente unitaire ?</t>
  </si>
  <si>
    <t>Somme</t>
  </si>
  <si>
    <t>1.2) Utiliser la méthode des moindres carrée pour calculer les coûts fixes annuels et variables unitaires de main-d'œuvre .</t>
  </si>
  <si>
    <t>1.3) Utiliser la méthode des points extrêmes pour calculer les coûts variables unitaires de matière première.</t>
  </si>
  <si>
    <t>1.4) Calculer les autres frais fixes annuels comprenant les frais de gestion, de vente, amortissement, etc.</t>
  </si>
  <si>
    <t>MO Variable</t>
  </si>
  <si>
    <t>MO Fixe</t>
  </si>
  <si>
    <t>En considérant que la production de 2021 est identique à celle de 2019, répondre aux questions suivantes.</t>
  </si>
  <si>
    <t>1.3 Point extreme MP</t>
  </si>
  <si>
    <t>1.4 Autres frais fixes annuels</t>
  </si>
  <si>
    <t>1.5) Établir la contribution marginale en % et unitaire en $.</t>
  </si>
  <si>
    <t>CVu =</t>
  </si>
  <si>
    <t>(Coût maximum - Coût minimum) / (Niveau maxium - Niveau minimum)</t>
  </si>
  <si>
    <t>Bénéfice net =</t>
  </si>
  <si>
    <t>1.6) Établir le seuil de rentabilité en unités et en dollars.</t>
  </si>
  <si>
    <t>Coûts totaux MO + MP =</t>
  </si>
  <si>
    <t>1.7) En fonction de la capacité maximum de production, établir la marge de sécurité en $, en % et en nombre d’unités.</t>
  </si>
  <si>
    <t>Coûts totaux =</t>
  </si>
  <si>
    <t>Revenus - Bénéfices nets</t>
  </si>
  <si>
    <t>1.8) À quel prix devrait-elle vendre son produit pour avoir un profit net de 750 000 $ par année ?</t>
  </si>
  <si>
    <t>Frais de gestion global =</t>
  </si>
  <si>
    <t>Coûts totaux - Coûts totaux MO +MP</t>
  </si>
  <si>
    <t>Partie 2:</t>
  </si>
  <si>
    <t>MP Variable</t>
  </si>
  <si>
    <t xml:space="preserve">Le tableau suivant détaille les différentes données financières relatives à la nouvelle production. À mentionner que pour effectuer la nouvelle production, elle devra faire l’acquisition d’un nouvel équipement et disposer de son ancien à sa valeur comptable. </t>
  </si>
  <si>
    <t xml:space="preserve"> </t>
  </si>
  <si>
    <t>Frais de gestion total</t>
  </si>
  <si>
    <t>Pour effectuer l’achat de ce nouvel équipement, la compagnie devra utiliser des placements lui rapportant du 9%  d'intérêts annuellement.</t>
  </si>
  <si>
    <t>1.5 Contribution marginale</t>
  </si>
  <si>
    <t>1.6 seuil de rentabilité</t>
  </si>
  <si>
    <t>1.7 Marge de securité</t>
  </si>
  <si>
    <t>1.8 Nouveau prix de vente</t>
  </si>
  <si>
    <t xml:space="preserve">CMu = </t>
  </si>
  <si>
    <t xml:space="preserve">PVu - CVu </t>
  </si>
  <si>
    <t>Coûts fixes MO =</t>
  </si>
  <si>
    <t>Revenus totaux prévus =</t>
  </si>
  <si>
    <t>Coûts fixes totaux =</t>
  </si>
  <si>
    <t>Pour la partie 2, ne pas considérer le nouveau prix de vente calculer à la question 1.8.</t>
  </si>
  <si>
    <t xml:space="preserve">Coûts fixes MP = </t>
  </si>
  <si>
    <t>SR($) =</t>
  </si>
  <si>
    <t>Bénéfice net annuel =</t>
  </si>
  <si>
    <t>CM(%) =</t>
  </si>
  <si>
    <t>CMu / PVu</t>
  </si>
  <si>
    <t>Coûts fixes autres =</t>
  </si>
  <si>
    <t>Coûts variables totaux</t>
  </si>
  <si>
    <t>Évaluation des coûts et des revenus annuels du nouveau produit pour 2021</t>
  </si>
  <si>
    <t>CMu =</t>
  </si>
  <si>
    <t>MS$</t>
  </si>
  <si>
    <t xml:space="preserve">CM($) = </t>
  </si>
  <si>
    <t>CMu</t>
  </si>
  <si>
    <t>Seuil de rentabilité unitaires</t>
  </si>
  <si>
    <t>Unités prévues =</t>
  </si>
  <si>
    <t>Ventes totales =</t>
  </si>
  <si>
    <t>CM%</t>
  </si>
  <si>
    <t>SR(Q) =</t>
  </si>
  <si>
    <t>MO directe unitaire</t>
  </si>
  <si>
    <t>Nouveau prix de vente</t>
  </si>
  <si>
    <t>MO indirecte</t>
  </si>
  <si>
    <t>MSu</t>
  </si>
  <si>
    <t>MP unitaire</t>
  </si>
  <si>
    <t>Seuil de rentabilité en $</t>
  </si>
  <si>
    <t>Autres coûts fixes de production</t>
  </si>
  <si>
    <t>MS($) =</t>
  </si>
  <si>
    <t>Frais de vente unitaires</t>
  </si>
  <si>
    <t>Revenus unitaire</t>
  </si>
  <si>
    <t>MS%</t>
  </si>
  <si>
    <t>Prévision des ventes en unités</t>
  </si>
  <si>
    <t>Coût d'achat de l'équipement</t>
  </si>
  <si>
    <t>Frais d'installation</t>
  </si>
  <si>
    <t>Date d'achat</t>
  </si>
  <si>
    <t>Vie utile (nombre d'années)</t>
  </si>
  <si>
    <t>Valeur résiduelle en fin de vie</t>
  </si>
  <si>
    <t>2.1 Coût d'opportunité</t>
  </si>
  <si>
    <t>En considérant le remplacement de la solution actuelle, répondre aux questions suivantes.</t>
  </si>
  <si>
    <t>Intérêt placement annuel =</t>
  </si>
  <si>
    <t>2.1) Quel est le coût d'opportunité annuel lié à l'achat de l'équipement?</t>
  </si>
  <si>
    <t>2.2) Quels sont les revenus supplémentaires (en valeur absolue) ?</t>
  </si>
  <si>
    <t>Coût d'opportunité annuel</t>
  </si>
  <si>
    <t>2.3) Quels sont les revenus perdus (en valeur absolue) ?</t>
  </si>
  <si>
    <t>2.2 Revenus supplémentaires</t>
  </si>
  <si>
    <t>2.3 Revenus perdus</t>
  </si>
  <si>
    <t>En regroupant les différents coûts en coûts fixes et en coûts variables :</t>
  </si>
  <si>
    <t>Revenu 2021 =</t>
  </si>
  <si>
    <t>Intérêts sur palcement =</t>
  </si>
  <si>
    <t>2.4) Quels sont les coûts évités (en valeur absolue) ?</t>
  </si>
  <si>
    <t>Revenu actuel =</t>
  </si>
  <si>
    <t>2.5) Quels sont les coûts supplémentaires (en valeur absolue) ?</t>
  </si>
  <si>
    <t>2.6) Quel est le résultat net différentiel ?</t>
  </si>
  <si>
    <t>Revenus supplémentaires</t>
  </si>
  <si>
    <t>Revenus perdus</t>
  </si>
  <si>
    <t>2.4 Coûts évités</t>
  </si>
  <si>
    <t>Amortissements équip. =</t>
  </si>
  <si>
    <t>CF totaux actuel =</t>
  </si>
  <si>
    <t>CF totaux 2021 =</t>
  </si>
  <si>
    <t>Fixes et/ou variables</t>
  </si>
  <si>
    <t>Coûts évités</t>
  </si>
  <si>
    <t xml:space="preserve">2.5 Coûts supplémentaires </t>
  </si>
  <si>
    <t>CV totaux 2021 =</t>
  </si>
  <si>
    <t>CV totaux actuel =</t>
  </si>
  <si>
    <t>Coût acquisition équip. =</t>
  </si>
  <si>
    <t>Coûts supplémentaires</t>
  </si>
  <si>
    <t>2.6 Résultat net différentiel</t>
  </si>
  <si>
    <t>Revenus différentiels nets =</t>
  </si>
  <si>
    <t>Coûts différentiels nets =</t>
  </si>
  <si>
    <t>Résultat net différentiel</t>
  </si>
  <si>
    <t>2.1) Quel est le coût d'opportunité annuel ?</t>
  </si>
  <si>
    <t>Coût fixes</t>
  </si>
  <si>
    <t>Bénéfices</t>
  </si>
  <si>
    <t>Bénéfices moyen</t>
  </si>
  <si>
    <t>Decembre</t>
  </si>
  <si>
    <t>MO variable</t>
  </si>
  <si>
    <t>MO fixe par mois</t>
  </si>
  <si>
    <t>MP variable</t>
  </si>
  <si>
    <t>Autres frais fixes par mois</t>
  </si>
  <si>
    <t>Bénéfices moyens</t>
  </si>
  <si>
    <t>Capacité maximum mensuelle</t>
  </si>
  <si>
    <t>Bénéfice net annuel possible</t>
  </si>
  <si>
    <t>Coût d'achat l'équipemement</t>
  </si>
  <si>
    <t>Amortissement</t>
  </si>
  <si>
    <t>Placement - coût opportunité</t>
  </si>
  <si>
    <t>Unités</t>
  </si>
  <si>
    <t>Coût total</t>
  </si>
  <si>
    <t>Q2</t>
  </si>
  <si>
    <t>Q*CT</t>
  </si>
  <si>
    <t>Fevrier</t>
  </si>
  <si>
    <t>Aout</t>
  </si>
  <si>
    <t>Total</t>
  </si>
  <si>
    <t>Min</t>
  </si>
  <si>
    <t>Unités produites</t>
  </si>
  <si>
    <t>Max</t>
  </si>
  <si>
    <t>Revenus totaux</t>
  </si>
  <si>
    <t>Bénéfice moyen</t>
  </si>
  <si>
    <t>MO var</t>
  </si>
  <si>
    <t>MP var</t>
  </si>
  <si>
    <t>MO fixe</t>
  </si>
  <si>
    <t>Production maximum</t>
  </si>
  <si>
    <t>Bénéfice voulu</t>
  </si>
  <si>
    <t>Frais variables unitaire totaux</t>
  </si>
  <si>
    <t>Revenus maximum</t>
  </si>
  <si>
    <t>Frais fixes totaux</t>
  </si>
  <si>
    <t>Point mort</t>
  </si>
  <si>
    <t>Quantité produite</t>
  </si>
  <si>
    <t>Marge de securité unitaire</t>
  </si>
  <si>
    <t>Coût de l'équipement</t>
  </si>
  <si>
    <t>Taux d'intérêt</t>
  </si>
  <si>
    <t>Actuel</t>
  </si>
  <si>
    <t>Option</t>
  </si>
  <si>
    <t>Quantité vendu</t>
  </si>
  <si>
    <t>Revenu totaux</t>
  </si>
  <si>
    <t>Frais variables totaux</t>
  </si>
  <si>
    <t xml:space="preserve">Coûts supplémentaires </t>
  </si>
  <si>
    <t>Étudiant</t>
  </si>
  <si>
    <t>Réponse simulée</t>
  </si>
  <si>
    <t>points</t>
  </si>
  <si>
    <t>Partie 1</t>
  </si>
  <si>
    <t>Pointage</t>
  </si>
  <si>
    <t>Point Max</t>
  </si>
  <si>
    <t>Partie 2</t>
  </si>
  <si>
    <t>Note finale</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</si>
</sst>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quot; unités&quot;"/>
    <numFmt numFmtId="165" formatCode="#,##0&quot; u.&quot;"/>
    <numFmt numFmtId="166" formatCode="#,##0.00&quot; $/u&quot;"/>
    <numFmt numFmtId="167" formatCode="#,##0.00&quot; $/u.&quot;"/>
    <numFmt numFmtId="168" formatCode="_ * #,##0.00_)\ &quot;$&quot;_ ;_ * \(#,##0.00\)\ &quot;$&quot;_ ;_ * &quot;-&quot;??_)\ &quot;$&quot;_ ;_ @_ "/>
    <numFmt numFmtId="169" formatCode="_-* #,##0\ &quot;$&quot;_-;_-* #,##0\ &quot;$&quot;\-;_-* &quot;-&quot;??\ &quot;$&quot;_-;_-@"/>
    <numFmt numFmtId="170" formatCode="_ * #,##0_)\ &quot;$&quot;_ ;_ * \(#,##0\)\ &quot;$&quot;_ ;_ * &quot;-&quot;??_)\ &quot;$&quot;_ ;_ @_ "/>
    <numFmt numFmtId="171" formatCode="_-&quot;$&quot;* #,##0.00_-;\-&quot;$&quot;* #,##0.00_-;_-&quot;$&quot;* &quot;-&quot;??_-;_-@"/>
    <numFmt numFmtId="172" formatCode="0&quot; années&quot;"/>
    <numFmt numFmtId="173" formatCode="#,##0&quot; $/u&quot;"/>
    <numFmt numFmtId="174" formatCode="_ * #,##0.000000_)\ &quot;$&quot;_ ;_ * \(#,##0.000000\)\ &quot;$&quot;_ ;_ * &quot;-&quot;??_)\ &quot;$&quot;_ ;_ @_ "/>
    <numFmt numFmtId="175" formatCode="_ * #,##0.00_)\ _$_ ;_ * \(#,##0.00\)\ _$_ ;_ * &quot;-&quot;??_)\ _$_ ;_ @_ "/>
    <numFmt numFmtId="176" formatCode="_-* #,##0.00\ &quot;$&quot;_-;_-* #,##0.00\ &quot;$&quot;\-;_-* &quot;-&quot;??\ &quot;$&quot;_-;_-@"/>
  </numFmts>
  <fonts count="17">
    <font>
      <sz val="11.0"/>
      <color theme="1"/>
      <name val="Calibri"/>
      <scheme val="minor"/>
    </font>
    <font>
      <b/>
      <sz val="24.0"/>
      <color theme="1"/>
      <name val="Arial"/>
    </font>
    <font>
      <sz val="12.0"/>
      <color theme="1"/>
      <name val="Arial"/>
    </font>
    <font/>
    <font>
      <b/>
      <sz val="22.0"/>
      <color theme="1"/>
      <name val="Arial"/>
    </font>
    <font>
      <b/>
      <sz val="12.0"/>
      <color theme="1"/>
      <name val="Arial"/>
    </font>
    <font>
      <b/>
      <u/>
      <sz val="12.0"/>
      <color theme="1"/>
      <name val="Arial"/>
    </font>
    <font>
      <b/>
      <sz val="12.0"/>
      <color theme="1"/>
      <name val="Calibri"/>
      <scheme val="minor"/>
    </font>
    <font>
      <b/>
      <sz val="12.0"/>
      <color rgb="FF000000"/>
      <name val="Calibri"/>
      <scheme val="minor"/>
    </font>
    <font>
      <sz val="11.0"/>
      <color theme="1"/>
      <name val="Arial"/>
    </font>
    <font>
      <sz val="15.0"/>
      <color theme="1"/>
      <name val="Calibri"/>
      <scheme val="minor"/>
    </font>
    <font>
      <sz val="12.0"/>
      <color theme="1"/>
      <name val="Calibri"/>
      <scheme val="minor"/>
    </font>
    <font>
      <b/>
      <sz val="11.0"/>
      <color rgb="FF000000"/>
      <name val="Calibri"/>
    </font>
    <font>
      <b/>
      <sz val="11.0"/>
      <color theme="1"/>
      <name val="Calibri"/>
      <scheme val="minor"/>
    </font>
    <font>
      <sz val="11.0"/>
      <color theme="1"/>
      <name val="Calibri"/>
    </font>
    <font>
      <sz val="12.0"/>
      <color theme="1"/>
      <name val="Calibri"/>
    </font>
    <font>
      <b/>
      <sz val="11.0"/>
      <color theme="1"/>
      <name val="Arial"/>
    </font>
  </fonts>
  <fills count="6">
    <fill>
      <patternFill patternType="none"/>
    </fill>
    <fill>
      <patternFill patternType="lightGray"/>
    </fill>
    <fill>
      <patternFill patternType="solid">
        <fgColor rgb="FFFFFF00"/>
        <bgColor rgb="FFFFFF00"/>
      </patternFill>
    </fill>
    <fill>
      <patternFill patternType="solid">
        <fgColor rgb="FFB4C6E7"/>
        <bgColor rgb="FFB4C6E7"/>
      </patternFill>
    </fill>
    <fill>
      <patternFill patternType="solid">
        <fgColor rgb="FFD8D8D8"/>
        <bgColor rgb="FFD8D8D8"/>
      </patternFill>
    </fill>
    <fill>
      <patternFill patternType="solid">
        <fgColor rgb="FFD0CECE"/>
        <bgColor rgb="FFD0CECE"/>
      </patternFill>
    </fill>
  </fills>
  <borders count="40">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top/>
    </border>
    <border>
      <top/>
    </border>
    <border>
      <right/>
      <top/>
    </border>
    <border>
      <right style="medium">
        <color rgb="FF000000"/>
      </right>
    </border>
    <border>
      <left style="medium">
        <color rgb="FF000000"/>
      </left>
      <bottom style="medium">
        <color rgb="FF000000"/>
      </bottom>
    </border>
    <border>
      <left/>
      <bottom style="medium">
        <color rgb="FF000000"/>
      </bottom>
    </border>
    <border>
      <bottom style="medium">
        <color rgb="FF000000"/>
      </bottom>
    </border>
    <border>
      <right/>
      <bottom style="medium">
        <color rgb="FF000000"/>
      </bottom>
    </border>
    <border>
      <right style="medium">
        <color rgb="FF000000"/>
      </right>
      <bottom style="medium">
        <color rgb="FF000000"/>
      </bottom>
    </border>
    <border>
      <left/>
      <right/>
      <top/>
      <bottom/>
    </border>
    <border>
      <left/>
      <top/>
      <bottom/>
    </border>
    <border>
      <top/>
      <bottom/>
    </border>
    <border>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left style="thin">
        <color rgb="FF000000"/>
      </left>
      <top style="medium">
        <color rgb="FF000000"/>
      </top>
      <bottom style="thin">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left style="thin">
        <color rgb="FF000000"/>
      </left>
      <right style="thin">
        <color rgb="FF000000"/>
      </right>
    </border>
    <border>
      <left/>
      <right style="medium">
        <color rgb="FF000000"/>
      </right>
      <top/>
      <bottom style="medium">
        <color rgb="FF000000"/>
      </bottom>
    </border>
    <border>
      <left style="thin">
        <color rgb="FF000000"/>
      </left>
      <right style="thin">
        <color rgb="FF000000"/>
      </right>
      <bottom style="medium">
        <color rgb="FF000000"/>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top style="medium">
        <color rgb="FF000000"/>
      </top>
      <bottom style="medium">
        <color rgb="FF000000"/>
      </bottom>
    </border>
    <border>
      <left/>
      <right style="medium">
        <color rgb="FF000000"/>
      </right>
      <top/>
      <bottom/>
    </border>
    <border>
      <left style="thin">
        <color rgb="FF000000"/>
      </left>
      <right style="medium">
        <color rgb="FF000000"/>
      </right>
    </border>
    <border>
      <left style="thin">
        <color rgb="FF000000"/>
      </left>
      <right style="medium">
        <color rgb="FF000000"/>
      </right>
      <bottom style="medium">
        <color rgb="FF000000"/>
      </bottom>
    </border>
    <border>
      <top style="thin">
        <color rgb="FF000000"/>
      </top>
    </border>
    <border>
      <left style="thin">
        <color rgb="FF000000"/>
      </left>
      <right style="medium">
        <color rgb="FF000000"/>
      </right>
      <top style="thin">
        <color rgb="FF000000"/>
      </top>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1" fillId="0" fontId="2" numFmtId="0" xfId="0" applyAlignment="1" applyBorder="1" applyFont="1">
      <alignment horizontal="center" vertical="center"/>
    </xf>
    <xf borderId="2" fillId="0" fontId="2" numFmtId="0" xfId="0" applyAlignment="1" applyBorder="1" applyFont="1">
      <alignment horizontal="left"/>
    </xf>
    <xf borderId="2" fillId="0" fontId="3" numFmtId="0" xfId="0" applyBorder="1" applyFont="1"/>
    <xf borderId="3" fillId="0" fontId="3" numFmtId="0" xfId="0" applyBorder="1" applyFont="1"/>
    <xf borderId="4" fillId="0" fontId="3" numFmtId="0" xfId="0" applyBorder="1" applyFont="1"/>
    <xf borderId="5" fillId="2" fontId="4" numFmtId="0" xfId="0" applyAlignment="1" applyBorder="1" applyFill="1" applyFont="1">
      <alignment horizontal="center"/>
    </xf>
    <xf borderId="6" fillId="0" fontId="3" numFmtId="0" xfId="0" applyBorder="1" applyFont="1"/>
    <xf borderId="7" fillId="0" fontId="3" numFmtId="0" xfId="0" applyBorder="1" applyFont="1"/>
    <xf borderId="0" fillId="0" fontId="2" numFmtId="0" xfId="0" applyAlignment="1" applyFont="1">
      <alignment horizontal="center" vertical="center"/>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0" fillId="0" fontId="4" numFmtId="0" xfId="0" applyAlignment="1" applyFont="1">
      <alignment horizontal="center" shrinkToFit="0" wrapText="1"/>
    </xf>
    <xf borderId="0" fillId="0" fontId="5" numFmtId="0" xfId="0" applyAlignment="1" applyFont="1">
      <alignment horizontal="left"/>
    </xf>
    <xf borderId="0" fillId="0" fontId="2" numFmtId="0" xfId="0" applyAlignment="1" applyFont="1">
      <alignment horizontal="left"/>
    </xf>
    <xf borderId="14" fillId="2" fontId="2" numFmtId="0" xfId="0" applyBorder="1" applyFont="1"/>
    <xf borderId="15" fillId="3" fontId="6" numFmtId="0" xfId="0" applyAlignment="1" applyBorder="1" applyFill="1" applyFont="1">
      <alignment horizontal="center"/>
    </xf>
    <xf borderId="16" fillId="0" fontId="3" numFmtId="0" xfId="0" applyBorder="1" applyFont="1"/>
    <xf borderId="17" fillId="0" fontId="3" numFmtId="0" xfId="0" applyBorder="1" applyFont="1"/>
    <xf borderId="0" fillId="0" fontId="2" numFmtId="0" xfId="0" applyAlignment="1" applyFont="1">
      <alignment horizontal="center"/>
    </xf>
    <xf borderId="0" fillId="0" fontId="7" numFmtId="0" xfId="0" applyAlignment="1" applyFont="1">
      <alignment horizontal="center" vertical="center"/>
    </xf>
    <xf borderId="0" fillId="0" fontId="7" numFmtId="0" xfId="0" applyAlignment="1" applyFont="1">
      <alignment horizontal="right" vertical="center"/>
    </xf>
    <xf borderId="0" fillId="0" fontId="0" numFmtId="0" xfId="0" applyFont="1"/>
    <xf borderId="0" fillId="0" fontId="8" numFmtId="49" xfId="0" applyAlignment="1" applyFont="1" applyNumberFormat="1">
      <alignment horizontal="right"/>
    </xf>
    <xf borderId="15" fillId="2" fontId="8" numFmtId="49" xfId="0" applyAlignment="1" applyBorder="1" applyFont="1" applyNumberFormat="1">
      <alignment horizontal="center"/>
    </xf>
    <xf borderId="0" fillId="0" fontId="7" numFmtId="49" xfId="0" applyFont="1" applyNumberFormat="1"/>
    <xf borderId="0" fillId="0" fontId="8" numFmtId="49" xfId="0" applyFont="1" applyNumberFormat="1"/>
    <xf borderId="14" fillId="2" fontId="9" numFmtId="0" xfId="0" applyBorder="1" applyFont="1"/>
    <xf borderId="0" fillId="0" fontId="7" numFmtId="0" xfId="0" applyAlignment="1" applyFont="1">
      <alignment vertical="center"/>
    </xf>
    <xf borderId="1" fillId="4" fontId="10" numFmtId="0" xfId="0" applyAlignment="1" applyBorder="1" applyFill="1" applyFont="1">
      <alignment horizontal="center" vertical="center"/>
    </xf>
    <xf borderId="0" fillId="0" fontId="11" numFmtId="0" xfId="0" applyAlignment="1" applyFont="1">
      <alignment horizontal="left" shrinkToFit="0" vertical="center" wrapText="1"/>
    </xf>
    <xf borderId="15" fillId="4" fontId="12" numFmtId="0" xfId="0" applyAlignment="1" applyBorder="1" applyFont="1">
      <alignment horizontal="center"/>
    </xf>
    <xf borderId="4" fillId="0" fontId="0" numFmtId="0" xfId="0" applyBorder="1" applyFont="1"/>
    <xf borderId="8" fillId="0" fontId="0" numFmtId="0" xfId="0" applyBorder="1" applyFont="1"/>
    <xf borderId="0" fillId="0" fontId="0" numFmtId="164" xfId="0" applyFont="1" applyNumberFormat="1"/>
    <xf borderId="0" fillId="0" fontId="0" numFmtId="165" xfId="0" applyFont="1" applyNumberFormat="1"/>
    <xf borderId="18" fillId="5" fontId="0" numFmtId="0" xfId="0" applyBorder="1" applyFill="1" applyFont="1"/>
    <xf borderId="19" fillId="0" fontId="3" numFmtId="0" xfId="0" applyBorder="1" applyFont="1"/>
    <xf borderId="20" fillId="0" fontId="3" numFmtId="0" xfId="0" applyBorder="1" applyFont="1"/>
    <xf borderId="0" fillId="0" fontId="0" numFmtId="166" xfId="0" applyFont="1" applyNumberFormat="1"/>
    <xf borderId="0" fillId="0" fontId="0" numFmtId="167" xfId="0" applyFont="1" applyNumberFormat="1"/>
    <xf borderId="0" fillId="0" fontId="0" numFmtId="0" xfId="0" applyAlignment="1" applyFont="1">
      <alignment shrinkToFit="0" wrapText="1"/>
    </xf>
    <xf borderId="0" fillId="0" fontId="0" numFmtId="0" xfId="0" applyAlignment="1" applyFont="1">
      <alignment horizontal="center"/>
    </xf>
    <xf borderId="0" fillId="0" fontId="0" numFmtId="168" xfId="0" applyFont="1" applyNumberFormat="1"/>
    <xf borderId="0" fillId="0" fontId="0" numFmtId="169" xfId="0" applyFont="1" applyNumberFormat="1"/>
    <xf borderId="0" fillId="0" fontId="0" numFmtId="170" xfId="0" applyFont="1" applyNumberFormat="1"/>
    <xf borderId="21" fillId="0" fontId="0" numFmtId="0" xfId="0" applyBorder="1" applyFont="1"/>
    <xf borderId="22" fillId="0" fontId="0" numFmtId="0" xfId="0" applyAlignment="1" applyBorder="1" applyFont="1">
      <alignment horizontal="center"/>
    </xf>
    <xf borderId="23" fillId="0" fontId="0" numFmtId="0" xfId="0" applyAlignment="1" applyBorder="1" applyFont="1">
      <alignment horizontal="center"/>
    </xf>
    <xf borderId="24" fillId="0" fontId="0" numFmtId="0" xfId="0" applyAlignment="1" applyBorder="1" applyFont="1">
      <alignment horizontal="center"/>
    </xf>
    <xf borderId="25" fillId="0" fontId="0" numFmtId="0" xfId="0" applyAlignment="1" applyBorder="1" applyFont="1">
      <alignment horizontal="center"/>
    </xf>
    <xf borderId="26" fillId="0" fontId="0" numFmtId="0" xfId="0" applyBorder="1" applyFont="1"/>
    <xf borderId="27" fillId="0" fontId="0" numFmtId="165" xfId="0" applyBorder="1" applyFont="1" applyNumberFormat="1"/>
    <xf borderId="27" fillId="0" fontId="0" numFmtId="168" xfId="0" applyBorder="1" applyFont="1" applyNumberFormat="1"/>
    <xf borderId="8" fillId="0" fontId="0" numFmtId="168" xfId="0" applyBorder="1" applyFont="1" applyNumberFormat="1"/>
    <xf borderId="9" fillId="0" fontId="0" numFmtId="0" xfId="0" applyBorder="1" applyFont="1"/>
    <xf borderId="11" fillId="0" fontId="0" numFmtId="0" xfId="0" applyAlignment="1" applyBorder="1" applyFont="1">
      <alignment horizontal="right"/>
    </xf>
    <xf borderId="28" fillId="2" fontId="0" numFmtId="167" xfId="0" applyBorder="1" applyFont="1" applyNumberFormat="1"/>
    <xf borderId="18" fillId="5" fontId="0" numFmtId="0" xfId="0" applyAlignment="1" applyBorder="1" applyFont="1">
      <alignment horizontal="center"/>
    </xf>
    <xf borderId="4" fillId="0" fontId="0" numFmtId="168" xfId="0" applyBorder="1" applyFont="1" applyNumberFormat="1"/>
    <xf borderId="29" fillId="0" fontId="0" numFmtId="165" xfId="0" applyBorder="1" applyFont="1" applyNumberFormat="1"/>
    <xf borderId="11" fillId="0" fontId="0" numFmtId="168" xfId="0" applyBorder="1" applyFont="1" applyNumberFormat="1"/>
    <xf borderId="29" fillId="0" fontId="0" numFmtId="168" xfId="0" applyBorder="1" applyFont="1" applyNumberFormat="1"/>
    <xf borderId="13" fillId="0" fontId="0" numFmtId="168" xfId="0" applyBorder="1" applyFont="1" applyNumberFormat="1"/>
    <xf borderId="0" fillId="0" fontId="0" numFmtId="171" xfId="0" applyFont="1" applyNumberFormat="1"/>
    <xf borderId="0" fillId="0" fontId="0" numFmtId="0" xfId="0" applyAlignment="1" applyFont="1">
      <alignment horizontal="left"/>
    </xf>
    <xf borderId="0" fillId="0" fontId="13" numFmtId="0" xfId="0" applyAlignment="1" applyFont="1">
      <alignment horizontal="center"/>
    </xf>
    <xf borderId="0" fillId="0" fontId="14" numFmtId="0" xfId="0" applyAlignment="1" applyFont="1">
      <alignment horizontal="left" shrinkToFit="0" wrapText="1"/>
    </xf>
    <xf borderId="0" fillId="0" fontId="14" numFmtId="0" xfId="0" applyAlignment="1" applyFont="1">
      <alignment horizontal="left"/>
    </xf>
    <xf borderId="9" fillId="0" fontId="0" numFmtId="0" xfId="0" applyAlignment="1" applyBorder="1" applyFont="1">
      <alignment horizontal="right"/>
    </xf>
    <xf borderId="30" fillId="2" fontId="0" numFmtId="167" xfId="0" applyBorder="1" applyFont="1" applyNumberFormat="1"/>
    <xf borderId="30" fillId="2" fontId="0" numFmtId="170" xfId="0" applyBorder="1" applyFont="1" applyNumberFormat="1"/>
    <xf borderId="11" fillId="0" fontId="0" numFmtId="0" xfId="0" applyBorder="1" applyFont="1"/>
    <xf borderId="13" fillId="0" fontId="0" numFmtId="0" xfId="0" applyBorder="1" applyFont="1"/>
    <xf borderId="31" fillId="5" fontId="0" numFmtId="0" xfId="0" applyAlignment="1" applyBorder="1" applyFont="1">
      <alignment horizontal="center"/>
    </xf>
    <xf borderId="32" fillId="0" fontId="3" numFmtId="0" xfId="0" applyBorder="1" applyFont="1"/>
    <xf borderId="33" fillId="0" fontId="3" numFmtId="0" xfId="0" applyBorder="1" applyFont="1"/>
    <xf borderId="1" fillId="0" fontId="0" numFmtId="0" xfId="0" applyBorder="1" applyFont="1"/>
    <xf borderId="2" fillId="0" fontId="0" numFmtId="168" xfId="0" applyBorder="1" applyFont="1" applyNumberFormat="1"/>
    <xf borderId="2" fillId="0" fontId="0" numFmtId="0" xfId="0" applyBorder="1" applyFont="1"/>
    <xf borderId="3" fillId="0" fontId="0" numFmtId="0" xfId="0" applyBorder="1" applyFont="1"/>
    <xf borderId="0" fillId="0" fontId="14" numFmtId="0" xfId="0" applyFont="1"/>
    <xf borderId="0" fillId="0" fontId="15" numFmtId="0" xfId="0" applyAlignment="1" applyFont="1">
      <alignment horizontal="left" shrinkToFit="0" vertical="center" wrapText="1"/>
    </xf>
    <xf borderId="34" fillId="5" fontId="0" numFmtId="0" xfId="0" applyAlignment="1" applyBorder="1" applyFont="1">
      <alignment horizontal="center"/>
    </xf>
    <xf borderId="8" fillId="0" fontId="0" numFmtId="4" xfId="0" applyBorder="1" applyFont="1" applyNumberFormat="1"/>
    <xf borderId="8" fillId="0" fontId="0" numFmtId="170" xfId="0" applyBorder="1" applyFont="1" applyNumberFormat="1"/>
    <xf borderId="0" fillId="0" fontId="0" numFmtId="0" xfId="0" applyAlignment="1" applyFont="1">
      <alignment horizontal="left" vertical="center"/>
    </xf>
    <xf borderId="1" fillId="0" fontId="16" numFmtId="0" xfId="0" applyAlignment="1" applyBorder="1" applyFont="1">
      <alignment horizontal="center" shrinkToFit="0" vertical="center" wrapText="1"/>
    </xf>
    <xf borderId="8" fillId="0" fontId="0" numFmtId="167" xfId="0" applyBorder="1" applyFont="1" applyNumberFormat="1"/>
    <xf borderId="4" fillId="0" fontId="0" numFmtId="0" xfId="0" applyAlignment="1" applyBorder="1" applyFont="1">
      <alignment horizontal="right"/>
    </xf>
    <xf borderId="35" fillId="2" fontId="0" numFmtId="170" xfId="0" applyBorder="1" applyFont="1" applyNumberFormat="1"/>
    <xf borderId="35" fillId="2" fontId="0" numFmtId="167" xfId="0" applyBorder="1" applyFont="1" applyNumberFormat="1"/>
    <xf borderId="35" fillId="2" fontId="0" numFmtId="164" xfId="0" applyBorder="1" applyFont="1" applyNumberFormat="1"/>
    <xf borderId="8" fillId="0" fontId="0" numFmtId="165" xfId="0" applyBorder="1" applyFont="1" applyNumberFormat="1"/>
    <xf borderId="35" fillId="2" fontId="0" numFmtId="10" xfId="0" applyBorder="1" applyFont="1" applyNumberFormat="1"/>
    <xf borderId="8" fillId="0" fontId="0" numFmtId="164" xfId="0" applyBorder="1" applyFont="1" applyNumberFormat="1"/>
    <xf borderId="1" fillId="0" fontId="9" numFmtId="0" xfId="0" applyBorder="1" applyFont="1"/>
    <xf borderId="2" fillId="0" fontId="9" numFmtId="0" xfId="0" applyBorder="1" applyFont="1"/>
    <xf borderId="36" fillId="0" fontId="9" numFmtId="166" xfId="0" applyBorder="1" applyFont="1" applyNumberFormat="1"/>
    <xf borderId="8" fillId="0" fontId="0" numFmtId="10" xfId="0" applyBorder="1" applyFont="1" applyNumberFormat="1"/>
    <xf borderId="4" fillId="0" fontId="9" numFmtId="0" xfId="0" applyBorder="1" applyFont="1"/>
    <xf borderId="0" fillId="0" fontId="9" numFmtId="0" xfId="0" applyFont="1"/>
    <xf borderId="36" fillId="0" fontId="9" numFmtId="169" xfId="0" applyBorder="1" applyFont="1" applyNumberFormat="1"/>
    <xf borderId="28" fillId="2" fontId="0" numFmtId="170" xfId="0" applyBorder="1" applyFont="1" applyNumberFormat="1"/>
    <xf borderId="4" fillId="0" fontId="0" numFmtId="0" xfId="0" applyAlignment="1" applyBorder="1" applyFont="1">
      <alignment horizontal="left"/>
    </xf>
    <xf borderId="37" fillId="0" fontId="9" numFmtId="164" xfId="0" applyAlignment="1" applyBorder="1" applyFont="1" applyNumberFormat="1">
      <alignment horizontal="right" vertical="center"/>
    </xf>
    <xf borderId="0" fillId="0" fontId="0" numFmtId="0" xfId="0" applyAlignment="1" applyFont="1">
      <alignment horizontal="right"/>
    </xf>
    <xf borderId="26" fillId="0" fontId="9" numFmtId="0" xfId="0" applyBorder="1" applyFont="1"/>
    <xf borderId="38" fillId="0" fontId="9" numFmtId="0" xfId="0" applyBorder="1" applyFont="1"/>
    <xf borderId="39" fillId="0" fontId="9" numFmtId="169" xfId="0" applyBorder="1" applyFont="1" applyNumberFormat="1"/>
    <xf borderId="36" fillId="0" fontId="9" numFmtId="1" xfId="0" applyBorder="1" applyFont="1" applyNumberFormat="1"/>
    <xf borderId="15" fillId="4" fontId="13" numFmtId="0" xfId="0" applyAlignment="1" applyBorder="1" applyFont="1">
      <alignment horizontal="center"/>
    </xf>
    <xf borderId="0" fillId="0" fontId="13" numFmtId="0" xfId="0" applyFont="1"/>
    <xf borderId="36" fillId="0" fontId="9" numFmtId="172" xfId="0" applyBorder="1" applyFont="1" applyNumberFormat="1"/>
    <xf borderId="9" fillId="0" fontId="9" numFmtId="0" xfId="0" applyBorder="1" applyFont="1"/>
    <xf borderId="11" fillId="0" fontId="9" numFmtId="0" xfId="0" applyBorder="1" applyFont="1"/>
    <xf borderId="37" fillId="0" fontId="9" numFmtId="169" xfId="0" applyBorder="1" applyFont="1" applyNumberFormat="1"/>
    <xf borderId="0" fillId="0" fontId="15" numFmtId="0" xfId="0" applyAlignment="1" applyFont="1">
      <alignment vertical="center"/>
    </xf>
    <xf borderId="0" fillId="0" fontId="0" numFmtId="0" xfId="0" applyAlignment="1" applyFont="1">
      <alignment horizontal="left" shrinkToFit="0" wrapText="1"/>
    </xf>
    <xf borderId="8" fillId="0" fontId="0" numFmtId="169" xfId="0" applyBorder="1" applyFont="1" applyNumberFormat="1"/>
    <xf borderId="0" fillId="0" fontId="15" numFmtId="0" xfId="0" applyAlignment="1" applyFont="1">
      <alignment horizontal="left" vertical="center"/>
    </xf>
    <xf borderId="36" fillId="0" fontId="9" numFmtId="173" xfId="0" applyBorder="1" applyFont="1" applyNumberFormat="1"/>
    <xf borderId="0" fillId="0" fontId="0" numFmtId="174" xfId="0" applyFont="1" applyNumberFormat="1"/>
    <xf borderId="0" fillId="0" fontId="0" numFmtId="175" xfId="0" applyFont="1" applyNumberFormat="1"/>
    <xf borderId="0" fillId="0" fontId="16" numFmtId="0" xfId="0" applyAlignment="1" applyFont="1">
      <alignment horizontal="center" shrinkToFit="0" vertical="center" wrapText="1"/>
    </xf>
    <xf borderId="36" fillId="0" fontId="9" numFmtId="176" xfId="0" applyBorder="1" applyFont="1" applyNumberFormat="1"/>
    <xf borderId="0" fillId="0" fontId="0" numFmtId="9" xfId="0" applyFont="1" applyNumberFormat="1"/>
    <xf borderId="0" fillId="0" fontId="12" numFmtId="0" xfId="0" applyAlignment="1" applyFont="1">
      <alignment horizontal="center"/>
    </xf>
    <xf borderId="0" fillId="0" fontId="0" numFmtId="173" xfId="0" applyFont="1" applyNumberFormat="1"/>
    <xf borderId="28" fillId="2" fontId="0" numFmtId="168" xfId="0" applyBorder="1" applyFont="1" applyNumberFormat="1"/>
    <xf borderId="0" fillId="0" fontId="0" numFmtId="3" xfId="0" applyFont="1" applyNumberFormat="1"/>
    <xf borderId="30" fillId="2" fontId="0" numFmtId="168" xfId="0" applyBorder="1" applyFont="1" applyNumberFormat="1"/>
    <xf borderId="35" fillId="2" fontId="0" numFmtId="168" xfId="0" applyBorder="1" applyFont="1" applyNumberFormat="1"/>
    <xf borderId="8" fillId="0" fontId="0" numFmtId="9" xfId="0" applyBorder="1" applyFont="1" applyNumberFormat="1"/>
    <xf borderId="0" fillId="0" fontId="0" numFmtId="49" xfId="0" applyFont="1" applyNumberFormat="1"/>
    <xf borderId="0" fillId="0" fontId="0" numFmtId="10" xfId="0" applyFont="1" applyNumberFormat="1"/>
    <xf borderId="0" fillId="0" fontId="0" numFmtId="168"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86"/>
  </cols>
  <sheetData>
    <row r="1" ht="30.0" customHeight="1">
      <c r="A1" s="1" t="s">
        <v>0</v>
      </c>
    </row>
    <row r="2" ht="30.0" customHeight="1"/>
    <row r="3" ht="13.5" customHeight="1"/>
    <row r="4" ht="13.5" customHeight="1">
      <c r="A4" s="2" t="s">
        <v>1</v>
      </c>
      <c r="B4" s="2"/>
      <c r="C4" s="2"/>
      <c r="D4" s="2"/>
      <c r="E4" s="2"/>
      <c r="F4" s="2"/>
      <c r="G4" s="2"/>
      <c r="H4" s="2"/>
      <c r="I4" s="2"/>
      <c r="J4" s="2"/>
    </row>
    <row r="5" ht="13.5" customHeight="1">
      <c r="A5" s="2" t="s">
        <v>2</v>
      </c>
      <c r="B5" s="2"/>
      <c r="C5" s="2"/>
      <c r="D5" s="2"/>
      <c r="E5" s="2"/>
      <c r="F5" s="2"/>
      <c r="G5" s="2"/>
      <c r="H5" s="2"/>
      <c r="I5" s="2"/>
      <c r="J5" s="2"/>
    </row>
    <row r="6" ht="13.5" customHeight="1">
      <c r="A6" s="2" t="s">
        <v>3</v>
      </c>
      <c r="B6" s="2"/>
      <c r="C6" s="2"/>
      <c r="D6" s="2"/>
      <c r="E6" s="2"/>
      <c r="F6" s="2"/>
      <c r="G6" s="2"/>
      <c r="H6" s="2"/>
      <c r="I6" s="2"/>
      <c r="J6" s="2"/>
    </row>
    <row r="7" ht="13.5" customHeight="1">
      <c r="A7" s="3" t="s">
        <v>4</v>
      </c>
      <c r="B7" s="4" t="s">
        <v>5</v>
      </c>
      <c r="C7" s="5"/>
      <c r="D7" s="5"/>
      <c r="E7" s="5"/>
      <c r="F7" s="5"/>
      <c r="G7" s="5"/>
      <c r="H7" s="5"/>
      <c r="I7" s="5"/>
      <c r="J7" s="5"/>
      <c r="K7" s="5"/>
      <c r="L7" s="5"/>
      <c r="M7" s="6"/>
    </row>
    <row r="8" ht="13.5" customHeight="1">
      <c r="A8" s="7"/>
      <c r="B8" s="8" t="s">
        <v>6</v>
      </c>
      <c r="C8" s="9"/>
      <c r="D8" s="9"/>
      <c r="E8" s="9"/>
      <c r="F8" s="9"/>
      <c r="G8" s="10"/>
      <c r="H8" s="11" t="s">
        <v>7</v>
      </c>
      <c r="M8" s="12"/>
    </row>
    <row r="9" ht="13.5" customHeight="1">
      <c r="A9" s="13"/>
      <c r="B9" s="14"/>
      <c r="C9" s="15"/>
      <c r="D9" s="15"/>
      <c r="E9" s="15"/>
      <c r="F9" s="15"/>
      <c r="G9" s="16"/>
      <c r="H9" s="15"/>
      <c r="I9" s="15"/>
      <c r="J9" s="15"/>
      <c r="K9" s="15"/>
      <c r="L9" s="15"/>
      <c r="M9" s="17"/>
    </row>
    <row r="10" ht="13.5" customHeight="1">
      <c r="A10" s="18" t="s">
        <v>8</v>
      </c>
    </row>
    <row r="11" ht="13.5" customHeight="1"/>
    <row r="12" ht="13.5" customHeight="1"/>
    <row r="13" ht="13.5" customHeight="1">
      <c r="A13" s="19" t="s">
        <v>9</v>
      </c>
      <c r="D13" s="2"/>
      <c r="E13" s="2"/>
      <c r="F13" s="2"/>
      <c r="G13" s="2"/>
      <c r="H13" s="2"/>
      <c r="I13" s="2"/>
      <c r="J13" s="2"/>
      <c r="K13" s="2"/>
    </row>
    <row r="14" ht="13.5" customHeight="1">
      <c r="A14" s="20" t="s">
        <v>10</v>
      </c>
    </row>
    <row r="15" ht="13.5" customHeight="1">
      <c r="A15" s="20" t="s">
        <v>11</v>
      </c>
      <c r="F15" s="21"/>
      <c r="G15" s="2"/>
      <c r="H15" s="2"/>
      <c r="I15" s="2"/>
      <c r="J15" s="2"/>
      <c r="K15" s="2"/>
    </row>
    <row r="16" ht="13.5" customHeight="1">
      <c r="A16" s="20" t="s">
        <v>12</v>
      </c>
    </row>
    <row r="17" ht="13.5" customHeight="1">
      <c r="A17" s="20" t="s">
        <v>13</v>
      </c>
    </row>
    <row r="18" ht="13.5" customHeight="1">
      <c r="A18" s="20" t="s">
        <v>14</v>
      </c>
    </row>
    <row r="19" ht="13.5" customHeight="1">
      <c r="A19" s="20" t="s">
        <v>15</v>
      </c>
    </row>
    <row r="20" ht="13.5" customHeight="1">
      <c r="A20" s="20" t="s">
        <v>16</v>
      </c>
    </row>
    <row r="21" ht="13.5" customHeight="1">
      <c r="A21" s="20"/>
    </row>
    <row r="22" ht="13.5" customHeight="1">
      <c r="A22" s="19" t="s">
        <v>17</v>
      </c>
    </row>
    <row r="23" ht="13.5" customHeight="1">
      <c r="A23" s="2"/>
      <c r="B23" s="2"/>
      <c r="C23" s="2"/>
      <c r="D23" s="2"/>
      <c r="E23" s="2"/>
      <c r="F23" s="2"/>
      <c r="G23" s="2"/>
      <c r="H23" s="2"/>
      <c r="I23" s="2"/>
      <c r="J23" s="2"/>
      <c r="K23" s="2"/>
    </row>
    <row r="24" ht="13.5" customHeight="1">
      <c r="A24" s="22" t="s">
        <v>18</v>
      </c>
      <c r="B24" s="23"/>
      <c r="C24" s="23"/>
      <c r="D24" s="23"/>
      <c r="E24" s="23"/>
      <c r="F24" s="24"/>
      <c r="G24" s="2"/>
      <c r="H24" s="2"/>
      <c r="I24" s="2"/>
      <c r="J24" s="2"/>
      <c r="K24" s="2"/>
    </row>
    <row r="25" ht="13.5" customHeight="1">
      <c r="A25" s="2"/>
      <c r="B25" s="2"/>
      <c r="C25" s="2"/>
      <c r="D25" s="2"/>
      <c r="E25" s="2"/>
      <c r="F25" s="2"/>
      <c r="G25" s="2"/>
      <c r="H25" s="2"/>
      <c r="I25" s="2"/>
      <c r="J25" s="2"/>
      <c r="K25" s="2"/>
    </row>
    <row r="26" ht="13.5" customHeight="1">
      <c r="A26" s="25" t="s">
        <v>19</v>
      </c>
      <c r="D26" s="2"/>
      <c r="E26" s="2"/>
      <c r="F26" s="2"/>
      <c r="G26" s="2"/>
      <c r="H26" s="2"/>
      <c r="I26" s="2"/>
      <c r="J26" s="2"/>
      <c r="K26" s="2"/>
    </row>
    <row r="27" ht="13.5" customHeight="1">
      <c r="A27" s="2"/>
      <c r="B27" s="2"/>
      <c r="C27" s="2"/>
      <c r="D27" s="2"/>
      <c r="E27" s="2"/>
      <c r="F27" s="2"/>
      <c r="G27" s="2"/>
      <c r="H27" s="2"/>
      <c r="I27" s="2"/>
      <c r="J27" s="2"/>
      <c r="K27" s="2"/>
    </row>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8">
    <mergeCell ref="A13:C13"/>
    <mergeCell ref="A15:E15"/>
    <mergeCell ref="A1:O2"/>
    <mergeCell ref="A7:A9"/>
    <mergeCell ref="B7:M7"/>
    <mergeCell ref="B8:G9"/>
    <mergeCell ref="H8:M9"/>
    <mergeCell ref="A10:P11"/>
    <mergeCell ref="A14:M14"/>
    <mergeCell ref="A24:F24"/>
    <mergeCell ref="A26:C26"/>
    <mergeCell ref="A16:M16"/>
    <mergeCell ref="A17:M17"/>
    <mergeCell ref="A18:M18"/>
    <mergeCell ref="A19:M19"/>
    <mergeCell ref="A20:M20"/>
    <mergeCell ref="A21:M21"/>
    <mergeCell ref="A22:M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43"/>
    <col customWidth="1" min="3" max="3" width="13.71"/>
    <col customWidth="1" min="4" max="4" width="14.29"/>
    <col customWidth="1" min="5" max="6" width="15.14"/>
    <col customWidth="1" min="7" max="7" width="8.86"/>
    <col customWidth="1" min="8" max="8" width="17.43"/>
    <col customWidth="1" min="9" max="9" width="11.43"/>
    <col customWidth="1" min="10" max="10" width="26.0"/>
    <col customWidth="1" min="11" max="11" width="19.43"/>
    <col customWidth="1" min="12" max="12" width="25.71"/>
    <col customWidth="1" min="13" max="13" width="21.0"/>
    <col customWidth="1" min="14" max="14" width="25.71"/>
    <col customWidth="1" min="15" max="15" width="15.71"/>
    <col customWidth="1" min="16" max="16" width="20.57"/>
    <col customWidth="1" min="17" max="17" width="19.14"/>
    <col customWidth="1" min="18" max="26" width="11.43"/>
    <col customWidth="1" min="27" max="34" width="14.57"/>
  </cols>
  <sheetData>
    <row r="1" ht="14.25" customHeight="1">
      <c r="A1" s="26" t="s">
        <v>20</v>
      </c>
      <c r="H1" s="27" t="s">
        <v>21</v>
      </c>
      <c r="I1" s="28"/>
      <c r="J1" s="29" t="s">
        <v>22</v>
      </c>
      <c r="K1" s="30"/>
      <c r="L1" s="24"/>
      <c r="M1" s="29" t="s">
        <v>23</v>
      </c>
      <c r="N1" s="30"/>
      <c r="O1" s="24"/>
      <c r="P1" s="31" t="s">
        <v>24</v>
      </c>
      <c r="Q1" s="30"/>
      <c r="R1" s="24"/>
      <c r="S1" s="32" t="s">
        <v>25</v>
      </c>
      <c r="T1" s="33"/>
      <c r="U1" s="28"/>
      <c r="V1" s="28"/>
      <c r="W1" s="28"/>
      <c r="X1" s="28"/>
      <c r="Y1" s="28"/>
      <c r="Z1" s="28"/>
      <c r="AA1" s="28"/>
      <c r="AB1" s="28"/>
      <c r="AC1" s="28"/>
      <c r="AD1" s="28"/>
      <c r="AE1" s="28"/>
      <c r="AF1" s="28"/>
      <c r="AG1" s="28"/>
      <c r="AH1" s="28"/>
    </row>
    <row r="2" ht="14.25" customHeight="1">
      <c r="A2" s="26"/>
      <c r="B2" s="26"/>
      <c r="C2" s="26"/>
      <c r="D2" s="26"/>
      <c r="E2" s="26"/>
      <c r="F2" s="26"/>
      <c r="G2" s="34"/>
      <c r="H2" s="28"/>
      <c r="I2" s="28"/>
      <c r="J2" s="28"/>
      <c r="K2" s="28"/>
      <c r="L2" s="28"/>
      <c r="M2" s="28"/>
      <c r="N2" s="28"/>
      <c r="O2" s="28"/>
      <c r="P2" s="28"/>
      <c r="Q2" s="28"/>
      <c r="R2" s="28"/>
      <c r="S2" s="28"/>
      <c r="T2" s="28"/>
      <c r="U2" s="28"/>
      <c r="V2" s="28"/>
      <c r="W2" s="28"/>
      <c r="X2" s="35" t="s">
        <v>26</v>
      </c>
      <c r="Y2" s="5"/>
      <c r="Z2" s="5"/>
      <c r="AA2" s="5"/>
      <c r="AB2" s="5"/>
      <c r="AC2" s="5"/>
      <c r="AD2" s="5"/>
      <c r="AE2" s="5"/>
      <c r="AF2" s="5"/>
      <c r="AG2" s="5"/>
      <c r="AH2" s="6"/>
    </row>
    <row r="3" ht="14.25" customHeight="1">
      <c r="A3" s="36" t="s">
        <v>27</v>
      </c>
      <c r="I3" s="28"/>
      <c r="J3" s="28"/>
      <c r="K3" s="28"/>
      <c r="L3" s="28"/>
      <c r="M3" s="28"/>
      <c r="N3" s="28"/>
      <c r="O3" s="28"/>
      <c r="P3" s="28"/>
      <c r="Q3" s="28"/>
      <c r="R3" s="28"/>
      <c r="S3" s="28"/>
      <c r="T3" s="28"/>
      <c r="U3" s="28"/>
      <c r="V3" s="28"/>
      <c r="W3" s="28"/>
      <c r="X3" s="13"/>
      <c r="Y3" s="15"/>
      <c r="Z3" s="15"/>
      <c r="AA3" s="15"/>
      <c r="AB3" s="15"/>
      <c r="AC3" s="15"/>
      <c r="AD3" s="15"/>
      <c r="AE3" s="15"/>
      <c r="AF3" s="15"/>
      <c r="AG3" s="15"/>
      <c r="AH3" s="17"/>
    </row>
    <row r="4" ht="15.75" customHeight="1">
      <c r="I4" s="28"/>
      <c r="J4" s="37" t="s">
        <v>28</v>
      </c>
      <c r="K4" s="23"/>
      <c r="L4" s="23"/>
      <c r="M4" s="23"/>
      <c r="N4" s="23"/>
      <c r="O4" s="23"/>
      <c r="P4" s="23"/>
      <c r="Q4" s="24"/>
      <c r="R4" s="28"/>
      <c r="S4" s="28"/>
      <c r="T4" s="28"/>
      <c r="U4" s="28"/>
      <c r="V4" s="28"/>
      <c r="W4" s="28"/>
      <c r="X4" s="38"/>
      <c r="Y4" s="28"/>
      <c r="Z4" s="28"/>
      <c r="AA4" s="28"/>
      <c r="AB4" s="28">
        <v>2021.0</v>
      </c>
      <c r="AC4" s="28">
        <v>2019.0</v>
      </c>
      <c r="AD4" s="28" t="s">
        <v>29</v>
      </c>
      <c r="AE4" s="28" t="s">
        <v>30</v>
      </c>
      <c r="AF4" s="28"/>
      <c r="AG4" s="28"/>
      <c r="AH4" s="39"/>
    </row>
    <row r="5" ht="15.75" customHeight="1">
      <c r="I5" s="28"/>
      <c r="J5" s="28"/>
      <c r="K5" s="28"/>
      <c r="L5" s="28"/>
      <c r="M5" s="28"/>
      <c r="N5" s="28"/>
      <c r="O5" s="28"/>
      <c r="P5" s="28"/>
      <c r="Q5" s="28"/>
      <c r="R5" s="28"/>
      <c r="S5" s="28"/>
      <c r="T5" s="28"/>
      <c r="U5" s="28"/>
      <c r="V5" s="28"/>
      <c r="W5" s="28"/>
      <c r="X5" s="38" t="s">
        <v>31</v>
      </c>
      <c r="Y5" s="28"/>
      <c r="Z5" s="28"/>
      <c r="AA5" s="28"/>
      <c r="AB5" s="40">
        <f>F56</f>
        <v>258000</v>
      </c>
      <c r="AC5" s="41">
        <f>SUM(C10:C21)</f>
        <v>49470</v>
      </c>
      <c r="AD5" s="28"/>
      <c r="AE5" s="28"/>
      <c r="AF5" s="28"/>
      <c r="AG5" s="28"/>
      <c r="AH5" s="39"/>
    </row>
    <row r="6" ht="15.75" customHeight="1">
      <c r="I6" s="28"/>
      <c r="J6" s="42" t="s">
        <v>32</v>
      </c>
      <c r="K6" s="43"/>
      <c r="L6" s="43"/>
      <c r="M6" s="44"/>
      <c r="N6" s="28"/>
      <c r="O6" s="28"/>
      <c r="P6" s="28"/>
      <c r="Q6" s="28"/>
      <c r="R6" s="28"/>
      <c r="S6" s="28"/>
      <c r="T6" s="28"/>
      <c r="U6" s="28"/>
      <c r="V6" s="28"/>
      <c r="W6" s="28"/>
      <c r="X6" s="38" t="str">
        <f>C52</f>
        <v>MP unitaire</v>
      </c>
      <c r="Y6" s="28"/>
      <c r="Z6" s="28"/>
      <c r="AA6" s="28"/>
      <c r="AB6" s="45">
        <f>F52</f>
        <v>4.8</v>
      </c>
      <c r="AC6" s="46">
        <f>M39</f>
        <v>4.35</v>
      </c>
      <c r="AD6" s="28"/>
      <c r="AE6" s="28"/>
      <c r="AF6" s="28"/>
      <c r="AG6" s="28"/>
      <c r="AH6" s="39"/>
    </row>
    <row r="7">
      <c r="A7" s="47"/>
      <c r="B7" s="28"/>
      <c r="C7" s="28"/>
      <c r="D7" s="28"/>
      <c r="E7" s="28"/>
      <c r="F7" s="28"/>
      <c r="G7" s="28"/>
      <c r="H7" s="28"/>
      <c r="I7" s="28"/>
      <c r="J7" s="38" t="s">
        <v>33</v>
      </c>
      <c r="K7" s="28" t="s">
        <v>34</v>
      </c>
      <c r="L7" s="28"/>
      <c r="M7" s="39"/>
      <c r="N7" s="28"/>
      <c r="O7" s="28"/>
      <c r="P7" s="28"/>
      <c r="Q7" s="28"/>
      <c r="R7" s="28"/>
      <c r="S7" s="28"/>
      <c r="T7" s="28"/>
      <c r="U7" s="28"/>
      <c r="V7" s="28"/>
      <c r="W7" s="28"/>
      <c r="X7" s="38" t="str">
        <f t="shared" ref="X7:X8" si="1">C50</f>
        <v>MO directe unitaire</v>
      </c>
      <c r="Y7" s="28"/>
      <c r="Z7" s="28"/>
      <c r="AA7" s="28"/>
      <c r="AB7" s="45">
        <f t="shared" ref="AB7:AB8" si="2">F50</f>
        <v>13</v>
      </c>
      <c r="AC7" s="46">
        <f>K31</f>
        <v>5.75</v>
      </c>
      <c r="AD7" s="28"/>
      <c r="AE7" s="28"/>
      <c r="AF7" s="28"/>
      <c r="AG7" s="28"/>
      <c r="AH7" s="39"/>
    </row>
    <row r="8" ht="14.25" customHeight="1">
      <c r="A8" s="28"/>
      <c r="B8" s="48" t="s">
        <v>35</v>
      </c>
      <c r="G8" s="28"/>
      <c r="H8" s="28"/>
      <c r="I8" s="28"/>
      <c r="J8" s="38" t="s">
        <v>33</v>
      </c>
      <c r="K8" s="49">
        <f>SUM(D10:D21)/SUM(C10:C21)</f>
        <v>15.5</v>
      </c>
      <c r="L8" s="28" t="s">
        <v>36</v>
      </c>
      <c r="M8" s="39"/>
      <c r="N8" s="28"/>
      <c r="O8" s="28"/>
      <c r="P8" s="28"/>
      <c r="Q8" s="28"/>
      <c r="R8" s="28"/>
      <c r="S8" s="28"/>
      <c r="T8" s="28"/>
      <c r="U8" s="28"/>
      <c r="V8" s="28"/>
      <c r="W8" s="28"/>
      <c r="X8" s="38" t="str">
        <f t="shared" si="1"/>
        <v>MO indirecte</v>
      </c>
      <c r="Y8" s="28"/>
      <c r="Z8" s="28"/>
      <c r="AA8" s="28"/>
      <c r="AB8" s="50">
        <f t="shared" si="2"/>
        <v>4200</v>
      </c>
      <c r="AC8" s="51">
        <f>M31</f>
        <v>67812</v>
      </c>
      <c r="AD8" s="28"/>
      <c r="AE8" s="28"/>
      <c r="AF8" s="28"/>
      <c r="AG8" s="28"/>
      <c r="AH8" s="39"/>
    </row>
    <row r="9" ht="14.25" customHeight="1">
      <c r="A9" s="28"/>
      <c r="B9" s="52"/>
      <c r="C9" s="53" t="s">
        <v>37</v>
      </c>
      <c r="D9" s="54" t="s">
        <v>38</v>
      </c>
      <c r="E9" s="55" t="s">
        <v>39</v>
      </c>
      <c r="F9" s="56" t="s">
        <v>40</v>
      </c>
      <c r="G9" s="28"/>
      <c r="H9" s="28"/>
      <c r="I9" s="28"/>
      <c r="J9" s="38"/>
      <c r="K9" s="28"/>
      <c r="L9" s="28"/>
      <c r="M9" s="39"/>
      <c r="N9" s="28"/>
      <c r="O9" s="28"/>
      <c r="P9" s="28"/>
      <c r="Q9" s="28"/>
      <c r="R9" s="47"/>
      <c r="S9" s="28"/>
      <c r="T9" s="28"/>
      <c r="U9" s="28"/>
      <c r="V9" s="28"/>
      <c r="W9" s="28"/>
      <c r="X9" s="38" t="s">
        <v>41</v>
      </c>
      <c r="Y9" s="28"/>
      <c r="Z9" s="28"/>
      <c r="AA9" s="28"/>
      <c r="AB9" s="28">
        <f>(F57-F61+F58)/25</f>
        <v>16600</v>
      </c>
      <c r="AC9" s="49">
        <v>0.0</v>
      </c>
      <c r="AD9" s="28"/>
      <c r="AE9" s="28"/>
      <c r="AF9" s="28"/>
      <c r="AG9" s="28"/>
      <c r="AH9" s="39"/>
    </row>
    <row r="10" ht="14.25" customHeight="1">
      <c r="A10" s="28"/>
      <c r="B10" s="57" t="s">
        <v>42</v>
      </c>
      <c r="C10" s="58">
        <v>5530.0</v>
      </c>
      <c r="D10" s="49">
        <v>85715.0</v>
      </c>
      <c r="E10" s="59">
        <v>37448.5</v>
      </c>
      <c r="F10" s="60">
        <v>24055.499999999996</v>
      </c>
      <c r="G10" s="28"/>
      <c r="H10" s="28"/>
      <c r="I10" s="28"/>
      <c r="J10" s="38"/>
      <c r="K10" s="28"/>
      <c r="L10" s="28"/>
      <c r="M10" s="39"/>
      <c r="N10" s="28"/>
      <c r="O10" s="28"/>
      <c r="P10" s="28"/>
      <c r="Q10" s="28"/>
      <c r="R10" s="47"/>
      <c r="S10" s="28"/>
      <c r="T10" s="28"/>
      <c r="U10" s="28"/>
      <c r="V10" s="28"/>
      <c r="W10" s="28"/>
      <c r="X10" s="38" t="str">
        <f>C53</f>
        <v>Autres coûts fixes de production</v>
      </c>
      <c r="Y10" s="28"/>
      <c r="Z10" s="28"/>
      <c r="AA10" s="28"/>
      <c r="AB10" s="50">
        <f>F53</f>
        <v>14700</v>
      </c>
      <c r="AC10" s="51">
        <f>O41</f>
        <v>89997.3</v>
      </c>
      <c r="AD10" s="28"/>
      <c r="AE10" s="28"/>
      <c r="AF10" s="28"/>
      <c r="AG10" s="28"/>
      <c r="AH10" s="39"/>
    </row>
    <row r="11" ht="14.25" customHeight="1">
      <c r="A11" s="28"/>
      <c r="B11" s="38" t="s">
        <v>43</v>
      </c>
      <c r="C11" s="58">
        <v>3120.0</v>
      </c>
      <c r="D11" s="49">
        <v>48360.0</v>
      </c>
      <c r="E11" s="59">
        <v>23591.0</v>
      </c>
      <c r="F11" s="60">
        <v>13571.999999999998</v>
      </c>
      <c r="G11" s="28"/>
      <c r="H11" s="28"/>
      <c r="I11" s="28"/>
      <c r="J11" s="61"/>
      <c r="K11" s="62" t="s">
        <v>44</v>
      </c>
      <c r="L11" s="15"/>
      <c r="M11" s="63">
        <f>K8</f>
        <v>15.5</v>
      </c>
      <c r="N11" s="28"/>
      <c r="O11" s="28"/>
      <c r="P11" s="28"/>
      <c r="Q11" s="28"/>
      <c r="R11" s="47"/>
      <c r="S11" s="28"/>
      <c r="T11" s="28"/>
      <c r="U11" s="28"/>
      <c r="V11" s="28"/>
      <c r="W11" s="28"/>
      <c r="X11" s="38" t="str">
        <f>C55</f>
        <v>Revenus unitaire</v>
      </c>
      <c r="Y11" s="28"/>
      <c r="Z11" s="28"/>
      <c r="AA11" s="28"/>
      <c r="AB11" s="45">
        <f>F55-F54</f>
        <v>21</v>
      </c>
      <c r="AC11" s="46">
        <f>M11</f>
        <v>15.5</v>
      </c>
      <c r="AD11" s="28"/>
      <c r="AE11" s="28"/>
      <c r="AF11" s="28"/>
      <c r="AG11" s="28"/>
      <c r="AH11" s="39"/>
    </row>
    <row r="12" ht="14.25" customHeight="1">
      <c r="A12" s="28"/>
      <c r="B12" s="38" t="s">
        <v>45</v>
      </c>
      <c r="C12" s="58">
        <v>5390.0</v>
      </c>
      <c r="D12" s="49">
        <v>83545.0</v>
      </c>
      <c r="E12" s="59">
        <v>36643.5</v>
      </c>
      <c r="F12" s="60">
        <v>23446.499999999996</v>
      </c>
      <c r="G12" s="28"/>
      <c r="H12" s="28"/>
      <c r="I12" s="28"/>
      <c r="J12" s="28"/>
      <c r="K12" s="28"/>
      <c r="L12" s="28"/>
      <c r="M12" s="28"/>
      <c r="N12" s="28"/>
      <c r="O12" s="28"/>
      <c r="P12" s="28"/>
      <c r="Q12" s="28"/>
      <c r="R12" s="28"/>
      <c r="S12" s="28"/>
      <c r="T12" s="28"/>
      <c r="U12" s="28"/>
      <c r="V12" s="28"/>
      <c r="W12" s="28"/>
      <c r="X12" s="38"/>
      <c r="Y12" s="28"/>
      <c r="Z12" s="28"/>
      <c r="AA12" s="28"/>
      <c r="AB12" s="45"/>
      <c r="AC12" s="46"/>
      <c r="AD12" s="28"/>
      <c r="AE12" s="28"/>
      <c r="AF12" s="28"/>
      <c r="AG12" s="28"/>
      <c r="AH12" s="39"/>
    </row>
    <row r="13" ht="14.25" customHeight="1">
      <c r="A13" s="28"/>
      <c r="B13" s="38" t="s">
        <v>46</v>
      </c>
      <c r="C13" s="58">
        <v>4460.0</v>
      </c>
      <c r="D13" s="49">
        <v>69130.0</v>
      </c>
      <c r="E13" s="59">
        <v>31296.0</v>
      </c>
      <c r="F13" s="60">
        <v>19401.0</v>
      </c>
      <c r="G13" s="28"/>
      <c r="H13" s="28"/>
      <c r="I13" s="28"/>
      <c r="J13" s="64" t="s">
        <v>47</v>
      </c>
      <c r="K13" s="43"/>
      <c r="L13" s="43"/>
      <c r="M13" s="43"/>
      <c r="N13" s="43"/>
      <c r="O13" s="43"/>
      <c r="P13" s="43"/>
      <c r="Q13" s="44"/>
      <c r="R13" s="28"/>
      <c r="S13" s="28"/>
      <c r="T13" s="28"/>
      <c r="U13" s="28"/>
      <c r="V13" s="28"/>
      <c r="W13" s="28"/>
      <c r="X13" s="38"/>
      <c r="Y13" s="28"/>
      <c r="Z13" s="28"/>
      <c r="AA13" s="28"/>
      <c r="AB13" s="28"/>
      <c r="AC13" s="28"/>
      <c r="AD13" s="28"/>
      <c r="AE13" s="28"/>
      <c r="AF13" s="28"/>
      <c r="AG13" s="28"/>
      <c r="AH13" s="39"/>
    </row>
    <row r="14" ht="14.25" customHeight="1">
      <c r="A14" s="28"/>
      <c r="B14" s="38" t="s">
        <v>48</v>
      </c>
      <c r="C14" s="58">
        <v>3450.0</v>
      </c>
      <c r="D14" s="49">
        <v>53475.0</v>
      </c>
      <c r="E14" s="59">
        <v>25488.5</v>
      </c>
      <c r="F14" s="60">
        <v>15007.499999999998</v>
      </c>
      <c r="G14" s="28"/>
      <c r="H14" s="28"/>
      <c r="I14" s="28"/>
      <c r="J14" s="38"/>
      <c r="K14" s="28" t="s">
        <v>49</v>
      </c>
      <c r="L14" s="28" t="s">
        <v>50</v>
      </c>
      <c r="M14" s="28"/>
      <c r="N14" s="28"/>
      <c r="O14" s="28"/>
      <c r="P14" s="28"/>
      <c r="Q14" s="39"/>
      <c r="R14" s="28"/>
      <c r="S14" s="28"/>
      <c r="T14" s="28"/>
      <c r="U14" s="28"/>
      <c r="V14" s="28"/>
      <c r="W14" s="28"/>
      <c r="X14" s="38"/>
      <c r="Y14" s="28"/>
      <c r="Z14" s="28"/>
      <c r="AA14" s="28"/>
      <c r="AB14" s="28"/>
      <c r="AC14" s="28"/>
      <c r="AD14" s="28"/>
      <c r="AE14" s="28"/>
      <c r="AF14" s="28"/>
      <c r="AG14" s="28"/>
      <c r="AH14" s="39"/>
    </row>
    <row r="15" ht="14.25" customHeight="1">
      <c r="A15" s="28"/>
      <c r="B15" s="38" t="s">
        <v>51</v>
      </c>
      <c r="C15" s="58">
        <v>4120.0</v>
      </c>
      <c r="D15" s="49">
        <v>63860.0</v>
      </c>
      <c r="E15" s="59">
        <v>29341.0</v>
      </c>
      <c r="F15" s="60">
        <v>17922.0</v>
      </c>
      <c r="G15" s="28"/>
      <c r="H15" s="28"/>
      <c r="I15" s="28"/>
      <c r="J15" s="65" t="s">
        <v>52</v>
      </c>
      <c r="K15" s="49" t="s">
        <v>53</v>
      </c>
      <c r="L15" s="49" t="s">
        <v>54</v>
      </c>
      <c r="M15" s="28" t="s">
        <v>55</v>
      </c>
      <c r="N15" s="28" t="s">
        <v>56</v>
      </c>
      <c r="O15" s="28"/>
      <c r="P15" s="28"/>
      <c r="Q15" s="39"/>
      <c r="R15" s="28"/>
      <c r="S15" s="28"/>
      <c r="T15" s="28"/>
      <c r="U15" s="28"/>
      <c r="V15" s="28"/>
      <c r="W15" s="28"/>
      <c r="X15" s="38"/>
      <c r="Y15" s="28"/>
      <c r="Z15" s="28"/>
      <c r="AA15" s="28"/>
      <c r="AB15" s="28"/>
      <c r="AC15" s="28"/>
      <c r="AD15" s="28"/>
      <c r="AE15" s="28"/>
      <c r="AF15" s="28"/>
      <c r="AG15" s="28"/>
      <c r="AH15" s="39"/>
    </row>
    <row r="16" ht="14.25" customHeight="1">
      <c r="A16" s="28"/>
      <c r="B16" s="38" t="s">
        <v>57</v>
      </c>
      <c r="C16" s="58">
        <v>4060.0</v>
      </c>
      <c r="D16" s="49">
        <v>62930.0</v>
      </c>
      <c r="E16" s="59">
        <v>28996.0</v>
      </c>
      <c r="F16" s="60">
        <v>17661.0</v>
      </c>
      <c r="G16" s="28"/>
      <c r="H16" s="28"/>
      <c r="I16" s="28"/>
      <c r="J16" s="65" t="str">
        <f t="shared" ref="J16:K16" si="3">B10</f>
        <v>Janvier</v>
      </c>
      <c r="K16" s="41">
        <f t="shared" si="3"/>
        <v>5530</v>
      </c>
      <c r="L16" s="49">
        <f t="shared" ref="L16:L27" si="5">E10</f>
        <v>37448.5</v>
      </c>
      <c r="M16" s="49">
        <f t="shared" ref="M16:M27" si="6">K16*L16</f>
        <v>207090205</v>
      </c>
      <c r="N16" s="28">
        <f t="shared" ref="N16:N27" si="7">K16^2</f>
        <v>30580900</v>
      </c>
      <c r="O16" s="28"/>
      <c r="P16" s="28"/>
      <c r="Q16" s="39"/>
      <c r="R16" s="28"/>
      <c r="S16" s="28"/>
      <c r="T16" s="28"/>
      <c r="U16" s="28"/>
      <c r="V16" s="28"/>
      <c r="W16" s="28"/>
      <c r="X16" s="38"/>
      <c r="Y16" s="28"/>
      <c r="Z16" s="28"/>
      <c r="AA16" s="28"/>
      <c r="AB16" s="28"/>
      <c r="AC16" s="28"/>
      <c r="AD16" s="28"/>
      <c r="AE16" s="28"/>
      <c r="AF16" s="28"/>
      <c r="AG16" s="28"/>
      <c r="AH16" s="39"/>
    </row>
    <row r="17" ht="14.25" customHeight="1">
      <c r="A17" s="28"/>
      <c r="B17" s="38" t="s">
        <v>58</v>
      </c>
      <c r="C17" s="58">
        <v>3210.0</v>
      </c>
      <c r="D17" s="49">
        <v>49755.0</v>
      </c>
      <c r="E17" s="59">
        <v>24108.5</v>
      </c>
      <c r="F17" s="60">
        <v>13963.499999999998</v>
      </c>
      <c r="G17" s="28"/>
      <c r="H17" s="28"/>
      <c r="I17" s="28"/>
      <c r="J17" s="65" t="str">
        <f t="shared" ref="J17:K17" si="4">B11</f>
        <v>Février</v>
      </c>
      <c r="K17" s="41">
        <f t="shared" si="4"/>
        <v>3120</v>
      </c>
      <c r="L17" s="49">
        <f t="shared" si="5"/>
        <v>23591</v>
      </c>
      <c r="M17" s="49">
        <f t="shared" si="6"/>
        <v>73603920</v>
      </c>
      <c r="N17" s="28">
        <f t="shared" si="7"/>
        <v>9734400</v>
      </c>
      <c r="O17" s="28"/>
      <c r="P17" s="28"/>
      <c r="Q17" s="39"/>
      <c r="R17" s="28"/>
      <c r="S17" s="28"/>
      <c r="T17" s="28"/>
      <c r="U17" s="28"/>
      <c r="V17" s="28"/>
      <c r="W17" s="28"/>
      <c r="X17" s="38"/>
      <c r="Y17" s="28"/>
      <c r="Z17" s="28"/>
      <c r="AA17" s="28"/>
      <c r="AB17" s="28"/>
      <c r="AC17" s="28"/>
      <c r="AD17" s="28"/>
      <c r="AE17" s="28"/>
      <c r="AF17" s="28"/>
      <c r="AG17" s="28"/>
      <c r="AH17" s="39"/>
    </row>
    <row r="18" ht="14.25" customHeight="1">
      <c r="A18" s="28"/>
      <c r="B18" s="38" t="s">
        <v>59</v>
      </c>
      <c r="C18" s="58">
        <v>3850.0</v>
      </c>
      <c r="D18" s="49">
        <v>59675.0</v>
      </c>
      <c r="E18" s="59">
        <v>27788.5</v>
      </c>
      <c r="F18" s="60">
        <v>16747.5</v>
      </c>
      <c r="G18" s="28"/>
      <c r="H18" s="28"/>
      <c r="I18" s="28"/>
      <c r="J18" s="65" t="str">
        <f t="shared" ref="J18:K18" si="8">B12</f>
        <v>Mars</v>
      </c>
      <c r="K18" s="41">
        <f t="shared" si="8"/>
        <v>5390</v>
      </c>
      <c r="L18" s="49">
        <f t="shared" si="5"/>
        <v>36643.5</v>
      </c>
      <c r="M18" s="49">
        <f t="shared" si="6"/>
        <v>197508465</v>
      </c>
      <c r="N18" s="28">
        <f t="shared" si="7"/>
        <v>29052100</v>
      </c>
      <c r="O18" s="28"/>
      <c r="P18" s="28"/>
      <c r="Q18" s="39"/>
      <c r="R18" s="28"/>
      <c r="S18" s="28"/>
      <c r="T18" s="28"/>
      <c r="U18" s="28"/>
      <c r="V18" s="28"/>
      <c r="W18" s="28"/>
      <c r="X18" s="38"/>
      <c r="Y18" s="28"/>
      <c r="Z18" s="28"/>
      <c r="AA18" s="28"/>
      <c r="AB18" s="28"/>
      <c r="AC18" s="28"/>
      <c r="AD18" s="28"/>
      <c r="AE18" s="28"/>
      <c r="AF18" s="28"/>
      <c r="AG18" s="28"/>
      <c r="AH18" s="39"/>
    </row>
    <row r="19" ht="14.25" customHeight="1">
      <c r="A19" s="28"/>
      <c r="B19" s="38" t="s">
        <v>60</v>
      </c>
      <c r="C19" s="58">
        <v>4520.0</v>
      </c>
      <c r="D19" s="49">
        <v>70060.0</v>
      </c>
      <c r="E19" s="59">
        <v>31641.0</v>
      </c>
      <c r="F19" s="60">
        <v>19662.0</v>
      </c>
      <c r="G19" s="28"/>
      <c r="H19" s="28"/>
      <c r="I19" s="28"/>
      <c r="J19" s="65" t="str">
        <f t="shared" ref="J19:K19" si="9">B13</f>
        <v>Avril</v>
      </c>
      <c r="K19" s="41">
        <f t="shared" si="9"/>
        <v>4460</v>
      </c>
      <c r="L19" s="49">
        <f t="shared" si="5"/>
        <v>31296</v>
      </c>
      <c r="M19" s="49">
        <f t="shared" si="6"/>
        <v>139580160</v>
      </c>
      <c r="N19" s="28">
        <f t="shared" si="7"/>
        <v>19891600</v>
      </c>
      <c r="O19" s="28"/>
      <c r="P19" s="28"/>
      <c r="Q19" s="39"/>
      <c r="R19" s="28"/>
      <c r="S19" s="28"/>
      <c r="T19" s="28"/>
      <c r="U19" s="28"/>
      <c r="V19" s="28"/>
      <c r="W19" s="28"/>
      <c r="X19" s="38"/>
      <c r="Y19" s="28"/>
      <c r="Z19" s="28"/>
      <c r="AA19" s="28"/>
      <c r="AB19" s="28"/>
      <c r="AC19" s="28"/>
      <c r="AD19" s="28"/>
      <c r="AE19" s="28"/>
      <c r="AF19" s="28"/>
      <c r="AG19" s="28"/>
      <c r="AH19" s="39"/>
    </row>
    <row r="20" ht="14.25" customHeight="1">
      <c r="A20" s="28"/>
      <c r="B20" s="38" t="s">
        <v>61</v>
      </c>
      <c r="C20" s="58">
        <v>4490.0</v>
      </c>
      <c r="D20" s="49">
        <v>69595.0</v>
      </c>
      <c r="E20" s="59">
        <v>31468.5</v>
      </c>
      <c r="F20" s="60">
        <v>19531.5</v>
      </c>
      <c r="G20" s="28"/>
      <c r="H20" s="28"/>
      <c r="I20" s="28"/>
      <c r="J20" s="65" t="str">
        <f t="shared" ref="J20:K20" si="10">B14</f>
        <v>Mai</v>
      </c>
      <c r="K20" s="41">
        <f t="shared" si="10"/>
        <v>3450</v>
      </c>
      <c r="L20" s="49">
        <f t="shared" si="5"/>
        <v>25488.5</v>
      </c>
      <c r="M20" s="49">
        <f t="shared" si="6"/>
        <v>87935325</v>
      </c>
      <c r="N20" s="28">
        <f t="shared" si="7"/>
        <v>11902500</v>
      </c>
      <c r="O20" s="28"/>
      <c r="P20" s="28"/>
      <c r="Q20" s="39"/>
      <c r="R20" s="28"/>
      <c r="S20" s="28"/>
      <c r="T20" s="28"/>
      <c r="U20" s="28"/>
      <c r="V20" s="28"/>
      <c r="W20" s="28"/>
      <c r="X20" s="38"/>
      <c r="Y20" s="28"/>
      <c r="Z20" s="28"/>
      <c r="AA20" s="28"/>
      <c r="AB20" s="28"/>
      <c r="AC20" s="28"/>
      <c r="AD20" s="28"/>
      <c r="AE20" s="28"/>
      <c r="AF20" s="28"/>
      <c r="AG20" s="28"/>
      <c r="AH20" s="39"/>
    </row>
    <row r="21" ht="14.25" customHeight="1">
      <c r="A21" s="28"/>
      <c r="B21" s="61" t="s">
        <v>62</v>
      </c>
      <c r="C21" s="66">
        <v>3270.0</v>
      </c>
      <c r="D21" s="67">
        <v>50685.0</v>
      </c>
      <c r="E21" s="68">
        <v>24453.5</v>
      </c>
      <c r="F21" s="69">
        <v>14224.499999999998</v>
      </c>
      <c r="G21" s="28"/>
      <c r="H21" s="28"/>
      <c r="I21" s="28"/>
      <c r="J21" s="65" t="str">
        <f t="shared" ref="J21:K21" si="11">B15</f>
        <v>Juin</v>
      </c>
      <c r="K21" s="41">
        <f t="shared" si="11"/>
        <v>4120</v>
      </c>
      <c r="L21" s="49">
        <f t="shared" si="5"/>
        <v>29341</v>
      </c>
      <c r="M21" s="49">
        <f t="shared" si="6"/>
        <v>120884920</v>
      </c>
      <c r="N21" s="28">
        <f t="shared" si="7"/>
        <v>16974400</v>
      </c>
      <c r="O21" s="28"/>
      <c r="P21" s="28"/>
      <c r="Q21" s="39"/>
      <c r="R21" s="28"/>
      <c r="S21" s="28"/>
      <c r="T21" s="28"/>
      <c r="U21" s="28"/>
      <c r="V21" s="28"/>
      <c r="W21" s="28"/>
      <c r="X21" s="38"/>
      <c r="Y21" s="28"/>
      <c r="Z21" s="28"/>
      <c r="AA21" s="28"/>
      <c r="AB21" s="28"/>
      <c r="AC21" s="28"/>
      <c r="AD21" s="28"/>
      <c r="AE21" s="28"/>
      <c r="AF21" s="28"/>
      <c r="AG21" s="28"/>
      <c r="AH21" s="39"/>
    </row>
    <row r="22" ht="14.25" customHeight="1">
      <c r="A22" s="28"/>
      <c r="B22" s="28"/>
      <c r="C22" s="28"/>
      <c r="D22" s="70"/>
      <c r="E22" s="70"/>
      <c r="F22" s="28"/>
      <c r="G22" s="28"/>
      <c r="H22" s="28"/>
      <c r="I22" s="28"/>
      <c r="J22" s="65" t="str">
        <f t="shared" ref="J22:K22" si="12">B16</f>
        <v>Juillet</v>
      </c>
      <c r="K22" s="41">
        <f t="shared" si="12"/>
        <v>4060</v>
      </c>
      <c r="L22" s="49">
        <f t="shared" si="5"/>
        <v>28996</v>
      </c>
      <c r="M22" s="49">
        <f t="shared" si="6"/>
        <v>117723760</v>
      </c>
      <c r="N22" s="28">
        <f t="shared" si="7"/>
        <v>16483600</v>
      </c>
      <c r="O22" s="28"/>
      <c r="P22" s="49"/>
      <c r="Q22" s="39"/>
      <c r="R22" s="28"/>
      <c r="S22" s="28"/>
      <c r="T22" s="28"/>
      <c r="U22" s="28"/>
      <c r="V22" s="28"/>
      <c r="W22" s="28"/>
      <c r="X22" s="38"/>
      <c r="Y22" s="28"/>
      <c r="Z22" s="28"/>
      <c r="AA22" s="28"/>
      <c r="AB22" s="28"/>
      <c r="AC22" s="28"/>
      <c r="AD22" s="28"/>
      <c r="AE22" s="28"/>
      <c r="AF22" s="28"/>
      <c r="AG22" s="28"/>
      <c r="AH22" s="39"/>
    </row>
    <row r="23" ht="14.25" customHeight="1">
      <c r="A23" s="28"/>
      <c r="B23" s="71" t="s">
        <v>63</v>
      </c>
      <c r="G23" s="28"/>
      <c r="H23" s="28"/>
      <c r="I23" s="28"/>
      <c r="J23" s="65" t="str">
        <f t="shared" ref="J23:K23" si="13">B17</f>
        <v>Août</v>
      </c>
      <c r="K23" s="41">
        <f t="shared" si="13"/>
        <v>3210</v>
      </c>
      <c r="L23" s="49">
        <f t="shared" si="5"/>
        <v>24108.5</v>
      </c>
      <c r="M23" s="49">
        <f t="shared" si="6"/>
        <v>77388285</v>
      </c>
      <c r="N23" s="28">
        <f t="shared" si="7"/>
        <v>10304100</v>
      </c>
      <c r="O23" s="28"/>
      <c r="P23" s="28"/>
      <c r="Q23" s="39"/>
      <c r="R23" s="28"/>
      <c r="S23" s="28"/>
      <c r="T23" s="28"/>
      <c r="U23" s="28"/>
      <c r="V23" s="28"/>
      <c r="W23" s="28"/>
      <c r="X23" s="38"/>
      <c r="Y23" s="28"/>
      <c r="Z23" s="28"/>
      <c r="AA23" s="28"/>
      <c r="AB23" s="28"/>
      <c r="AC23" s="28"/>
      <c r="AD23" s="28"/>
      <c r="AE23" s="28"/>
      <c r="AF23" s="28"/>
      <c r="AG23" s="28"/>
      <c r="AH23" s="39"/>
    </row>
    <row r="24" ht="14.25" customHeight="1">
      <c r="A24" s="28"/>
      <c r="B24" s="71" t="s">
        <v>64</v>
      </c>
      <c r="G24" s="28"/>
      <c r="H24" s="28"/>
      <c r="I24" s="28"/>
      <c r="J24" s="65" t="str">
        <f t="shared" ref="J24:K24" si="14">B18</f>
        <v>Septembre</v>
      </c>
      <c r="K24" s="41">
        <f t="shared" si="14"/>
        <v>3850</v>
      </c>
      <c r="L24" s="49">
        <f t="shared" si="5"/>
        <v>27788.5</v>
      </c>
      <c r="M24" s="49">
        <f t="shared" si="6"/>
        <v>106985725</v>
      </c>
      <c r="N24" s="28">
        <f t="shared" si="7"/>
        <v>14822500</v>
      </c>
      <c r="O24" s="28"/>
      <c r="P24" s="28"/>
      <c r="Q24" s="39"/>
      <c r="R24" s="28"/>
      <c r="S24" s="28"/>
      <c r="T24" s="28"/>
      <c r="U24" s="28"/>
      <c r="V24" s="28"/>
      <c r="W24" s="28"/>
      <c r="X24" s="38"/>
      <c r="Y24" s="28"/>
      <c r="Z24" s="28"/>
      <c r="AA24" s="28"/>
      <c r="AB24" s="28"/>
      <c r="AC24" s="28"/>
      <c r="AD24" s="28"/>
      <c r="AE24" s="28"/>
      <c r="AF24" s="28"/>
      <c r="AG24" s="28"/>
      <c r="AH24" s="39"/>
    </row>
    <row r="25" ht="14.25" customHeight="1">
      <c r="A25" s="28"/>
      <c r="B25" s="28"/>
      <c r="C25" s="28"/>
      <c r="D25" s="28"/>
      <c r="E25" s="28"/>
      <c r="F25" s="28"/>
      <c r="G25" s="28"/>
      <c r="H25" s="28"/>
      <c r="I25" s="28"/>
      <c r="J25" s="65" t="str">
        <f t="shared" ref="J25:K25" si="15">B19</f>
        <v>Octobre</v>
      </c>
      <c r="K25" s="41">
        <f t="shared" si="15"/>
        <v>4520</v>
      </c>
      <c r="L25" s="49">
        <f t="shared" si="5"/>
        <v>31641</v>
      </c>
      <c r="M25" s="49">
        <f t="shared" si="6"/>
        <v>143017320</v>
      </c>
      <c r="N25" s="28">
        <f t="shared" si="7"/>
        <v>20430400</v>
      </c>
      <c r="O25" s="28"/>
      <c r="P25" s="28"/>
      <c r="Q25" s="39"/>
      <c r="R25" s="28"/>
      <c r="S25" s="28"/>
      <c r="T25" s="28"/>
      <c r="U25" s="28"/>
      <c r="V25" s="28"/>
      <c r="W25" s="28"/>
      <c r="X25" s="38"/>
      <c r="Y25" s="28"/>
      <c r="Z25" s="28"/>
      <c r="AA25" s="28"/>
      <c r="AB25" s="28"/>
      <c r="AC25" s="28"/>
      <c r="AD25" s="28"/>
      <c r="AE25" s="28"/>
      <c r="AF25" s="28"/>
      <c r="AG25" s="28"/>
      <c r="AH25" s="39"/>
    </row>
    <row r="26" ht="14.25" customHeight="1">
      <c r="A26" s="72" t="s">
        <v>28</v>
      </c>
      <c r="I26" s="28"/>
      <c r="J26" s="65" t="str">
        <f t="shared" ref="J26:K26" si="16">B20</f>
        <v>Novembre</v>
      </c>
      <c r="K26" s="41">
        <f t="shared" si="16"/>
        <v>4490</v>
      </c>
      <c r="L26" s="49">
        <f t="shared" si="5"/>
        <v>31468.5</v>
      </c>
      <c r="M26" s="49">
        <f t="shared" si="6"/>
        <v>141293565</v>
      </c>
      <c r="N26" s="28">
        <f t="shared" si="7"/>
        <v>20160100</v>
      </c>
      <c r="O26" s="28"/>
      <c r="P26" s="28"/>
      <c r="Q26" s="39"/>
      <c r="R26" s="28"/>
      <c r="S26" s="28"/>
      <c r="T26" s="28"/>
      <c r="U26" s="28"/>
      <c r="V26" s="28"/>
      <c r="W26" s="28"/>
      <c r="X26" s="38"/>
      <c r="Y26" s="28"/>
      <c r="Z26" s="28"/>
      <c r="AA26" s="28"/>
      <c r="AB26" s="28"/>
      <c r="AC26" s="28"/>
      <c r="AD26" s="28"/>
      <c r="AE26" s="28"/>
      <c r="AF26" s="28"/>
      <c r="AG26" s="28"/>
      <c r="AH26" s="39"/>
    </row>
    <row r="27" ht="14.25" customHeight="1">
      <c r="A27" s="72"/>
      <c r="B27" s="28"/>
      <c r="C27" s="28"/>
      <c r="D27" s="28"/>
      <c r="E27" s="28"/>
      <c r="F27" s="28"/>
      <c r="G27" s="28"/>
      <c r="H27" s="28"/>
      <c r="I27" s="28"/>
      <c r="J27" s="65" t="str">
        <f t="shared" ref="J27:K27" si="17">B21</f>
        <v>Décembre</v>
      </c>
      <c r="K27" s="41">
        <f t="shared" si="17"/>
        <v>3270</v>
      </c>
      <c r="L27" s="49">
        <f t="shared" si="5"/>
        <v>24453.5</v>
      </c>
      <c r="M27" s="49">
        <f t="shared" si="6"/>
        <v>79962945</v>
      </c>
      <c r="N27" s="28">
        <f t="shared" si="7"/>
        <v>10692900</v>
      </c>
      <c r="O27" s="28"/>
      <c r="P27" s="28"/>
      <c r="Q27" s="39"/>
      <c r="R27" s="28"/>
      <c r="S27" s="28"/>
      <c r="T27" s="28"/>
      <c r="U27" s="28"/>
      <c r="V27" s="28"/>
      <c r="W27" s="28"/>
      <c r="X27" s="38"/>
      <c r="Y27" s="28"/>
      <c r="Z27" s="28"/>
      <c r="AA27" s="28"/>
      <c r="AB27" s="28"/>
      <c r="AC27" s="28"/>
      <c r="AD27" s="28"/>
      <c r="AE27" s="28"/>
      <c r="AF27" s="28"/>
      <c r="AG27" s="28"/>
      <c r="AH27" s="39"/>
    </row>
    <row r="28" ht="14.25" customHeight="1">
      <c r="A28" s="71" t="s">
        <v>65</v>
      </c>
      <c r="I28" s="28"/>
      <c r="J28" s="65" t="s">
        <v>66</v>
      </c>
      <c r="K28" s="41">
        <f t="shared" ref="K28:N28" si="18">SUM(K16:K27)</f>
        <v>49470</v>
      </c>
      <c r="L28" s="49">
        <f t="shared" si="18"/>
        <v>352264.5</v>
      </c>
      <c r="M28" s="49">
        <f t="shared" si="18"/>
        <v>1492974595</v>
      </c>
      <c r="N28" s="28">
        <f t="shared" si="18"/>
        <v>211029500</v>
      </c>
      <c r="O28" s="28"/>
      <c r="P28" s="28"/>
      <c r="Q28" s="39"/>
      <c r="R28" s="28"/>
      <c r="S28" s="28"/>
      <c r="T28" s="28"/>
      <c r="U28" s="28"/>
      <c r="V28" s="28"/>
      <c r="W28" s="28"/>
      <c r="X28" s="38"/>
      <c r="Y28" s="28"/>
      <c r="Z28" s="28"/>
      <c r="AA28" s="28"/>
      <c r="AB28" s="28"/>
      <c r="AC28" s="28"/>
      <c r="AD28" s="28"/>
      <c r="AE28" s="28"/>
      <c r="AF28" s="28"/>
      <c r="AG28" s="28"/>
      <c r="AH28" s="39"/>
    </row>
    <row r="29" ht="15.0" customHeight="1">
      <c r="A29" s="73" t="s">
        <v>67</v>
      </c>
      <c r="I29" s="28"/>
      <c r="J29" s="38"/>
      <c r="K29" s="28"/>
      <c r="L29" s="28"/>
      <c r="M29" s="28"/>
      <c r="N29" s="28"/>
      <c r="O29" s="28"/>
      <c r="P29" s="28"/>
      <c r="Q29" s="39"/>
      <c r="R29" s="28"/>
      <c r="S29" s="28"/>
      <c r="T29" s="28"/>
      <c r="U29" s="28"/>
      <c r="V29" s="28"/>
      <c r="W29" s="28"/>
      <c r="X29" s="38"/>
      <c r="Y29" s="28"/>
      <c r="Z29" s="28"/>
      <c r="AA29" s="28"/>
      <c r="AB29" s="28"/>
      <c r="AC29" s="28"/>
      <c r="AD29" s="28"/>
      <c r="AE29" s="28"/>
      <c r="AF29" s="28"/>
      <c r="AG29" s="28"/>
      <c r="AH29" s="39"/>
    </row>
    <row r="30" ht="15.0" customHeight="1">
      <c r="A30" s="73" t="s">
        <v>68</v>
      </c>
      <c r="I30" s="28"/>
      <c r="J30" s="38"/>
      <c r="K30" s="28"/>
      <c r="L30" s="28"/>
      <c r="M30" s="28"/>
      <c r="N30" s="28"/>
      <c r="O30" s="28"/>
      <c r="P30" s="28"/>
      <c r="Q30" s="39"/>
      <c r="R30" s="28"/>
      <c r="S30" s="28"/>
      <c r="T30" s="28"/>
      <c r="U30" s="28"/>
      <c r="V30" s="28"/>
      <c r="W30" s="28"/>
      <c r="X30" s="38"/>
      <c r="Y30" s="28"/>
      <c r="Z30" s="28"/>
      <c r="AA30" s="28"/>
      <c r="AB30" s="28"/>
      <c r="AC30" s="28"/>
      <c r="AD30" s="28"/>
      <c r="AE30" s="28"/>
      <c r="AF30" s="28"/>
      <c r="AG30" s="28"/>
      <c r="AH30" s="39"/>
    </row>
    <row r="31" ht="15.75" customHeight="1">
      <c r="A31" s="74" t="s">
        <v>69</v>
      </c>
      <c r="I31" s="28"/>
      <c r="J31" s="75" t="s">
        <v>70</v>
      </c>
      <c r="K31" s="76">
        <f>(12*M28-(K28*L28))/(12*N28-(K28)^2)</f>
        <v>5.75</v>
      </c>
      <c r="L31" s="62" t="s">
        <v>71</v>
      </c>
      <c r="M31" s="77">
        <f>((L28/12)-K31*(K28/12))*12</f>
        <v>67812</v>
      </c>
      <c r="N31" s="78"/>
      <c r="O31" s="78"/>
      <c r="P31" s="78"/>
      <c r="Q31" s="79"/>
      <c r="R31" s="28"/>
      <c r="S31" s="28"/>
      <c r="T31" s="28"/>
      <c r="U31" s="28"/>
      <c r="V31" s="28"/>
      <c r="W31" s="28"/>
      <c r="X31" s="38"/>
      <c r="Y31" s="28"/>
      <c r="Z31" s="28"/>
      <c r="AA31" s="28"/>
      <c r="AB31" s="28"/>
      <c r="AC31" s="28"/>
      <c r="AD31" s="28"/>
      <c r="AE31" s="28"/>
      <c r="AF31" s="28"/>
      <c r="AG31" s="28"/>
      <c r="AH31" s="39"/>
    </row>
    <row r="32" ht="15.75" customHeight="1">
      <c r="A32" s="74"/>
      <c r="B32" s="74"/>
      <c r="C32" s="74"/>
      <c r="D32" s="74"/>
      <c r="E32" s="74"/>
      <c r="F32" s="74"/>
      <c r="G32" s="74"/>
      <c r="H32" s="74"/>
      <c r="I32" s="28"/>
      <c r="J32" s="28"/>
      <c r="K32" s="28"/>
      <c r="L32" s="28"/>
      <c r="M32" s="28"/>
      <c r="N32" s="28"/>
      <c r="O32" s="28"/>
      <c r="P32" s="28"/>
      <c r="Q32" s="28"/>
      <c r="R32" s="28"/>
      <c r="S32" s="28"/>
      <c r="T32" s="28"/>
      <c r="U32" s="28"/>
      <c r="V32" s="28"/>
      <c r="W32" s="28"/>
      <c r="X32" s="38"/>
      <c r="Y32" s="28"/>
      <c r="Z32" s="28"/>
      <c r="AA32" s="28"/>
      <c r="AB32" s="28"/>
      <c r="AC32" s="28"/>
      <c r="AD32" s="28"/>
      <c r="AE32" s="28"/>
      <c r="AF32" s="28"/>
      <c r="AG32" s="28"/>
      <c r="AH32" s="39"/>
    </row>
    <row r="33" ht="15.75" customHeight="1">
      <c r="A33" s="74" t="s">
        <v>72</v>
      </c>
      <c r="I33" s="28"/>
      <c r="J33" s="64" t="s">
        <v>73</v>
      </c>
      <c r="K33" s="43"/>
      <c r="L33" s="43"/>
      <c r="M33" s="44"/>
      <c r="N33" s="80" t="s">
        <v>74</v>
      </c>
      <c r="O33" s="81"/>
      <c r="P33" s="81"/>
      <c r="Q33" s="82"/>
      <c r="R33" s="28"/>
      <c r="S33" s="28"/>
      <c r="T33" s="28"/>
      <c r="U33" s="28"/>
      <c r="V33" s="28"/>
      <c r="W33" s="28"/>
      <c r="X33" s="38"/>
      <c r="Y33" s="28"/>
      <c r="Z33" s="28"/>
      <c r="AA33" s="28"/>
      <c r="AB33" s="28"/>
      <c r="AC33" s="28"/>
      <c r="AD33" s="28"/>
      <c r="AE33" s="28"/>
      <c r="AF33" s="28"/>
      <c r="AG33" s="28"/>
      <c r="AH33" s="39"/>
    </row>
    <row r="34" ht="15.75" customHeight="1">
      <c r="A34" s="74" t="s">
        <v>75</v>
      </c>
      <c r="I34" s="28"/>
      <c r="J34" s="38" t="s">
        <v>76</v>
      </c>
      <c r="K34" s="28" t="s">
        <v>77</v>
      </c>
      <c r="L34" s="28"/>
      <c r="M34" s="39"/>
      <c r="N34" s="83" t="s">
        <v>78</v>
      </c>
      <c r="O34" s="84">
        <f>SUM(C10:C21)*2.21</f>
        <v>109328.7</v>
      </c>
      <c r="P34" s="85"/>
      <c r="Q34" s="86"/>
      <c r="R34" s="28"/>
      <c r="S34" s="28"/>
      <c r="T34" s="28"/>
      <c r="U34" s="28"/>
      <c r="V34" s="28"/>
      <c r="W34" s="28"/>
      <c r="X34" s="38"/>
      <c r="Y34" s="28"/>
      <c r="Z34" s="28"/>
      <c r="AA34" s="28"/>
      <c r="AB34" s="28"/>
      <c r="AC34" s="28"/>
      <c r="AD34" s="28"/>
      <c r="AE34" s="28"/>
      <c r="AF34" s="28"/>
      <c r="AG34" s="28"/>
      <c r="AH34" s="39"/>
    </row>
    <row r="35" ht="15.75" customHeight="1">
      <c r="A35" s="74" t="s">
        <v>79</v>
      </c>
      <c r="I35" s="28"/>
      <c r="J35" s="38" t="s">
        <v>76</v>
      </c>
      <c r="K35" s="49">
        <f>(MAX(F10:F21)-MIN(F10:F21))/(MAX(C10:C21)-MIN(C10:C21))</f>
        <v>4.35</v>
      </c>
      <c r="L35" s="28"/>
      <c r="M35" s="39"/>
      <c r="N35" s="38" t="s">
        <v>80</v>
      </c>
      <c r="O35" s="49">
        <f>SUM(E10:E21)+SUM(F10:F21)</f>
        <v>567459</v>
      </c>
      <c r="P35" s="28"/>
      <c r="Q35" s="39"/>
      <c r="R35" s="28"/>
      <c r="S35" s="28"/>
      <c r="T35" s="28"/>
      <c r="U35" s="28"/>
      <c r="V35" s="28"/>
      <c r="W35" s="28"/>
      <c r="X35" s="38"/>
      <c r="Y35" s="28"/>
      <c r="Z35" s="28"/>
      <c r="AA35" s="28"/>
      <c r="AB35" s="28"/>
      <c r="AC35" s="28"/>
      <c r="AD35" s="28"/>
      <c r="AE35" s="28"/>
      <c r="AF35" s="28"/>
      <c r="AG35" s="28"/>
      <c r="AH35" s="39"/>
    </row>
    <row r="36" ht="15.75" customHeight="1">
      <c r="A36" s="74" t="s">
        <v>81</v>
      </c>
      <c r="I36" s="28"/>
      <c r="J36" s="38"/>
      <c r="K36" s="28"/>
      <c r="L36" s="28"/>
      <c r="M36" s="39"/>
      <c r="N36" s="38" t="s">
        <v>82</v>
      </c>
      <c r="O36" s="49" t="s">
        <v>83</v>
      </c>
      <c r="P36" s="28"/>
      <c r="Q36" s="39"/>
      <c r="R36" s="28"/>
      <c r="S36" s="28"/>
      <c r="T36" s="28"/>
      <c r="U36" s="28"/>
      <c r="V36" s="28"/>
      <c r="W36" s="28"/>
      <c r="X36" s="38"/>
      <c r="Y36" s="28"/>
      <c r="Z36" s="28"/>
      <c r="AA36" s="28"/>
      <c r="AB36" s="28"/>
      <c r="AC36" s="28"/>
      <c r="AD36" s="28"/>
      <c r="AE36" s="28"/>
      <c r="AF36" s="28"/>
      <c r="AG36" s="28"/>
      <c r="AH36" s="39"/>
    </row>
    <row r="37" ht="15.75" customHeight="1">
      <c r="A37" s="74" t="s">
        <v>84</v>
      </c>
      <c r="I37" s="28"/>
      <c r="J37" s="38"/>
      <c r="K37" s="28"/>
      <c r="L37" s="28"/>
      <c r="M37" s="39"/>
      <c r="N37" s="38" t="s">
        <v>82</v>
      </c>
      <c r="O37" s="49">
        <f>SUM(D10:D21)-O34</f>
        <v>657456.3</v>
      </c>
      <c r="P37" s="28"/>
      <c r="Q37" s="39"/>
      <c r="R37" s="28"/>
      <c r="S37" s="28"/>
      <c r="T37" s="28"/>
      <c r="U37" s="28"/>
      <c r="V37" s="28"/>
      <c r="W37" s="28"/>
      <c r="X37" s="38"/>
      <c r="Y37" s="28"/>
      <c r="Z37" s="28"/>
      <c r="AA37" s="28"/>
      <c r="AB37" s="28"/>
      <c r="AC37" s="28"/>
      <c r="AD37" s="28"/>
      <c r="AE37" s="28"/>
      <c r="AF37" s="28"/>
      <c r="AG37" s="28"/>
      <c r="AH37" s="39"/>
    </row>
    <row r="38" ht="15.75" customHeight="1">
      <c r="A38" s="87"/>
      <c r="B38" s="87"/>
      <c r="C38" s="87"/>
      <c r="D38" s="87"/>
      <c r="E38" s="87"/>
      <c r="F38" s="87"/>
      <c r="G38" s="87"/>
      <c r="H38" s="87"/>
      <c r="I38" s="28"/>
      <c r="J38" s="38"/>
      <c r="K38" s="28"/>
      <c r="L38" s="28"/>
      <c r="M38" s="39"/>
      <c r="N38" s="38" t="s">
        <v>85</v>
      </c>
      <c r="O38" s="28" t="s">
        <v>86</v>
      </c>
      <c r="P38" s="28"/>
      <c r="Q38" s="39"/>
      <c r="R38" s="28"/>
      <c r="S38" s="28"/>
      <c r="T38" s="28"/>
      <c r="U38" s="28"/>
      <c r="V38" s="28"/>
      <c r="W38" s="28"/>
      <c r="X38" s="38"/>
      <c r="Y38" s="28"/>
      <c r="Z38" s="28"/>
      <c r="AA38" s="28"/>
      <c r="AB38" s="28"/>
      <c r="AC38" s="28"/>
      <c r="AD38" s="28"/>
      <c r="AE38" s="28"/>
      <c r="AF38" s="28"/>
      <c r="AG38" s="28"/>
      <c r="AH38" s="39"/>
    </row>
    <row r="39" ht="15.75" customHeight="1">
      <c r="A39" s="72" t="s">
        <v>87</v>
      </c>
      <c r="I39" s="28"/>
      <c r="J39" s="61"/>
      <c r="K39" s="78"/>
      <c r="L39" s="62" t="s">
        <v>88</v>
      </c>
      <c r="M39" s="76">
        <f>K35</f>
        <v>4.35</v>
      </c>
      <c r="N39" s="38" t="s">
        <v>85</v>
      </c>
      <c r="O39" s="49">
        <f>O37-O35</f>
        <v>89997.3</v>
      </c>
      <c r="P39" s="28"/>
      <c r="Q39" s="39"/>
      <c r="R39" s="28"/>
      <c r="S39" s="28"/>
      <c r="T39" s="28"/>
      <c r="U39" s="28"/>
      <c r="V39" s="28"/>
      <c r="W39" s="28"/>
      <c r="X39" s="38"/>
      <c r="Y39" s="28"/>
      <c r="Z39" s="28"/>
      <c r="AA39" s="28"/>
      <c r="AB39" s="28"/>
      <c r="AC39" s="28"/>
      <c r="AD39" s="28"/>
      <c r="AE39" s="28"/>
      <c r="AF39" s="28"/>
      <c r="AG39" s="28"/>
      <c r="AH39" s="39"/>
    </row>
    <row r="40" ht="15.75" customHeight="1">
      <c r="A40" s="88" t="s">
        <v>89</v>
      </c>
      <c r="I40" s="28"/>
      <c r="J40" s="28"/>
      <c r="K40" s="28"/>
      <c r="L40" s="28"/>
      <c r="M40" s="28"/>
      <c r="N40" s="38"/>
      <c r="O40" s="28"/>
      <c r="P40" s="28" t="s">
        <v>90</v>
      </c>
      <c r="Q40" s="39"/>
      <c r="R40" s="28"/>
      <c r="S40" s="28"/>
      <c r="T40" s="28"/>
      <c r="U40" s="28"/>
      <c r="V40" s="28"/>
      <c r="W40" s="28"/>
      <c r="X40" s="38"/>
      <c r="Y40" s="28"/>
      <c r="Z40" s="28"/>
      <c r="AA40" s="28"/>
      <c r="AB40" s="28"/>
      <c r="AC40" s="28"/>
      <c r="AD40" s="28"/>
      <c r="AE40" s="28"/>
      <c r="AF40" s="28"/>
      <c r="AG40" s="28"/>
      <c r="AH40" s="39"/>
    </row>
    <row r="41" ht="15.75" customHeight="1">
      <c r="I41" s="28"/>
      <c r="J41" s="28"/>
      <c r="K41" s="28"/>
      <c r="L41" s="28"/>
      <c r="M41" s="28"/>
      <c r="N41" s="61" t="s">
        <v>91</v>
      </c>
      <c r="O41" s="77">
        <f>O39</f>
        <v>89997.3</v>
      </c>
      <c r="P41" s="78"/>
      <c r="Q41" s="79"/>
      <c r="R41" s="28"/>
      <c r="S41" s="28"/>
      <c r="T41" s="28"/>
      <c r="U41" s="28"/>
      <c r="V41" s="28"/>
      <c r="W41" s="28"/>
      <c r="X41" s="38"/>
      <c r="Y41" s="28"/>
      <c r="Z41" s="28"/>
      <c r="AA41" s="28"/>
      <c r="AB41" s="28"/>
      <c r="AC41" s="28"/>
      <c r="AD41" s="28"/>
      <c r="AE41" s="28"/>
      <c r="AF41" s="28"/>
      <c r="AG41" s="28"/>
      <c r="AH41" s="39"/>
    </row>
    <row r="42" ht="15.75" customHeight="1">
      <c r="I42" s="28"/>
      <c r="J42" s="28"/>
      <c r="K42" s="28"/>
      <c r="L42" s="28"/>
      <c r="M42" s="28"/>
      <c r="N42" s="28"/>
      <c r="O42" s="28"/>
      <c r="P42" s="28"/>
      <c r="Q42" s="28"/>
      <c r="R42" s="28"/>
      <c r="S42" s="28"/>
      <c r="T42" s="28"/>
      <c r="U42" s="28"/>
      <c r="V42" s="28"/>
      <c r="W42" s="28"/>
      <c r="X42" s="38"/>
      <c r="Y42" s="28"/>
      <c r="Z42" s="28"/>
      <c r="AA42" s="28"/>
      <c r="AB42" s="28"/>
      <c r="AC42" s="28"/>
      <c r="AD42" s="28"/>
      <c r="AE42" s="28"/>
      <c r="AF42" s="28"/>
      <c r="AG42" s="28"/>
      <c r="AH42" s="39"/>
    </row>
    <row r="43" ht="15.75" customHeight="1">
      <c r="A43" s="88" t="s">
        <v>92</v>
      </c>
      <c r="I43" s="28"/>
      <c r="J43" s="64" t="s">
        <v>93</v>
      </c>
      <c r="K43" s="44"/>
      <c r="L43" s="89" t="s">
        <v>94</v>
      </c>
      <c r="M43" s="44"/>
      <c r="N43" s="64" t="s">
        <v>95</v>
      </c>
      <c r="O43" s="44"/>
      <c r="P43" s="64" t="s">
        <v>96</v>
      </c>
      <c r="Q43" s="44"/>
      <c r="R43" s="28"/>
      <c r="S43" s="28"/>
      <c r="T43" s="28"/>
      <c r="U43" s="28"/>
      <c r="V43" s="28"/>
      <c r="W43" s="28"/>
      <c r="X43" s="38"/>
      <c r="Y43" s="28"/>
      <c r="Z43" s="28"/>
      <c r="AA43" s="28"/>
      <c r="AB43" s="28"/>
      <c r="AC43" s="28"/>
      <c r="AD43" s="28"/>
      <c r="AE43" s="28"/>
      <c r="AF43" s="28"/>
      <c r="AG43" s="28"/>
      <c r="AH43" s="39"/>
    </row>
    <row r="44" ht="15.0" customHeight="1">
      <c r="I44" s="28"/>
      <c r="J44" s="38" t="s">
        <v>97</v>
      </c>
      <c r="K44" s="90" t="s">
        <v>98</v>
      </c>
      <c r="L44" s="28" t="s">
        <v>99</v>
      </c>
      <c r="M44" s="91">
        <f>M31</f>
        <v>67812</v>
      </c>
      <c r="N44" s="38" t="s">
        <v>100</v>
      </c>
      <c r="O44" s="60">
        <f>12*5800*M11</f>
        <v>1078800</v>
      </c>
      <c r="P44" s="38" t="s">
        <v>101</v>
      </c>
      <c r="Q44" s="91">
        <f>M31+0+O41</f>
        <v>157809.3</v>
      </c>
      <c r="R44" s="28"/>
      <c r="S44" s="28"/>
      <c r="T44" s="28"/>
      <c r="U44" s="28"/>
      <c r="V44" s="28"/>
      <c r="W44" s="28"/>
      <c r="X44" s="38"/>
      <c r="Y44" s="28"/>
      <c r="Z44" s="28"/>
      <c r="AA44" s="28"/>
      <c r="AB44" s="28"/>
      <c r="AC44" s="28"/>
      <c r="AD44" s="28"/>
      <c r="AE44" s="28"/>
      <c r="AF44" s="28"/>
      <c r="AG44" s="28"/>
      <c r="AH44" s="39"/>
    </row>
    <row r="45" ht="15.75" customHeight="1">
      <c r="A45" s="92" t="s">
        <v>102</v>
      </c>
      <c r="I45" s="28"/>
      <c r="J45" s="38"/>
      <c r="K45" s="90">
        <f>M11-(K31+M39)</f>
        <v>5.4</v>
      </c>
      <c r="L45" s="28" t="s">
        <v>103</v>
      </c>
      <c r="M45" s="60">
        <v>0.0</v>
      </c>
      <c r="N45" s="38" t="s">
        <v>104</v>
      </c>
      <c r="O45" s="91">
        <f>M52</f>
        <v>452971.1389</v>
      </c>
      <c r="P45" s="38" t="s">
        <v>105</v>
      </c>
      <c r="Q45" s="60">
        <v>750000.0</v>
      </c>
      <c r="R45" s="28"/>
      <c r="S45" s="28"/>
      <c r="T45" s="28"/>
      <c r="U45" s="28"/>
      <c r="V45" s="28"/>
      <c r="W45" s="28"/>
      <c r="X45" s="61"/>
      <c r="Y45" s="78"/>
      <c r="Z45" s="78"/>
      <c r="AA45" s="78"/>
      <c r="AB45" s="78"/>
      <c r="AC45" s="78"/>
      <c r="AD45" s="78"/>
      <c r="AE45" s="78"/>
      <c r="AF45" s="78"/>
      <c r="AG45" s="78"/>
      <c r="AH45" s="79"/>
    </row>
    <row r="46" ht="15.75" customHeight="1">
      <c r="A46" s="48"/>
      <c r="B46" s="28"/>
      <c r="C46" s="28"/>
      <c r="D46" s="28"/>
      <c r="E46" s="28"/>
      <c r="F46" s="28"/>
      <c r="G46" s="28"/>
      <c r="H46" s="28"/>
      <c r="I46" s="28"/>
      <c r="J46" s="38" t="s">
        <v>106</v>
      </c>
      <c r="K46" s="39" t="s">
        <v>107</v>
      </c>
      <c r="L46" s="28" t="s">
        <v>108</v>
      </c>
      <c r="M46" s="60">
        <f>O41</f>
        <v>89997.3</v>
      </c>
      <c r="N46" s="38"/>
      <c r="O46" s="39"/>
      <c r="P46" s="38" t="s">
        <v>109</v>
      </c>
      <c r="Q46" s="60">
        <f>(K31+M39)*SUM(C10:C21)</f>
        <v>499647</v>
      </c>
      <c r="R46" s="28"/>
      <c r="S46" s="28"/>
      <c r="T46" s="28"/>
      <c r="U46" s="28"/>
      <c r="V46" s="28"/>
      <c r="W46" s="28"/>
      <c r="X46" s="28"/>
      <c r="Y46" s="28"/>
      <c r="Z46" s="28"/>
      <c r="AA46" s="28"/>
      <c r="AB46" s="28"/>
      <c r="AC46" s="28"/>
      <c r="AD46" s="28"/>
      <c r="AE46" s="28"/>
      <c r="AF46" s="28"/>
      <c r="AG46" s="28"/>
      <c r="AH46" s="28"/>
    </row>
    <row r="47" ht="15.0" customHeight="1">
      <c r="A47" s="72"/>
      <c r="B47" s="28"/>
      <c r="C47" s="93" t="s">
        <v>110</v>
      </c>
      <c r="D47" s="5"/>
      <c r="E47" s="5"/>
      <c r="F47" s="6"/>
      <c r="G47" s="28"/>
      <c r="H47" s="28"/>
      <c r="I47" s="28"/>
      <c r="J47" s="38"/>
      <c r="K47" s="39">
        <f>K45/M11</f>
        <v>0.3483870968</v>
      </c>
      <c r="L47" s="28" t="s">
        <v>111</v>
      </c>
      <c r="M47" s="94">
        <f>K48</f>
        <v>5.4</v>
      </c>
      <c r="N47" s="95" t="s">
        <v>112</v>
      </c>
      <c r="O47" s="96">
        <f>O44-O45</f>
        <v>625828.8611</v>
      </c>
      <c r="P47" s="38" t="s">
        <v>113</v>
      </c>
      <c r="Q47" s="60">
        <f>Q45+Q44</f>
        <v>907809.3</v>
      </c>
      <c r="R47" s="28"/>
      <c r="S47" s="28"/>
      <c r="T47" s="28"/>
      <c r="U47" s="28"/>
      <c r="V47" s="28"/>
      <c r="W47" s="28"/>
      <c r="X47" s="28"/>
      <c r="Y47" s="28"/>
      <c r="Z47" s="28"/>
      <c r="AA47" s="28"/>
      <c r="AB47" s="28"/>
      <c r="AC47" s="28"/>
      <c r="AD47" s="28"/>
      <c r="AE47" s="28"/>
      <c r="AF47" s="28"/>
      <c r="AG47" s="28"/>
      <c r="AH47" s="28"/>
    </row>
    <row r="48" ht="15.75" customHeight="1">
      <c r="A48" s="72"/>
      <c r="B48" s="28"/>
      <c r="C48" s="7"/>
      <c r="F48" s="12"/>
      <c r="G48" s="28"/>
      <c r="H48" s="28"/>
      <c r="I48" s="28"/>
      <c r="J48" s="95" t="s">
        <v>114</v>
      </c>
      <c r="K48" s="97">
        <f>K45</f>
        <v>5.4</v>
      </c>
      <c r="L48" s="28" t="s">
        <v>115</v>
      </c>
      <c r="M48" s="98">
        <f>(M44+M45+M46)/M47</f>
        <v>29223.94444</v>
      </c>
      <c r="N48" s="38" t="s">
        <v>116</v>
      </c>
      <c r="O48" s="99">
        <f>5800*12</f>
        <v>69600</v>
      </c>
      <c r="P48" s="38" t="s">
        <v>117</v>
      </c>
      <c r="Q48" s="60">
        <f>Q47+Q46</f>
        <v>1407456.3</v>
      </c>
      <c r="R48" s="28"/>
      <c r="S48" s="28"/>
      <c r="T48" s="28"/>
      <c r="U48" s="28"/>
      <c r="V48" s="28"/>
      <c r="W48" s="28"/>
      <c r="X48" s="28"/>
      <c r="Y48" s="28"/>
      <c r="Z48" s="28"/>
      <c r="AA48" s="28"/>
      <c r="AB48" s="28"/>
      <c r="AC48" s="28"/>
      <c r="AD48" s="28"/>
      <c r="AE48" s="28"/>
      <c r="AF48" s="28"/>
      <c r="AG48" s="28"/>
      <c r="AH48" s="28"/>
    </row>
    <row r="49" ht="15.75" customHeight="1">
      <c r="A49" s="72"/>
      <c r="B49" s="28"/>
      <c r="C49" s="13"/>
      <c r="D49" s="15"/>
      <c r="E49" s="15"/>
      <c r="F49" s="17"/>
      <c r="G49" s="28"/>
      <c r="H49" s="28"/>
      <c r="I49" s="28"/>
      <c r="J49" s="95" t="s">
        <v>118</v>
      </c>
      <c r="K49" s="100">
        <f>K47</f>
        <v>0.3483870968</v>
      </c>
      <c r="L49" s="28"/>
      <c r="M49" s="39"/>
      <c r="N49" s="38" t="s">
        <v>119</v>
      </c>
      <c r="O49" s="101">
        <f>M48</f>
        <v>29223.94444</v>
      </c>
      <c r="P49" s="38"/>
      <c r="Q49" s="39"/>
      <c r="R49" s="28"/>
      <c r="S49" s="28"/>
      <c r="T49" s="28"/>
      <c r="U49" s="28"/>
      <c r="V49" s="28"/>
      <c r="W49" s="28"/>
      <c r="X49" s="28"/>
      <c r="Y49" s="28"/>
      <c r="Z49" s="28"/>
      <c r="AA49" s="28"/>
      <c r="AB49" s="28"/>
      <c r="AC49" s="28"/>
      <c r="AD49" s="28"/>
      <c r="AE49" s="28"/>
      <c r="AF49" s="28"/>
      <c r="AG49" s="28"/>
      <c r="AH49" s="28"/>
    </row>
    <row r="50" ht="15.75" customHeight="1">
      <c r="A50" s="72"/>
      <c r="B50" s="28"/>
      <c r="C50" s="102" t="s">
        <v>120</v>
      </c>
      <c r="D50" s="103"/>
      <c r="E50" s="103"/>
      <c r="F50" s="104">
        <v>13.0</v>
      </c>
      <c r="G50" s="28"/>
      <c r="H50" s="28"/>
      <c r="I50" s="28"/>
      <c r="J50" s="61"/>
      <c r="K50" s="79"/>
      <c r="L50" s="28" t="s">
        <v>106</v>
      </c>
      <c r="M50" s="105">
        <f>K49</f>
        <v>0.3483870968</v>
      </c>
      <c r="N50" s="38"/>
      <c r="O50" s="39"/>
      <c r="P50" s="75" t="s">
        <v>121</v>
      </c>
      <c r="Q50" s="63">
        <f>Q48/SUM(C10:C21)</f>
        <v>28.45070346</v>
      </c>
      <c r="R50" s="28"/>
      <c r="S50" s="28"/>
      <c r="T50" s="28"/>
      <c r="U50" s="28"/>
      <c r="V50" s="28"/>
      <c r="W50" s="28"/>
      <c r="X50" s="28"/>
      <c r="Y50" s="28"/>
      <c r="Z50" s="28"/>
      <c r="AA50" s="28"/>
      <c r="AB50" s="28"/>
      <c r="AC50" s="28"/>
      <c r="AD50" s="28"/>
      <c r="AE50" s="28"/>
      <c r="AF50" s="28"/>
      <c r="AG50" s="28"/>
      <c r="AH50" s="28"/>
    </row>
    <row r="51" ht="15.75" customHeight="1">
      <c r="A51" s="72"/>
      <c r="B51" s="28"/>
      <c r="C51" s="106" t="s">
        <v>122</v>
      </c>
      <c r="D51" s="107"/>
      <c r="E51" s="107"/>
      <c r="F51" s="108">
        <v>4200.0</v>
      </c>
      <c r="G51" s="28"/>
      <c r="H51" s="28"/>
      <c r="I51" s="28"/>
      <c r="J51" s="28"/>
      <c r="K51" s="28"/>
      <c r="L51" s="38"/>
      <c r="M51" s="39"/>
      <c r="N51" s="95" t="s">
        <v>123</v>
      </c>
      <c r="O51" s="98">
        <f>O48-O49</f>
        <v>40376.05556</v>
      </c>
      <c r="P51" s="28"/>
      <c r="Q51" s="28"/>
      <c r="R51" s="28"/>
      <c r="S51" s="28"/>
      <c r="T51" s="28"/>
      <c r="U51" s="28"/>
      <c r="V51" s="28"/>
      <c r="W51" s="28"/>
      <c r="X51" s="28"/>
      <c r="Y51" s="28"/>
      <c r="Z51" s="28"/>
      <c r="AA51" s="28"/>
      <c r="AB51" s="28"/>
      <c r="AC51" s="28"/>
      <c r="AD51" s="28"/>
      <c r="AE51" s="28"/>
      <c r="AF51" s="28"/>
      <c r="AG51" s="28"/>
      <c r="AH51" s="28"/>
    </row>
    <row r="52" ht="15.75" customHeight="1">
      <c r="A52" s="72"/>
      <c r="B52" s="28"/>
      <c r="C52" s="106" t="s">
        <v>124</v>
      </c>
      <c r="D52" s="107"/>
      <c r="E52" s="107"/>
      <c r="F52" s="104">
        <v>4.8</v>
      </c>
      <c r="G52" s="28"/>
      <c r="H52" s="28"/>
      <c r="I52" s="28"/>
      <c r="J52" s="28"/>
      <c r="K52" s="28"/>
      <c r="L52" s="61" t="s">
        <v>125</v>
      </c>
      <c r="M52" s="109">
        <f>(M44+M45+M46)/M50</f>
        <v>452971.1389</v>
      </c>
      <c r="N52" s="38"/>
      <c r="O52" s="39"/>
      <c r="P52" s="28"/>
      <c r="Q52" s="28"/>
      <c r="R52" s="28"/>
      <c r="S52" s="28"/>
      <c r="T52" s="28"/>
      <c r="U52" s="28"/>
      <c r="V52" s="28"/>
      <c r="W52" s="28"/>
      <c r="X52" s="28"/>
      <c r="Y52" s="28"/>
      <c r="Z52" s="28"/>
      <c r="AA52" s="28"/>
      <c r="AB52" s="28"/>
      <c r="AC52" s="28"/>
      <c r="AD52" s="28"/>
      <c r="AE52" s="28"/>
      <c r="AF52" s="28"/>
      <c r="AG52" s="28"/>
      <c r="AH52" s="28"/>
    </row>
    <row r="53" ht="15.75" customHeight="1">
      <c r="A53" s="72"/>
      <c r="B53" s="28"/>
      <c r="C53" s="106" t="s">
        <v>126</v>
      </c>
      <c r="D53" s="107"/>
      <c r="E53" s="107"/>
      <c r="F53" s="108">
        <v>14700.0</v>
      </c>
      <c r="G53" s="28"/>
      <c r="H53" s="28"/>
      <c r="I53" s="28"/>
      <c r="J53" s="28"/>
      <c r="K53" s="28"/>
      <c r="L53" s="28"/>
      <c r="M53" s="28"/>
      <c r="N53" s="110" t="s">
        <v>127</v>
      </c>
      <c r="O53" s="91">
        <f>O47</f>
        <v>625828.8611</v>
      </c>
      <c r="P53" s="28"/>
      <c r="Q53" s="28"/>
      <c r="R53" s="28"/>
      <c r="S53" s="28"/>
      <c r="T53" s="28"/>
      <c r="U53" s="28"/>
      <c r="V53" s="28"/>
      <c r="W53" s="28"/>
      <c r="X53" s="28"/>
      <c r="Y53" s="28"/>
      <c r="Z53" s="28"/>
      <c r="AA53" s="28"/>
      <c r="AB53" s="28"/>
      <c r="AC53" s="28"/>
      <c r="AD53" s="28"/>
      <c r="AE53" s="28"/>
      <c r="AF53" s="28"/>
      <c r="AG53" s="28"/>
      <c r="AH53" s="28"/>
    </row>
    <row r="54" ht="15.75" customHeight="1">
      <c r="A54" s="72"/>
      <c r="B54" s="28"/>
      <c r="C54" s="106" t="s">
        <v>128</v>
      </c>
      <c r="D54" s="107"/>
      <c r="E54" s="107"/>
      <c r="F54" s="104">
        <v>4.0</v>
      </c>
      <c r="G54" s="28"/>
      <c r="H54" s="28"/>
      <c r="I54" s="28"/>
      <c r="J54" s="28"/>
      <c r="K54" s="28"/>
      <c r="L54" s="28"/>
      <c r="M54" s="28"/>
      <c r="N54" s="38" t="s">
        <v>100</v>
      </c>
      <c r="O54" s="60">
        <f>O44</f>
        <v>1078800</v>
      </c>
      <c r="P54" s="28"/>
      <c r="Q54" s="28"/>
      <c r="R54" s="28"/>
      <c r="S54" s="28"/>
      <c r="T54" s="28"/>
      <c r="U54" s="28"/>
      <c r="V54" s="28"/>
      <c r="W54" s="28"/>
      <c r="X54" s="28"/>
      <c r="Y54" s="28"/>
      <c r="Z54" s="28"/>
      <c r="AA54" s="28"/>
      <c r="AB54" s="28"/>
      <c r="AC54" s="28"/>
      <c r="AD54" s="28"/>
      <c r="AE54" s="28"/>
      <c r="AF54" s="28"/>
      <c r="AG54" s="28"/>
      <c r="AH54" s="28"/>
    </row>
    <row r="55" ht="15.75" customHeight="1">
      <c r="A55" s="72"/>
      <c r="B55" s="28"/>
      <c r="C55" s="106" t="s">
        <v>129</v>
      </c>
      <c r="D55" s="107"/>
      <c r="E55" s="107"/>
      <c r="F55" s="104">
        <v>25.0</v>
      </c>
      <c r="G55" s="28"/>
      <c r="H55" s="28"/>
      <c r="I55" s="28"/>
      <c r="J55" s="28"/>
      <c r="K55" s="28"/>
      <c r="L55" s="28"/>
      <c r="M55" s="28"/>
      <c r="N55" s="95" t="s">
        <v>130</v>
      </c>
      <c r="O55" s="100">
        <f>O53/O54</f>
        <v>0.5801157407</v>
      </c>
      <c r="P55" s="28"/>
      <c r="Q55" s="28"/>
      <c r="R55" s="28"/>
      <c r="S55" s="28"/>
      <c r="T55" s="28"/>
      <c r="U55" s="28"/>
      <c r="V55" s="28"/>
      <c r="W55" s="28"/>
      <c r="X55" s="28"/>
      <c r="Y55" s="28"/>
      <c r="Z55" s="28"/>
      <c r="AA55" s="28"/>
      <c r="AB55" s="28"/>
      <c r="AC55" s="28"/>
      <c r="AD55" s="28"/>
      <c r="AE55" s="28"/>
      <c r="AF55" s="28"/>
      <c r="AG55" s="28"/>
      <c r="AH55" s="28"/>
    </row>
    <row r="56" ht="15.75" customHeight="1">
      <c r="A56" s="72"/>
      <c r="B56" s="28"/>
      <c r="C56" s="106" t="s">
        <v>131</v>
      </c>
      <c r="D56" s="107"/>
      <c r="E56" s="107"/>
      <c r="F56" s="111">
        <v>258000.0</v>
      </c>
      <c r="G56" s="28"/>
      <c r="H56" s="28"/>
      <c r="I56" s="28"/>
      <c r="J56" s="28"/>
      <c r="K56" s="28"/>
      <c r="L56" s="28"/>
      <c r="M56" s="28"/>
      <c r="N56" s="61"/>
      <c r="O56" s="79"/>
      <c r="P56" s="112"/>
      <c r="Q56" s="28"/>
      <c r="R56" s="28"/>
      <c r="S56" s="28"/>
      <c r="T56" s="28"/>
      <c r="U56" s="28"/>
      <c r="V56" s="28"/>
      <c r="W56" s="28"/>
      <c r="X56" s="28"/>
      <c r="Y56" s="28"/>
      <c r="Z56" s="28"/>
      <c r="AA56" s="28"/>
      <c r="AB56" s="28"/>
      <c r="AC56" s="28"/>
      <c r="AD56" s="28"/>
      <c r="AE56" s="28"/>
      <c r="AF56" s="28"/>
      <c r="AG56" s="28"/>
      <c r="AH56" s="28"/>
    </row>
    <row r="57" ht="15.75" customHeight="1">
      <c r="A57" s="72"/>
      <c r="B57" s="28"/>
      <c r="C57" s="113" t="s">
        <v>132</v>
      </c>
      <c r="D57" s="114"/>
      <c r="E57" s="114"/>
      <c r="F57" s="115">
        <v>374000.0</v>
      </c>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row>
    <row r="58" ht="15.75" customHeight="1">
      <c r="A58" s="72"/>
      <c r="B58" s="28"/>
      <c r="C58" s="106" t="s">
        <v>133</v>
      </c>
      <c r="D58" s="107"/>
      <c r="E58" s="107"/>
      <c r="F58" s="108">
        <v>72000.0</v>
      </c>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row>
    <row r="59" ht="15.75" customHeight="1">
      <c r="A59" s="72"/>
      <c r="B59" s="28"/>
      <c r="C59" s="106" t="s">
        <v>134</v>
      </c>
      <c r="D59" s="107"/>
      <c r="E59" s="107"/>
      <c r="F59" s="116">
        <v>2021.0</v>
      </c>
      <c r="G59" s="28"/>
      <c r="H59" s="28"/>
      <c r="I59" s="28"/>
      <c r="J59" s="117" t="s">
        <v>87</v>
      </c>
      <c r="K59" s="23"/>
      <c r="L59" s="23"/>
      <c r="M59" s="23"/>
      <c r="N59" s="23"/>
      <c r="O59" s="23"/>
      <c r="P59" s="23"/>
      <c r="Q59" s="24"/>
      <c r="R59" s="118"/>
      <c r="S59" s="28"/>
      <c r="T59" s="28"/>
      <c r="U59" s="28"/>
      <c r="V59" s="28"/>
      <c r="W59" s="28"/>
      <c r="X59" s="28"/>
      <c r="Y59" s="28"/>
      <c r="Z59" s="28"/>
      <c r="AA59" s="28"/>
      <c r="AB59" s="28"/>
      <c r="AC59" s="28"/>
      <c r="AD59" s="28"/>
      <c r="AE59" s="28"/>
      <c r="AF59" s="28"/>
      <c r="AG59" s="28"/>
      <c r="AH59" s="28"/>
    </row>
    <row r="60" ht="15.0" customHeight="1">
      <c r="A60" s="47"/>
      <c r="B60" s="28"/>
      <c r="C60" s="106" t="s">
        <v>135</v>
      </c>
      <c r="D60" s="107"/>
      <c r="E60" s="107"/>
      <c r="F60" s="119">
        <v>25.0</v>
      </c>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row>
    <row r="61" ht="15.0" customHeight="1">
      <c r="A61" s="47"/>
      <c r="B61" s="28"/>
      <c r="C61" s="120" t="s">
        <v>136</v>
      </c>
      <c r="D61" s="121"/>
      <c r="E61" s="121"/>
      <c r="F61" s="122">
        <v>31000.0</v>
      </c>
      <c r="G61" s="28"/>
      <c r="H61" s="28"/>
      <c r="I61" s="28"/>
      <c r="J61" s="64" t="s">
        <v>137</v>
      </c>
      <c r="K61" s="44"/>
      <c r="L61" s="28"/>
      <c r="M61" s="28"/>
      <c r="N61" s="28"/>
      <c r="O61" s="28"/>
      <c r="P61" s="28"/>
      <c r="Q61" s="28"/>
      <c r="R61" s="28"/>
      <c r="S61" s="28"/>
      <c r="T61" s="28"/>
      <c r="U61" s="28"/>
      <c r="V61" s="28"/>
      <c r="W61" s="28"/>
      <c r="X61" s="28"/>
      <c r="Y61" s="28"/>
      <c r="Z61" s="28"/>
      <c r="AA61" s="28"/>
      <c r="AB61" s="28"/>
      <c r="AC61" s="28"/>
      <c r="AD61" s="28"/>
      <c r="AE61" s="28"/>
      <c r="AF61" s="28"/>
      <c r="AG61" s="28"/>
      <c r="AH61" s="28"/>
    </row>
    <row r="62" ht="15.75" customHeight="1">
      <c r="A62" s="47"/>
      <c r="B62" s="28"/>
      <c r="C62" s="28"/>
      <c r="D62" s="28"/>
      <c r="E62" s="28"/>
      <c r="F62" s="28"/>
      <c r="G62" s="28"/>
      <c r="H62" s="28"/>
      <c r="I62" s="28"/>
      <c r="J62" s="38"/>
      <c r="K62" s="60"/>
      <c r="L62" s="28"/>
      <c r="M62" s="28"/>
      <c r="N62" s="28"/>
      <c r="O62" s="28"/>
      <c r="P62" s="28"/>
      <c r="Q62" s="28"/>
      <c r="R62" s="28"/>
      <c r="S62" s="28"/>
      <c r="T62" s="28"/>
      <c r="U62" s="28"/>
      <c r="V62" s="28"/>
      <c r="W62" s="28"/>
      <c r="X62" s="28"/>
      <c r="Y62" s="28"/>
      <c r="Z62" s="28"/>
      <c r="AA62" s="28"/>
      <c r="AB62" s="28"/>
      <c r="AC62" s="28"/>
      <c r="AD62" s="28"/>
      <c r="AE62" s="28"/>
      <c r="AF62" s="28"/>
      <c r="AG62" s="28"/>
      <c r="AH62" s="28"/>
    </row>
    <row r="63" ht="15.75" customHeight="1">
      <c r="A63" s="123" t="s">
        <v>138</v>
      </c>
      <c r="B63" s="124"/>
      <c r="C63" s="124"/>
      <c r="D63" s="124"/>
      <c r="E63" s="124"/>
      <c r="F63" s="124"/>
      <c r="G63" s="124"/>
      <c r="H63" s="124"/>
      <c r="I63" s="28"/>
      <c r="J63" s="38" t="s">
        <v>139</v>
      </c>
      <c r="K63" s="125">
        <f>0.09*F57</f>
        <v>33660</v>
      </c>
      <c r="L63" s="28"/>
      <c r="M63" s="28"/>
      <c r="N63" s="28"/>
      <c r="O63" s="28"/>
      <c r="P63" s="28"/>
      <c r="Q63" s="28"/>
      <c r="R63" s="28"/>
      <c r="S63" s="28"/>
      <c r="T63" s="28"/>
      <c r="U63" s="28"/>
      <c r="V63" s="28"/>
      <c r="W63" s="28"/>
      <c r="X63" s="28"/>
      <c r="Y63" s="28"/>
      <c r="Z63" s="28"/>
      <c r="AA63" s="28"/>
      <c r="AB63" s="28"/>
      <c r="AC63" s="28"/>
      <c r="AD63" s="28"/>
      <c r="AE63" s="28"/>
      <c r="AF63" s="28"/>
      <c r="AG63" s="28"/>
      <c r="AH63" s="28"/>
    </row>
    <row r="64" ht="15.75" customHeight="1">
      <c r="A64" s="126"/>
      <c r="I64" s="28"/>
      <c r="J64" s="38"/>
      <c r="K64" s="39"/>
      <c r="L64" s="28"/>
      <c r="M64" s="28"/>
      <c r="N64" s="28"/>
      <c r="O64" s="28"/>
      <c r="P64" s="28"/>
      <c r="Q64" s="28"/>
      <c r="R64" s="28"/>
      <c r="S64" s="28"/>
      <c r="T64" s="28"/>
      <c r="U64" s="28"/>
      <c r="V64" s="28"/>
      <c r="W64" s="28"/>
      <c r="X64" s="28"/>
      <c r="Y64" s="28"/>
      <c r="Z64" s="28"/>
      <c r="AA64" s="28"/>
      <c r="AB64" s="28"/>
      <c r="AC64" s="28"/>
      <c r="AD64" s="28"/>
      <c r="AE64" s="28"/>
      <c r="AF64" s="28"/>
      <c r="AG64" s="28"/>
      <c r="AH64" s="28"/>
    </row>
    <row r="65" ht="15.75" customHeight="1">
      <c r="A65" s="126" t="s">
        <v>140</v>
      </c>
      <c r="I65" s="28"/>
      <c r="J65" s="38"/>
      <c r="K65" s="39"/>
      <c r="L65" s="28"/>
      <c r="M65" s="28"/>
      <c r="N65" s="28"/>
      <c r="O65" s="28"/>
      <c r="P65" s="28"/>
      <c r="Q65" s="28"/>
      <c r="R65" s="28"/>
      <c r="S65" s="28"/>
      <c r="T65" s="28"/>
      <c r="U65" s="28"/>
      <c r="V65" s="28"/>
      <c r="W65" s="28"/>
      <c r="X65" s="28"/>
      <c r="Y65" s="28"/>
      <c r="Z65" s="28"/>
      <c r="AA65" s="28"/>
      <c r="AB65" s="28"/>
      <c r="AC65" s="28"/>
      <c r="AD65" s="28"/>
      <c r="AE65" s="28"/>
      <c r="AF65" s="28"/>
      <c r="AG65" s="28"/>
      <c r="AH65" s="28"/>
    </row>
    <row r="66" ht="14.25" customHeight="1">
      <c r="A66" s="126" t="s">
        <v>141</v>
      </c>
      <c r="I66" s="28"/>
      <c r="J66" s="75" t="s">
        <v>142</v>
      </c>
      <c r="K66" s="109">
        <f>SUM(K62:K63)</f>
        <v>33660</v>
      </c>
      <c r="L66" s="28"/>
      <c r="M66" s="28"/>
      <c r="N66" s="28"/>
      <c r="O66" s="28"/>
      <c r="P66" s="28"/>
      <c r="Q66" s="28"/>
      <c r="R66" s="28"/>
      <c r="S66" s="28"/>
      <c r="T66" s="28"/>
      <c r="U66" s="28"/>
      <c r="V66" s="28"/>
      <c r="W66" s="28"/>
      <c r="X66" s="28"/>
      <c r="Y66" s="28"/>
      <c r="Z66" s="28"/>
      <c r="AA66" s="28"/>
      <c r="AB66" s="28"/>
      <c r="AC66" s="28"/>
      <c r="AD66" s="28"/>
      <c r="AE66" s="28"/>
      <c r="AF66" s="28"/>
      <c r="AG66" s="28"/>
      <c r="AH66" s="28"/>
    </row>
    <row r="67" ht="14.25" customHeight="1">
      <c r="A67" s="126" t="s">
        <v>143</v>
      </c>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row>
    <row r="68" ht="14.25" customHeight="1">
      <c r="A68" s="126"/>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row>
    <row r="69" ht="14.25" customHeight="1">
      <c r="A69" s="126"/>
      <c r="I69" s="28"/>
      <c r="J69" s="64" t="s">
        <v>144</v>
      </c>
      <c r="K69" s="43"/>
      <c r="L69" s="44"/>
      <c r="M69" s="64" t="s">
        <v>145</v>
      </c>
      <c r="N69" s="43"/>
      <c r="O69" s="44"/>
      <c r="P69" s="28"/>
      <c r="Q69" s="28"/>
      <c r="R69" s="28"/>
      <c r="S69" s="28"/>
      <c r="T69" s="28"/>
      <c r="U69" s="28"/>
      <c r="V69" s="28"/>
      <c r="W69" s="28"/>
      <c r="X69" s="28"/>
      <c r="Y69" s="28"/>
      <c r="Z69" s="28"/>
      <c r="AA69" s="28"/>
      <c r="AB69" s="28"/>
      <c r="AC69" s="28"/>
      <c r="AD69" s="28"/>
      <c r="AE69" s="28"/>
      <c r="AF69" s="28"/>
      <c r="AG69" s="28"/>
      <c r="AH69" s="28"/>
    </row>
    <row r="70" ht="14.25" customHeight="1">
      <c r="A70" s="126" t="s">
        <v>146</v>
      </c>
      <c r="I70" s="28"/>
      <c r="J70" s="38" t="s">
        <v>147</v>
      </c>
      <c r="K70" s="49">
        <f>F56*F55</f>
        <v>6450000</v>
      </c>
      <c r="L70" s="39"/>
      <c r="M70" s="38"/>
      <c r="N70" s="28" t="s">
        <v>148</v>
      </c>
      <c r="O70" s="125">
        <f>0.09*F57</f>
        <v>33660</v>
      </c>
      <c r="P70" s="28"/>
      <c r="Q70" s="28"/>
      <c r="R70" s="28"/>
      <c r="S70" s="28"/>
      <c r="T70" s="28"/>
      <c r="U70" s="28"/>
      <c r="V70" s="28"/>
      <c r="W70" s="28"/>
      <c r="X70" s="28"/>
      <c r="Y70" s="28"/>
      <c r="Z70" s="28"/>
      <c r="AA70" s="28"/>
      <c r="AB70" s="28"/>
      <c r="AC70" s="28"/>
      <c r="AD70" s="28"/>
      <c r="AE70" s="28"/>
      <c r="AF70" s="28"/>
      <c r="AG70" s="28"/>
      <c r="AH70" s="28"/>
    </row>
    <row r="71" ht="14.25" customHeight="1">
      <c r="A71" s="126" t="s">
        <v>149</v>
      </c>
      <c r="I71" s="28"/>
      <c r="J71" s="38" t="s">
        <v>150</v>
      </c>
      <c r="K71" s="49">
        <f>SUM(D10:D21)</f>
        <v>766785</v>
      </c>
      <c r="L71" s="39"/>
      <c r="M71" s="38"/>
      <c r="N71" s="28"/>
      <c r="O71" s="39"/>
      <c r="P71" s="28"/>
      <c r="Q71" s="28"/>
      <c r="R71" s="28"/>
      <c r="S71" s="28"/>
      <c r="T71" s="28"/>
      <c r="U71" s="28"/>
      <c r="V71" s="28"/>
      <c r="W71" s="28"/>
      <c r="X71" s="28"/>
      <c r="Y71" s="28"/>
      <c r="Z71" s="28"/>
      <c r="AA71" s="28"/>
      <c r="AB71" s="28"/>
      <c r="AC71" s="28"/>
      <c r="AD71" s="28"/>
      <c r="AE71" s="28"/>
      <c r="AF71" s="28"/>
      <c r="AG71" s="28"/>
      <c r="AH71" s="28"/>
    </row>
    <row r="72" ht="14.25" customHeight="1">
      <c r="A72" s="126" t="s">
        <v>151</v>
      </c>
      <c r="I72" s="28"/>
      <c r="J72" s="38"/>
      <c r="K72" s="49"/>
      <c r="L72" s="39"/>
      <c r="M72" s="38"/>
      <c r="N72" s="28"/>
      <c r="O72" s="39"/>
      <c r="P72" s="28"/>
      <c r="Q72" s="28"/>
      <c r="R72" s="28"/>
      <c r="S72" s="28"/>
      <c r="T72" s="28"/>
      <c r="U72" s="28"/>
      <c r="V72" s="28"/>
      <c r="W72" s="28"/>
      <c r="X72" s="28"/>
      <c r="Y72" s="28"/>
      <c r="Z72" s="28"/>
      <c r="AA72" s="28"/>
      <c r="AB72" s="28"/>
      <c r="AC72" s="28"/>
      <c r="AD72" s="28"/>
      <c r="AE72" s="28"/>
      <c r="AF72" s="28"/>
      <c r="AG72" s="28"/>
      <c r="AH72" s="28"/>
    </row>
    <row r="73" ht="14.25" customHeight="1">
      <c r="A73" s="126"/>
      <c r="I73" s="28"/>
      <c r="J73" s="38"/>
      <c r="K73" s="50"/>
      <c r="L73" s="39"/>
      <c r="M73" s="38"/>
      <c r="N73" s="28"/>
      <c r="O73" s="39"/>
      <c r="P73" s="28"/>
      <c r="Q73" s="28"/>
      <c r="R73" s="28"/>
      <c r="S73" s="28"/>
      <c r="T73" s="28"/>
      <c r="U73" s="28"/>
      <c r="V73" s="28"/>
      <c r="W73" s="28"/>
      <c r="X73" s="28"/>
      <c r="Y73" s="28"/>
      <c r="Z73" s="28"/>
      <c r="AA73" s="28"/>
      <c r="AB73" s="28"/>
      <c r="AC73" s="28"/>
      <c r="AD73" s="28"/>
      <c r="AE73" s="28"/>
      <c r="AF73" s="28"/>
      <c r="AG73" s="28"/>
      <c r="AH73" s="28"/>
    </row>
    <row r="74" ht="14.25" customHeight="1">
      <c r="A74" s="126" t="s">
        <v>152</v>
      </c>
      <c r="I74" s="28"/>
      <c r="J74" s="38"/>
      <c r="K74" s="28"/>
      <c r="L74" s="39"/>
      <c r="M74" s="38"/>
      <c r="N74" s="28"/>
      <c r="O74" s="39"/>
      <c r="P74" s="28"/>
      <c r="Q74" s="28"/>
      <c r="R74" s="28"/>
      <c r="S74" s="28"/>
      <c r="T74" s="28"/>
      <c r="U74" s="28"/>
      <c r="V74" s="28"/>
      <c r="W74" s="28"/>
      <c r="X74" s="28"/>
      <c r="Y74" s="28"/>
      <c r="Z74" s="28"/>
      <c r="AA74" s="28"/>
      <c r="AB74" s="28"/>
      <c r="AC74" s="28"/>
      <c r="AD74" s="28"/>
      <c r="AE74" s="28"/>
      <c r="AF74" s="28"/>
      <c r="AG74" s="28"/>
      <c r="AH74" s="28"/>
    </row>
    <row r="75" ht="14.25" customHeight="1">
      <c r="A75" s="28"/>
      <c r="B75" s="28"/>
      <c r="C75" s="28"/>
      <c r="D75" s="28"/>
      <c r="E75" s="28"/>
      <c r="F75" s="28"/>
      <c r="G75" s="28"/>
      <c r="H75" s="28"/>
      <c r="I75" s="28"/>
      <c r="J75" s="75" t="s">
        <v>153</v>
      </c>
      <c r="K75" s="15"/>
      <c r="L75" s="109">
        <f>ABS(K70-K71)</f>
        <v>5683215</v>
      </c>
      <c r="M75" s="61"/>
      <c r="N75" s="62" t="s">
        <v>154</v>
      </c>
      <c r="O75" s="109">
        <f>O70</f>
        <v>33660</v>
      </c>
      <c r="P75" s="28"/>
      <c r="Q75" s="28"/>
      <c r="R75" s="28"/>
      <c r="S75" s="28"/>
      <c r="T75" s="28"/>
      <c r="U75" s="28"/>
      <c r="V75" s="28"/>
      <c r="W75" s="28"/>
      <c r="X75" s="28"/>
      <c r="Y75" s="28"/>
      <c r="Z75" s="28"/>
      <c r="AA75" s="28"/>
      <c r="AB75" s="28"/>
      <c r="AC75" s="28"/>
      <c r="AD75" s="28"/>
      <c r="AE75" s="28"/>
      <c r="AF75" s="28"/>
      <c r="AG75" s="28"/>
      <c r="AH75" s="28"/>
    </row>
    <row r="7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row>
    <row r="77" ht="14.25" customHeight="1">
      <c r="A77" s="28"/>
      <c r="B77" s="28"/>
      <c r="C77" s="28"/>
      <c r="D77" s="28"/>
      <c r="E77" s="28"/>
      <c r="F77" s="28"/>
      <c r="G77" s="28"/>
      <c r="H77" s="28"/>
      <c r="I77" s="28"/>
      <c r="J77" s="64" t="s">
        <v>155</v>
      </c>
      <c r="K77" s="43"/>
      <c r="L77" s="43"/>
      <c r="M77" s="44"/>
      <c r="N77" s="28"/>
      <c r="O77" s="28"/>
      <c r="P77" s="28"/>
      <c r="Q77" s="28"/>
      <c r="R77" s="28"/>
      <c r="S77" s="28"/>
      <c r="T77" s="28"/>
      <c r="U77" s="28"/>
      <c r="V77" s="28"/>
      <c r="W77" s="28"/>
      <c r="X77" s="28"/>
      <c r="Y77" s="28"/>
      <c r="Z77" s="28"/>
      <c r="AA77" s="28"/>
      <c r="AB77" s="28"/>
      <c r="AC77" s="28"/>
      <c r="AD77" s="28"/>
      <c r="AE77" s="28"/>
      <c r="AF77" s="28"/>
      <c r="AG77" s="28"/>
      <c r="AH77" s="28"/>
    </row>
    <row r="78" ht="14.25" customHeight="1">
      <c r="A78" s="28"/>
      <c r="B78" s="28"/>
      <c r="C78" s="28"/>
      <c r="D78" s="28"/>
      <c r="E78" s="28"/>
      <c r="F78" s="28"/>
      <c r="G78" s="28"/>
      <c r="H78" s="28"/>
      <c r="I78" s="28"/>
      <c r="J78" s="38" t="s">
        <v>156</v>
      </c>
      <c r="K78" s="49">
        <f>((F57+F58)-F61)/F60</f>
        <v>16600</v>
      </c>
      <c r="L78" s="28" t="s">
        <v>157</v>
      </c>
      <c r="M78" s="60">
        <f>M31+O41</f>
        <v>157809.3</v>
      </c>
      <c r="N78" s="28"/>
      <c r="O78" s="28"/>
      <c r="P78" s="28"/>
      <c r="Q78" s="28"/>
      <c r="R78" s="28"/>
      <c r="S78" s="28"/>
      <c r="T78" s="28"/>
      <c r="U78" s="28"/>
      <c r="V78" s="28"/>
      <c r="W78" s="28"/>
      <c r="X78" s="28"/>
      <c r="Y78" s="28"/>
      <c r="Z78" s="28"/>
      <c r="AA78" s="28"/>
      <c r="AB78" s="28"/>
      <c r="AC78" s="28"/>
      <c r="AD78" s="28"/>
      <c r="AE78" s="28"/>
      <c r="AF78" s="28"/>
      <c r="AG78" s="28"/>
      <c r="AH78" s="28"/>
    </row>
    <row r="79" ht="14.25" customHeight="1">
      <c r="A79" s="28"/>
      <c r="B79" s="28"/>
      <c r="C79" s="28"/>
      <c r="D79" s="28"/>
      <c r="E79" s="28"/>
      <c r="F79" s="28"/>
      <c r="G79" s="28"/>
      <c r="H79" s="28"/>
      <c r="I79" s="28"/>
      <c r="J79" s="38" t="s">
        <v>158</v>
      </c>
      <c r="K79" s="49">
        <f>K78+F51+F53</f>
        <v>35500</v>
      </c>
      <c r="L79" s="28"/>
      <c r="M79" s="91"/>
      <c r="N79" s="28"/>
      <c r="O79" s="28"/>
      <c r="P79" s="28"/>
      <c r="Q79" s="28"/>
      <c r="R79" s="28"/>
      <c r="S79" s="28"/>
      <c r="T79" s="28"/>
      <c r="U79" s="28"/>
      <c r="V79" s="28"/>
      <c r="W79" s="28"/>
      <c r="X79" s="28"/>
      <c r="Y79" s="28"/>
      <c r="Z79" s="28"/>
      <c r="AA79" s="28"/>
      <c r="AB79" s="28"/>
      <c r="AC79" s="28"/>
      <c r="AD79" s="28"/>
      <c r="AE79" s="28"/>
      <c r="AF79" s="28"/>
      <c r="AG79" s="28"/>
      <c r="AH79" s="28"/>
    </row>
    <row r="80" ht="14.25" customHeight="1">
      <c r="A80" s="28"/>
      <c r="B80" s="28"/>
      <c r="C80" s="28"/>
      <c r="D80" s="28"/>
      <c r="E80" s="28"/>
      <c r="F80" s="28"/>
      <c r="G80" s="28"/>
      <c r="H80" s="28"/>
      <c r="I80" s="28"/>
      <c r="J80" s="38"/>
      <c r="K80" s="49"/>
      <c r="L80" s="28"/>
      <c r="M80" s="39"/>
      <c r="N80" s="28"/>
      <c r="O80" s="28"/>
      <c r="P80" s="28"/>
      <c r="Q80" s="28"/>
      <c r="R80" s="28"/>
      <c r="S80" s="28"/>
      <c r="T80" s="28"/>
      <c r="U80" s="28"/>
      <c r="V80" s="28"/>
      <c r="W80" s="28"/>
      <c r="X80" s="28"/>
      <c r="Y80" s="28"/>
      <c r="Z80" s="28"/>
      <c r="AA80" s="28"/>
      <c r="AB80" s="28"/>
      <c r="AC80" s="28"/>
      <c r="AD80" s="28"/>
      <c r="AE80" s="28"/>
      <c r="AF80" s="28"/>
      <c r="AG80" s="28"/>
      <c r="AH80" s="28"/>
    </row>
    <row r="81" ht="14.25" customHeight="1">
      <c r="A81" s="28"/>
      <c r="B81" s="28"/>
      <c r="C81" s="28"/>
      <c r="D81" s="28"/>
      <c r="E81" s="28"/>
      <c r="F81" s="28"/>
      <c r="G81" s="28"/>
      <c r="H81" s="28"/>
      <c r="I81" s="28"/>
      <c r="J81" s="38"/>
      <c r="K81" s="28"/>
      <c r="L81" s="28"/>
      <c r="M81" s="39"/>
      <c r="N81" s="28"/>
      <c r="O81" s="28"/>
      <c r="P81" s="28"/>
      <c r="Q81" s="28"/>
      <c r="R81" s="28"/>
      <c r="S81" s="28"/>
      <c r="T81" s="28"/>
      <c r="U81" s="28"/>
      <c r="V81" s="28"/>
      <c r="W81" s="28"/>
      <c r="X81" s="28"/>
      <c r="Y81" s="28"/>
      <c r="Z81" s="28"/>
      <c r="AA81" s="28"/>
      <c r="AB81" s="28"/>
      <c r="AC81" s="28"/>
      <c r="AD81" s="28"/>
      <c r="AE81" s="28"/>
      <c r="AF81" s="28"/>
      <c r="AG81" s="28"/>
      <c r="AH81" s="28"/>
    </row>
    <row r="82" ht="14.25" customHeight="1">
      <c r="A82" s="28"/>
      <c r="B82" s="28"/>
      <c r="C82" s="28"/>
      <c r="D82" s="28"/>
      <c r="E82" s="28"/>
      <c r="F82" s="28"/>
      <c r="G82" s="28"/>
      <c r="H82" s="28"/>
      <c r="I82" s="28"/>
      <c r="J82" s="38"/>
      <c r="K82" s="28"/>
      <c r="L82" s="28"/>
      <c r="M82" s="39"/>
      <c r="N82" s="28"/>
      <c r="O82" s="28"/>
      <c r="P82" s="28"/>
      <c r="Q82" s="28"/>
      <c r="R82" s="28"/>
      <c r="S82" s="28"/>
      <c r="T82" s="28"/>
      <c r="U82" s="28"/>
      <c r="V82" s="28"/>
      <c r="W82" s="28"/>
      <c r="X82" s="28"/>
      <c r="Y82" s="28"/>
      <c r="Z82" s="28"/>
      <c r="AA82" s="28"/>
      <c r="AB82" s="28"/>
      <c r="AC82" s="28"/>
      <c r="AD82" s="28"/>
      <c r="AE82" s="28"/>
      <c r="AF82" s="28"/>
      <c r="AG82" s="28"/>
      <c r="AH82" s="28"/>
    </row>
    <row r="83" ht="14.25" customHeight="1">
      <c r="A83" s="28"/>
      <c r="B83" s="28"/>
      <c r="C83" s="28"/>
      <c r="D83" s="28"/>
      <c r="E83" s="28"/>
      <c r="F83" s="28"/>
      <c r="G83" s="28"/>
      <c r="H83" s="28"/>
      <c r="I83" s="28"/>
      <c r="J83" s="61"/>
      <c r="K83" s="78" t="s">
        <v>159</v>
      </c>
      <c r="L83" s="62" t="s">
        <v>160</v>
      </c>
      <c r="M83" s="109">
        <f>ABS(K79-M78)</f>
        <v>122309.3</v>
      </c>
      <c r="N83" s="28"/>
      <c r="O83" s="28"/>
      <c r="P83" s="28"/>
      <c r="Q83" s="28"/>
      <c r="R83" s="28"/>
      <c r="S83" s="28"/>
      <c r="T83" s="28"/>
      <c r="U83" s="28"/>
      <c r="V83" s="28"/>
      <c r="W83" s="28"/>
      <c r="X83" s="28"/>
      <c r="Y83" s="28"/>
      <c r="Z83" s="28"/>
      <c r="AA83" s="28"/>
      <c r="AB83" s="28"/>
      <c r="AC83" s="28"/>
      <c r="AD83" s="28"/>
      <c r="AE83" s="28"/>
      <c r="AF83" s="28"/>
      <c r="AG83" s="28"/>
      <c r="AH83" s="28"/>
    </row>
    <row r="84"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row>
    <row r="85" ht="14.25" customHeight="1">
      <c r="A85" s="28"/>
      <c r="B85" s="28"/>
      <c r="C85" s="28"/>
      <c r="D85" s="28"/>
      <c r="E85" s="28"/>
      <c r="F85" s="28"/>
      <c r="G85" s="28"/>
      <c r="H85" s="28"/>
      <c r="I85" s="28"/>
      <c r="J85" s="64" t="s">
        <v>161</v>
      </c>
      <c r="K85" s="43"/>
      <c r="L85" s="43"/>
      <c r="M85" s="44"/>
      <c r="N85" s="28"/>
      <c r="O85" s="28"/>
      <c r="P85" s="28"/>
      <c r="Q85" s="28"/>
      <c r="R85" s="28"/>
      <c r="S85" s="28"/>
      <c r="T85" s="28"/>
      <c r="U85" s="28"/>
      <c r="V85" s="28"/>
      <c r="W85" s="28"/>
      <c r="X85" s="28"/>
      <c r="Y85" s="28"/>
      <c r="Z85" s="28"/>
      <c r="AA85" s="28"/>
      <c r="AB85" s="28"/>
      <c r="AC85" s="28"/>
      <c r="AD85" s="28"/>
      <c r="AE85" s="28"/>
      <c r="AF85" s="28"/>
      <c r="AG85" s="28"/>
      <c r="AH85" s="28"/>
    </row>
    <row r="86" ht="14.25" customHeight="1">
      <c r="A86" s="28"/>
      <c r="B86" s="28"/>
      <c r="C86" s="28"/>
      <c r="D86" s="28"/>
      <c r="E86" s="28"/>
      <c r="F86" s="28"/>
      <c r="G86" s="28"/>
      <c r="H86" s="28"/>
      <c r="I86" s="28"/>
      <c r="J86" s="38" t="s">
        <v>162</v>
      </c>
      <c r="K86" s="49">
        <f>(F50+F52+F54)*F56</f>
        <v>5624400</v>
      </c>
      <c r="L86" s="28"/>
      <c r="M86" s="39"/>
      <c r="N86" s="28"/>
      <c r="O86" s="28"/>
      <c r="P86" s="28"/>
      <c r="Q86" s="28"/>
      <c r="R86" s="28"/>
      <c r="S86" s="28"/>
      <c r="T86" s="28"/>
      <c r="U86" s="28"/>
      <c r="V86" s="28"/>
      <c r="W86" s="28"/>
      <c r="X86" s="28"/>
      <c r="Y86" s="28"/>
      <c r="Z86" s="28"/>
      <c r="AA86" s="28"/>
      <c r="AB86" s="28"/>
      <c r="AC86" s="28"/>
      <c r="AD86" s="28"/>
      <c r="AE86" s="28"/>
      <c r="AF86" s="28"/>
      <c r="AG86" s="28"/>
      <c r="AH86" s="28"/>
    </row>
    <row r="87" ht="14.25" customHeight="1">
      <c r="A87" s="28"/>
      <c r="B87" s="28"/>
      <c r="C87" s="28"/>
      <c r="D87" s="28"/>
      <c r="E87" s="28"/>
      <c r="F87" s="28"/>
      <c r="G87" s="28"/>
      <c r="H87" s="28"/>
      <c r="I87" s="28"/>
      <c r="J87" s="38" t="s">
        <v>163</v>
      </c>
      <c r="K87" s="49">
        <f>(K31+M39)*SUM(C10:C21)</f>
        <v>499647</v>
      </c>
      <c r="L87" s="28"/>
      <c r="M87" s="39"/>
      <c r="N87" s="28"/>
      <c r="O87" s="28"/>
      <c r="P87" s="28"/>
      <c r="Q87" s="28"/>
      <c r="R87" s="28"/>
      <c r="S87" s="28"/>
      <c r="T87" s="28"/>
      <c r="U87" s="28"/>
      <c r="V87" s="28"/>
      <c r="W87" s="28"/>
      <c r="X87" s="28"/>
      <c r="Y87" s="28"/>
      <c r="Z87" s="28"/>
      <c r="AA87" s="28"/>
      <c r="AB87" s="28"/>
      <c r="AC87" s="28"/>
      <c r="AD87" s="28"/>
      <c r="AE87" s="28"/>
      <c r="AF87" s="28"/>
      <c r="AG87" s="28"/>
      <c r="AH87" s="28"/>
    </row>
    <row r="88" ht="14.25" customHeight="1">
      <c r="A88" s="28"/>
      <c r="B88" s="28"/>
      <c r="C88" s="28"/>
      <c r="D88" s="28"/>
      <c r="E88" s="28"/>
      <c r="F88" s="28"/>
      <c r="G88" s="28"/>
      <c r="H88" s="28"/>
      <c r="I88" s="28"/>
      <c r="J88" s="38" t="s">
        <v>164</v>
      </c>
      <c r="K88" s="50">
        <f>F57+F58</f>
        <v>446000</v>
      </c>
      <c r="L88" s="28"/>
      <c r="M88" s="39"/>
      <c r="N88" s="28"/>
      <c r="O88" s="28"/>
      <c r="P88" s="28"/>
      <c r="Q88" s="28"/>
      <c r="R88" s="28"/>
      <c r="S88" s="28"/>
      <c r="T88" s="28"/>
      <c r="U88" s="28"/>
      <c r="V88" s="28"/>
      <c r="W88" s="28"/>
      <c r="X88" s="28"/>
      <c r="Y88" s="28"/>
      <c r="Z88" s="28"/>
      <c r="AA88" s="28"/>
      <c r="AB88" s="28"/>
      <c r="AC88" s="28"/>
      <c r="AD88" s="28"/>
      <c r="AE88" s="28"/>
      <c r="AF88" s="28"/>
      <c r="AG88" s="28"/>
      <c r="AH88" s="28"/>
    </row>
    <row r="89" ht="14.25" customHeight="1">
      <c r="A89" s="28"/>
      <c r="B89" s="28"/>
      <c r="C89" s="28"/>
      <c r="D89" s="28"/>
      <c r="E89" s="28"/>
      <c r="F89" s="28"/>
      <c r="G89" s="28"/>
      <c r="H89" s="28"/>
      <c r="I89" s="28"/>
      <c r="J89" s="38"/>
      <c r="K89" s="28"/>
      <c r="L89" s="28"/>
      <c r="M89" s="39"/>
      <c r="N89" s="28"/>
      <c r="O89" s="28"/>
      <c r="P89" s="28"/>
      <c r="Q89" s="28"/>
      <c r="R89" s="28"/>
      <c r="S89" s="28"/>
      <c r="T89" s="28"/>
      <c r="U89" s="28"/>
      <c r="V89" s="28"/>
      <c r="W89" s="28"/>
      <c r="X89" s="28"/>
      <c r="Y89" s="28"/>
      <c r="Z89" s="28"/>
      <c r="AA89" s="28"/>
      <c r="AB89" s="28"/>
      <c r="AC89" s="28"/>
      <c r="AD89" s="28"/>
      <c r="AE89" s="28"/>
      <c r="AF89" s="28"/>
      <c r="AG89" s="28"/>
      <c r="AH89" s="28"/>
    </row>
    <row r="90" ht="14.25" customHeight="1">
      <c r="A90" s="28"/>
      <c r="B90" s="28"/>
      <c r="C90" s="28"/>
      <c r="D90" s="28"/>
      <c r="E90" s="28"/>
      <c r="F90" s="28"/>
      <c r="G90" s="28"/>
      <c r="H90" s="28"/>
      <c r="I90" s="28"/>
      <c r="J90" s="38"/>
      <c r="K90" s="28"/>
      <c r="L90" s="28"/>
      <c r="M90" s="39"/>
      <c r="N90" s="28"/>
      <c r="O90" s="28"/>
      <c r="P90" s="28"/>
      <c r="Q90" s="28"/>
      <c r="R90" s="28"/>
      <c r="S90" s="28"/>
      <c r="T90" s="28"/>
      <c r="U90" s="28"/>
      <c r="V90" s="28"/>
      <c r="W90" s="28"/>
      <c r="X90" s="28"/>
      <c r="Y90" s="28"/>
      <c r="Z90" s="28"/>
      <c r="AA90" s="28"/>
      <c r="AB90" s="28"/>
      <c r="AC90" s="28"/>
      <c r="AD90" s="28"/>
      <c r="AE90" s="28"/>
      <c r="AF90" s="28"/>
      <c r="AG90" s="28"/>
      <c r="AH90" s="28"/>
    </row>
    <row r="91" ht="14.25" customHeight="1">
      <c r="A91" s="28"/>
      <c r="B91" s="28"/>
      <c r="C91" s="28"/>
      <c r="D91" s="28"/>
      <c r="E91" s="28"/>
      <c r="F91" s="28"/>
      <c r="G91" s="28"/>
      <c r="H91" s="28"/>
      <c r="I91" s="28"/>
      <c r="J91" s="61"/>
      <c r="K91" s="78" t="s">
        <v>159</v>
      </c>
      <c r="L91" s="62" t="s">
        <v>165</v>
      </c>
      <c r="M91" s="109">
        <f>ABS(K86-K87+K88)</f>
        <v>5570753</v>
      </c>
      <c r="N91" s="28"/>
      <c r="O91" s="28"/>
      <c r="P91" s="28"/>
      <c r="Q91" s="28"/>
      <c r="R91" s="28"/>
      <c r="S91" s="28"/>
      <c r="T91" s="28"/>
      <c r="U91" s="28"/>
      <c r="V91" s="28"/>
      <c r="W91" s="28"/>
      <c r="X91" s="28"/>
      <c r="Y91" s="28"/>
      <c r="Z91" s="28"/>
      <c r="AA91" s="28"/>
      <c r="AB91" s="28"/>
      <c r="AC91" s="28"/>
      <c r="AD91" s="28"/>
      <c r="AE91" s="28"/>
      <c r="AF91" s="28"/>
      <c r="AG91" s="28"/>
      <c r="AH91" s="28"/>
    </row>
    <row r="92" ht="14.25" customHeight="1">
      <c r="A92" s="28"/>
      <c r="B92" s="28"/>
      <c r="C92" s="28"/>
      <c r="D92" s="28"/>
      <c r="E92" s="28"/>
      <c r="F92" s="28"/>
      <c r="G92" s="28"/>
      <c r="H92" s="28"/>
      <c r="I92" s="28"/>
      <c r="J92" s="118"/>
      <c r="K92" s="28"/>
      <c r="L92" s="28"/>
      <c r="M92" s="28"/>
      <c r="N92" s="28"/>
      <c r="O92" s="28"/>
      <c r="P92" s="28"/>
      <c r="Q92" s="28"/>
      <c r="R92" s="28"/>
      <c r="S92" s="28"/>
      <c r="T92" s="28"/>
      <c r="U92" s="28"/>
      <c r="V92" s="28"/>
      <c r="W92" s="28"/>
      <c r="X92" s="28"/>
      <c r="Y92" s="28"/>
      <c r="Z92" s="28"/>
      <c r="AA92" s="28"/>
      <c r="AB92" s="28"/>
      <c r="AC92" s="28"/>
      <c r="AD92" s="28"/>
      <c r="AE92" s="28"/>
      <c r="AF92" s="28"/>
      <c r="AG92" s="28"/>
      <c r="AH92" s="28"/>
    </row>
    <row r="93" ht="14.25" customHeight="1">
      <c r="A93" s="28"/>
      <c r="B93" s="28"/>
      <c r="C93" s="28"/>
      <c r="D93" s="28"/>
      <c r="E93" s="28"/>
      <c r="F93" s="28"/>
      <c r="G93" s="28"/>
      <c r="H93" s="28"/>
      <c r="I93" s="28"/>
      <c r="J93" s="64" t="s">
        <v>166</v>
      </c>
      <c r="K93" s="43"/>
      <c r="L93" s="43"/>
      <c r="M93" s="44"/>
      <c r="N93" s="28"/>
      <c r="O93" s="28"/>
      <c r="P93" s="28"/>
      <c r="Q93" s="28"/>
      <c r="R93" s="28"/>
      <c r="S93" s="28"/>
      <c r="T93" s="28"/>
      <c r="U93" s="28"/>
      <c r="V93" s="28"/>
      <c r="W93" s="28"/>
      <c r="X93" s="28"/>
      <c r="Y93" s="28"/>
      <c r="Z93" s="28"/>
      <c r="AA93" s="28"/>
      <c r="AB93" s="28"/>
      <c r="AC93" s="28"/>
      <c r="AD93" s="28"/>
      <c r="AE93" s="28"/>
      <c r="AF93" s="28"/>
      <c r="AG93" s="28"/>
      <c r="AH93" s="28"/>
    </row>
    <row r="94" ht="14.25" customHeight="1">
      <c r="A94" s="28"/>
      <c r="B94" s="28"/>
      <c r="C94" s="28"/>
      <c r="D94" s="28"/>
      <c r="E94" s="28"/>
      <c r="F94" s="28"/>
      <c r="G94" s="28"/>
      <c r="H94" s="28"/>
      <c r="I94" s="28"/>
      <c r="J94" s="38" t="s">
        <v>167</v>
      </c>
      <c r="K94" s="51">
        <f>L75-O75</f>
        <v>5649555</v>
      </c>
      <c r="L94" s="28" t="s">
        <v>168</v>
      </c>
      <c r="M94" s="91">
        <f>M91-M83</f>
        <v>5448443.7</v>
      </c>
      <c r="N94" s="28"/>
      <c r="O94" s="28"/>
      <c r="P94" s="28"/>
      <c r="Q94" s="28"/>
      <c r="R94" s="28"/>
      <c r="S94" s="28"/>
      <c r="T94" s="28"/>
      <c r="U94" s="28"/>
      <c r="V94" s="28"/>
      <c r="W94" s="28"/>
      <c r="X94" s="28"/>
      <c r="Y94" s="28"/>
      <c r="Z94" s="28"/>
      <c r="AA94" s="28"/>
      <c r="AB94" s="28"/>
      <c r="AC94" s="28"/>
      <c r="AD94" s="28"/>
      <c r="AE94" s="28"/>
      <c r="AF94" s="28"/>
      <c r="AG94" s="28"/>
      <c r="AH94" s="28"/>
    </row>
    <row r="95" ht="14.25" customHeight="1">
      <c r="A95" s="28"/>
      <c r="B95" s="28"/>
      <c r="C95" s="28"/>
      <c r="D95" s="28"/>
      <c r="E95" s="28"/>
      <c r="F95" s="28"/>
      <c r="G95" s="28"/>
      <c r="H95" s="28"/>
      <c r="I95" s="28"/>
      <c r="J95" s="38"/>
      <c r="K95" s="28"/>
      <c r="L95" s="28"/>
      <c r="M95" s="39"/>
      <c r="N95" s="28"/>
      <c r="O95" s="28"/>
      <c r="P95" s="28"/>
      <c r="Q95" s="28"/>
      <c r="R95" s="28"/>
      <c r="S95" s="28"/>
      <c r="T95" s="28"/>
      <c r="U95" s="28"/>
      <c r="V95" s="28"/>
      <c r="W95" s="28"/>
      <c r="X95" s="28"/>
      <c r="Y95" s="28"/>
      <c r="Z95" s="28"/>
      <c r="AA95" s="28"/>
      <c r="AB95" s="28"/>
      <c r="AC95" s="28"/>
      <c r="AD95" s="28"/>
      <c r="AE95" s="28"/>
      <c r="AF95" s="28"/>
      <c r="AG95" s="28"/>
      <c r="AH95" s="28"/>
    </row>
    <row r="96" ht="14.25" customHeight="1">
      <c r="A96" s="28"/>
      <c r="B96" s="28"/>
      <c r="C96" s="28"/>
      <c r="D96" s="28"/>
      <c r="E96" s="28"/>
      <c r="F96" s="28"/>
      <c r="G96" s="28"/>
      <c r="H96" s="28"/>
      <c r="I96" s="28"/>
      <c r="J96" s="38"/>
      <c r="K96" s="28"/>
      <c r="L96" s="28"/>
      <c r="M96" s="39"/>
      <c r="N96" s="28"/>
      <c r="O96" s="28"/>
      <c r="P96" s="28"/>
      <c r="Q96" s="28"/>
      <c r="R96" s="28"/>
      <c r="S96" s="28"/>
      <c r="T96" s="28"/>
      <c r="U96" s="28"/>
      <c r="V96" s="28"/>
      <c r="W96" s="28"/>
      <c r="X96" s="28"/>
      <c r="Y96" s="28"/>
      <c r="Z96" s="28"/>
      <c r="AA96" s="28"/>
      <c r="AB96" s="28"/>
      <c r="AC96" s="28"/>
      <c r="AD96" s="28"/>
      <c r="AE96" s="28"/>
      <c r="AF96" s="28"/>
      <c r="AG96" s="28"/>
      <c r="AH96" s="28"/>
    </row>
    <row r="97" ht="14.25" customHeight="1">
      <c r="A97" s="28"/>
      <c r="B97" s="28"/>
      <c r="C97" s="28"/>
      <c r="D97" s="28"/>
      <c r="E97" s="28"/>
      <c r="F97" s="28"/>
      <c r="G97" s="28"/>
      <c r="H97" s="28"/>
      <c r="I97" s="28"/>
      <c r="J97" s="38"/>
      <c r="K97" s="28"/>
      <c r="L97" s="28"/>
      <c r="M97" s="39"/>
      <c r="N97" s="28"/>
      <c r="O97" s="28"/>
      <c r="P97" s="28"/>
      <c r="Q97" s="28"/>
      <c r="R97" s="28"/>
      <c r="S97" s="28"/>
      <c r="T97" s="28"/>
      <c r="U97" s="28"/>
      <c r="V97" s="28"/>
      <c r="W97" s="28"/>
      <c r="X97" s="28"/>
      <c r="Y97" s="28"/>
      <c r="Z97" s="28"/>
      <c r="AA97" s="28"/>
      <c r="AB97" s="28"/>
      <c r="AC97" s="28"/>
      <c r="AD97" s="28"/>
      <c r="AE97" s="28"/>
      <c r="AF97" s="28"/>
      <c r="AG97" s="28"/>
      <c r="AH97" s="28"/>
    </row>
    <row r="98" ht="14.25" customHeight="1">
      <c r="A98" s="28"/>
      <c r="B98" s="28"/>
      <c r="C98" s="28"/>
      <c r="D98" s="28"/>
      <c r="E98" s="28"/>
      <c r="F98" s="28"/>
      <c r="G98" s="28"/>
      <c r="H98" s="28"/>
      <c r="I98" s="28"/>
      <c r="J98" s="38"/>
      <c r="K98" s="28"/>
      <c r="L98" s="28"/>
      <c r="M98" s="39"/>
      <c r="N98" s="28"/>
      <c r="O98" s="28"/>
      <c r="P98" s="28"/>
      <c r="Q98" s="28"/>
      <c r="R98" s="28"/>
      <c r="S98" s="28"/>
      <c r="T98" s="28"/>
      <c r="U98" s="28"/>
      <c r="V98" s="28"/>
      <c r="W98" s="28"/>
      <c r="X98" s="28"/>
      <c r="Y98" s="28"/>
      <c r="Z98" s="28"/>
      <c r="AA98" s="28"/>
      <c r="AB98" s="28"/>
      <c r="AC98" s="28"/>
      <c r="AD98" s="28"/>
      <c r="AE98" s="28"/>
      <c r="AF98" s="28"/>
      <c r="AG98" s="28"/>
      <c r="AH98" s="28"/>
    </row>
    <row r="99" ht="14.25" customHeight="1">
      <c r="A99" s="28"/>
      <c r="B99" s="28"/>
      <c r="C99" s="28"/>
      <c r="D99" s="28"/>
      <c r="E99" s="28"/>
      <c r="F99" s="28"/>
      <c r="G99" s="28"/>
      <c r="H99" s="28"/>
      <c r="I99" s="28"/>
      <c r="J99" s="61"/>
      <c r="K99" s="78"/>
      <c r="L99" s="62" t="s">
        <v>169</v>
      </c>
      <c r="M99" s="109">
        <f>K94-M94</f>
        <v>201111.3</v>
      </c>
      <c r="N99" s="28"/>
      <c r="O99" s="28"/>
      <c r="P99" s="28"/>
      <c r="Q99" s="28"/>
      <c r="R99" s="28"/>
      <c r="S99" s="28"/>
      <c r="T99" s="28"/>
      <c r="U99" s="28"/>
      <c r="V99" s="28"/>
      <c r="W99" s="28"/>
      <c r="X99" s="28"/>
      <c r="Y99" s="28"/>
      <c r="Z99" s="28"/>
      <c r="AA99" s="28"/>
      <c r="AB99" s="28"/>
      <c r="AC99" s="28"/>
      <c r="AD99" s="28"/>
      <c r="AE99" s="28"/>
      <c r="AF99" s="28"/>
      <c r="AG99" s="28"/>
      <c r="AH99" s="28"/>
    </row>
    <row r="100"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row>
    <row r="101"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row>
    <row r="102"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row>
    <row r="103"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row>
    <row r="104"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row>
    <row r="105"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row>
    <row r="10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row>
    <row r="107"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row>
    <row r="108"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row>
    <row r="109"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row>
    <row r="110"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row>
    <row r="111"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row>
    <row r="112"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row>
    <row r="113"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row>
    <row r="114"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row>
    <row r="115"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row>
    <row r="11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row>
    <row r="117"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row>
    <row r="118"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row>
    <row r="119"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row>
    <row r="120"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row>
    <row r="121"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row>
    <row r="122"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row>
    <row r="123"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row>
    <row r="124"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row>
    <row r="125" ht="14.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row>
    <row r="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row>
    <row r="127"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row>
    <row r="128"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row>
    <row r="129"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row>
    <row r="130"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row>
    <row r="131"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row>
    <row r="132"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row>
    <row r="133"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row>
    <row r="134"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row>
    <row r="135"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row>
    <row r="13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row>
    <row r="137"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row>
    <row r="138"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row>
    <row r="139"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row>
    <row r="140"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row>
    <row r="141"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row>
    <row r="142"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row>
    <row r="143"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row>
    <row r="144"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row>
    <row r="145"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row>
    <row r="14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row>
    <row r="147"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row>
    <row r="148"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row>
    <row r="149"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row>
    <row r="150"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row>
    <row r="151"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row>
    <row r="152"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row>
    <row r="153"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row>
    <row r="154"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row>
    <row r="155"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row>
    <row r="15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row>
    <row r="157"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row>
    <row r="158"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row>
    <row r="159"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row>
    <row r="160"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row>
    <row r="161"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row>
    <row r="162"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row>
    <row r="163"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row>
    <row r="164"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row>
    <row r="165"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row>
    <row r="16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row>
    <row r="167"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row>
    <row r="168"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row>
    <row r="169"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row>
    <row r="170"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row>
    <row r="171"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row>
    <row r="172"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row>
    <row r="173"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row>
    <row r="174"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row>
    <row r="175"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row>
    <row r="17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row>
    <row r="177"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row>
    <row r="178"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row>
    <row r="179"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row>
    <row r="180"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row>
    <row r="181"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row>
    <row r="182"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row>
    <row r="183"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row>
    <row r="184"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row>
    <row r="185"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row>
    <row r="18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row>
    <row r="187"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row>
    <row r="188"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row>
    <row r="189"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row>
    <row r="190"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row>
    <row r="191"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row>
    <row r="192"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row>
    <row r="193"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row>
    <row r="194"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row>
    <row r="195"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row>
    <row r="19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row>
    <row r="197"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row>
    <row r="198"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row>
    <row r="199"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row>
    <row r="200"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row>
    <row r="201"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row>
    <row r="202"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row>
    <row r="203"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row>
    <row r="204"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row>
    <row r="205"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row>
    <row r="20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row>
    <row r="207"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row>
    <row r="208"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row>
    <row r="209"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row>
    <row r="210"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row>
    <row r="211"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row>
    <row r="212"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row>
    <row r="213"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row>
    <row r="214"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row>
    <row r="215"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row>
    <row r="21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row>
    <row r="217"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row>
    <row r="218"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row>
    <row r="219"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row>
    <row r="220"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row>
    <row r="221"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row>
    <row r="222"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row>
    <row r="223"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row>
    <row r="224"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row>
    <row r="225"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row>
    <row r="2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row>
    <row r="227"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row>
    <row r="228"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row>
    <row r="229"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row>
    <row r="230"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row>
    <row r="231"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row>
    <row r="232"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row>
    <row r="233"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row>
    <row r="234"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row>
    <row r="235"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row>
    <row r="23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row>
    <row r="237"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row>
    <row r="238"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row>
    <row r="239"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row>
    <row r="240"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row>
    <row r="241"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row>
    <row r="242"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row>
    <row r="243"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row>
    <row r="244"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row>
    <row r="245"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row>
    <row r="24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row>
    <row r="247"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row>
    <row r="248"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row>
    <row r="249"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row>
    <row r="250"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row>
    <row r="251"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row>
    <row r="252"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row>
    <row r="253"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row>
    <row r="254"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row>
    <row r="255"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row>
    <row r="25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row>
    <row r="257"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row>
    <row r="258"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row>
    <row r="259"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row>
    <row r="260"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row>
    <row r="261"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row>
    <row r="262"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row>
    <row r="263"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row>
    <row r="264"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row>
    <row r="265"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row>
    <row r="26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row>
    <row r="267"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row>
    <row r="268"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row>
    <row r="269"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row>
    <row r="270"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row>
    <row r="271"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row>
    <row r="272"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row>
    <row r="273"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row>
    <row r="274"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row>
    <row r="275"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row>
    <row r="27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row>
    <row r="277"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row>
    <row r="278"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row>
    <row r="279"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row>
    <row r="280"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row>
    <row r="281"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row>
    <row r="282"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row>
    <row r="283"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row>
    <row r="284"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row>
    <row r="285"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row>
    <row r="28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row>
    <row r="287"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row>
    <row r="288"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row>
    <row r="289"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row>
    <row r="290"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row>
    <row r="291"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row>
    <row r="292"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row>
    <row r="293"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row>
    <row r="294"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row>
    <row r="295"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row>
    <row r="29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row>
    <row r="297"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row>
    <row r="298"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row>
    <row r="299"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row>
  </sheetData>
  <mergeCells count="53">
    <mergeCell ref="K1:L1"/>
    <mergeCell ref="N1:O1"/>
    <mergeCell ref="Q1:R1"/>
    <mergeCell ref="X2:AH3"/>
    <mergeCell ref="J4:Q4"/>
    <mergeCell ref="J6:M6"/>
    <mergeCell ref="A1:G1"/>
    <mergeCell ref="A3:H6"/>
    <mergeCell ref="B8:F8"/>
    <mergeCell ref="K11:L11"/>
    <mergeCell ref="J13:Q13"/>
    <mergeCell ref="B23:F23"/>
    <mergeCell ref="B24:F24"/>
    <mergeCell ref="A26:H26"/>
    <mergeCell ref="A28:H28"/>
    <mergeCell ref="A29:H29"/>
    <mergeCell ref="A30:H30"/>
    <mergeCell ref="A31:H31"/>
    <mergeCell ref="A33:H33"/>
    <mergeCell ref="J33:M33"/>
    <mergeCell ref="N33:Q33"/>
    <mergeCell ref="J43:K43"/>
    <mergeCell ref="L43:M43"/>
    <mergeCell ref="N43:O43"/>
    <mergeCell ref="P43:Q43"/>
    <mergeCell ref="J59:Q59"/>
    <mergeCell ref="J61:K61"/>
    <mergeCell ref="J69:L69"/>
    <mergeCell ref="M69:O69"/>
    <mergeCell ref="A34:H34"/>
    <mergeCell ref="A35:H35"/>
    <mergeCell ref="A36:H36"/>
    <mergeCell ref="A37:H37"/>
    <mergeCell ref="A39:H39"/>
    <mergeCell ref="A40:H42"/>
    <mergeCell ref="A43:H44"/>
    <mergeCell ref="A45:H45"/>
    <mergeCell ref="C47:F49"/>
    <mergeCell ref="A64:H64"/>
    <mergeCell ref="A65:H65"/>
    <mergeCell ref="A66:H66"/>
    <mergeCell ref="A67:H67"/>
    <mergeCell ref="A68:H68"/>
    <mergeCell ref="J77:M77"/>
    <mergeCell ref="J85:M85"/>
    <mergeCell ref="J93:M93"/>
    <mergeCell ref="A69:H69"/>
    <mergeCell ref="A70:H70"/>
    <mergeCell ref="A71:H71"/>
    <mergeCell ref="A72:H72"/>
    <mergeCell ref="A73:H73"/>
    <mergeCell ref="A74:H74"/>
    <mergeCell ref="J75:K75"/>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43"/>
    <col customWidth="1" min="3" max="3" width="13.71"/>
    <col customWidth="1" min="4" max="4" width="14.29"/>
    <col customWidth="1" min="5" max="6" width="15.14"/>
    <col customWidth="1" min="7" max="7" width="8.86"/>
    <col customWidth="1" min="8" max="8" width="17.43"/>
    <col customWidth="1" min="9" max="9" width="11.43"/>
    <col customWidth="1" min="10" max="10" width="26.0"/>
    <col customWidth="1" min="11" max="11" width="19.43"/>
    <col customWidth="1" min="12" max="12" width="25.71"/>
    <col customWidth="1" min="13" max="13" width="16.29"/>
    <col customWidth="1" min="14" max="14" width="25.71"/>
    <col customWidth="1" min="15" max="15" width="15.71"/>
    <col customWidth="1" min="16" max="16" width="20.57"/>
    <col customWidth="1" min="17" max="20" width="11.43"/>
    <col customWidth="1" min="21" max="26" width="14.57"/>
  </cols>
  <sheetData>
    <row r="1" ht="14.25" customHeight="1">
      <c r="A1" s="26" t="s">
        <v>20</v>
      </c>
      <c r="H1" s="27" t="s">
        <v>21</v>
      </c>
      <c r="I1" s="28"/>
      <c r="J1" s="29" t="s">
        <v>22</v>
      </c>
      <c r="K1" s="30"/>
      <c r="L1" s="24"/>
      <c r="M1" s="29" t="s">
        <v>23</v>
      </c>
      <c r="N1" s="30"/>
      <c r="O1" s="24"/>
      <c r="P1" s="31" t="s">
        <v>24</v>
      </c>
      <c r="Q1" s="30"/>
      <c r="R1" s="24"/>
      <c r="S1" s="32" t="s">
        <v>25</v>
      </c>
      <c r="T1" s="33"/>
      <c r="U1" s="28"/>
      <c r="V1" s="28"/>
      <c r="W1" s="28"/>
      <c r="X1" s="28"/>
      <c r="Y1" s="28"/>
      <c r="Z1" s="28"/>
    </row>
    <row r="2" ht="14.25" customHeight="1">
      <c r="A2" s="26"/>
      <c r="B2" s="26"/>
      <c r="C2" s="26"/>
      <c r="D2" s="26"/>
      <c r="E2" s="26"/>
      <c r="F2" s="26"/>
      <c r="G2" s="34"/>
      <c r="H2" s="28"/>
      <c r="I2" s="28"/>
      <c r="J2" s="28"/>
      <c r="K2" s="28"/>
      <c r="L2" s="28"/>
      <c r="M2" s="28"/>
      <c r="N2" s="28"/>
      <c r="O2" s="28"/>
      <c r="P2" s="28"/>
      <c r="Q2" s="28"/>
      <c r="R2" s="28"/>
      <c r="S2" s="28"/>
      <c r="T2" s="28"/>
      <c r="U2" s="28"/>
      <c r="V2" s="28"/>
      <c r="W2" s="28"/>
      <c r="X2" s="28"/>
      <c r="Y2" s="28"/>
      <c r="Z2" s="28"/>
    </row>
    <row r="3" ht="14.25" customHeight="1">
      <c r="A3" s="36" t="s">
        <v>27</v>
      </c>
      <c r="I3" s="28"/>
      <c r="J3" s="28"/>
      <c r="K3" s="28"/>
      <c r="L3" s="28"/>
      <c r="M3" s="28"/>
      <c r="N3" s="28"/>
      <c r="O3" s="28"/>
      <c r="P3" s="28"/>
      <c r="Q3" s="28"/>
      <c r="R3" s="28"/>
      <c r="S3" s="28"/>
      <c r="T3" s="28"/>
      <c r="U3" s="28"/>
      <c r="V3" s="28"/>
      <c r="W3" s="28"/>
      <c r="X3" s="28"/>
      <c r="Y3" s="28"/>
      <c r="Z3" s="28"/>
    </row>
    <row r="4" ht="15.75" customHeight="1">
      <c r="I4" s="28"/>
      <c r="J4" s="37" t="s">
        <v>28</v>
      </c>
      <c r="K4" s="23"/>
      <c r="L4" s="23"/>
      <c r="M4" s="23"/>
      <c r="N4" s="23"/>
      <c r="O4" s="23"/>
      <c r="P4" s="23"/>
      <c r="Q4" s="24"/>
      <c r="R4" s="28"/>
      <c r="S4" s="28"/>
      <c r="T4" s="28"/>
      <c r="U4" s="28"/>
      <c r="V4" s="28"/>
      <c r="W4" s="28"/>
      <c r="X4" s="28"/>
      <c r="Y4" s="28"/>
      <c r="Z4" s="28"/>
    </row>
    <row r="5" ht="15.75" customHeight="1">
      <c r="I5" s="28"/>
      <c r="J5" s="28"/>
      <c r="K5" s="28"/>
      <c r="L5" s="28"/>
      <c r="M5" s="28"/>
      <c r="N5" s="28"/>
      <c r="O5" s="28"/>
      <c r="P5" s="28"/>
      <c r="Q5" s="28"/>
      <c r="R5" s="28"/>
      <c r="S5" s="28"/>
      <c r="T5" s="28"/>
      <c r="U5" s="28"/>
      <c r="V5" s="28"/>
      <c r="W5" s="28"/>
      <c r="X5" s="28"/>
      <c r="Y5" s="28"/>
      <c r="Z5" s="28"/>
    </row>
    <row r="6" ht="15.75" customHeight="1">
      <c r="I6" s="28"/>
      <c r="J6" s="42" t="s">
        <v>32</v>
      </c>
      <c r="K6" s="43"/>
      <c r="L6" s="43"/>
      <c r="M6" s="44"/>
      <c r="N6" s="28"/>
      <c r="O6" s="28"/>
      <c r="P6" s="28"/>
      <c r="Q6" s="28"/>
      <c r="R6" s="28"/>
      <c r="S6" s="28"/>
      <c r="T6" s="28"/>
      <c r="U6" s="28"/>
      <c r="V6" s="28"/>
      <c r="W6" s="28"/>
      <c r="X6" s="28"/>
      <c r="Y6" s="28"/>
      <c r="Z6" s="28"/>
    </row>
    <row r="7">
      <c r="A7" s="47"/>
      <c r="B7" s="28"/>
      <c r="C7" s="28"/>
      <c r="D7" s="28"/>
      <c r="E7" s="28"/>
      <c r="F7" s="28"/>
      <c r="G7" s="28"/>
      <c r="H7" s="28"/>
      <c r="I7" s="28"/>
      <c r="J7" s="38"/>
      <c r="K7" s="28"/>
      <c r="L7" s="28"/>
      <c r="M7" s="39"/>
      <c r="N7" s="28"/>
      <c r="O7" s="28"/>
      <c r="P7" s="28"/>
      <c r="Q7" s="28"/>
      <c r="R7" s="28"/>
      <c r="S7" s="28"/>
      <c r="T7" s="28"/>
      <c r="U7" s="28"/>
      <c r="V7" s="28"/>
      <c r="W7" s="28"/>
      <c r="X7" s="28"/>
      <c r="Y7" s="28"/>
      <c r="Z7" s="28"/>
    </row>
    <row r="8" ht="14.25" customHeight="1">
      <c r="A8" s="28"/>
      <c r="B8" s="48" t="s">
        <v>35</v>
      </c>
      <c r="G8" s="28"/>
      <c r="H8" s="28"/>
      <c r="I8" s="28"/>
      <c r="J8" s="38"/>
      <c r="K8" s="28"/>
      <c r="L8" s="28"/>
      <c r="M8" s="39"/>
      <c r="N8" s="28"/>
      <c r="O8" s="28"/>
      <c r="P8" s="28"/>
      <c r="Q8" s="28"/>
      <c r="R8" s="28"/>
      <c r="S8" s="28"/>
      <c r="T8" s="28"/>
      <c r="U8" s="28"/>
      <c r="V8" s="28"/>
      <c r="W8" s="28"/>
      <c r="X8" s="28"/>
      <c r="Y8" s="28"/>
      <c r="Z8" s="28"/>
    </row>
    <row r="9" ht="14.25" customHeight="1">
      <c r="A9" s="28"/>
      <c r="B9" s="52"/>
      <c r="C9" s="53" t="s">
        <v>37</v>
      </c>
      <c r="D9" s="54" t="s">
        <v>38</v>
      </c>
      <c r="E9" s="55" t="s">
        <v>39</v>
      </c>
      <c r="F9" s="56" t="s">
        <v>40</v>
      </c>
      <c r="G9" s="28"/>
      <c r="H9" s="28"/>
      <c r="I9" s="28"/>
      <c r="J9" s="38"/>
      <c r="K9" s="28"/>
      <c r="L9" s="28"/>
      <c r="M9" s="39"/>
      <c r="N9" s="28"/>
      <c r="O9" s="28"/>
      <c r="P9" s="28"/>
      <c r="Q9" s="28"/>
      <c r="R9" s="47"/>
      <c r="S9" s="28"/>
      <c r="T9" s="28"/>
      <c r="U9" s="28"/>
      <c r="V9" s="28"/>
      <c r="W9" s="28"/>
      <c r="X9" s="28"/>
      <c r="Y9" s="28"/>
      <c r="Z9" s="28"/>
    </row>
    <row r="10" ht="14.25" customHeight="1">
      <c r="A10" s="28"/>
      <c r="B10" s="57" t="s">
        <v>42</v>
      </c>
      <c r="C10" s="58">
        <f>Feuil2!C3</f>
        <v>5530</v>
      </c>
      <c r="D10" s="49">
        <f>Feuil2!C3*Feuil2!$C$17</f>
        <v>85715</v>
      </c>
      <c r="E10" s="59">
        <f>Feuil2!E3</f>
        <v>37448.5</v>
      </c>
      <c r="F10" s="60">
        <f>Feuil2!F3</f>
        <v>24055.5</v>
      </c>
      <c r="G10" s="28"/>
      <c r="H10" s="28"/>
      <c r="I10" s="28"/>
      <c r="J10" s="38"/>
      <c r="K10" s="28"/>
      <c r="L10" s="28"/>
      <c r="M10" s="39"/>
      <c r="N10" s="28"/>
      <c r="O10" s="28"/>
      <c r="P10" s="28"/>
      <c r="Q10" s="28"/>
      <c r="R10" s="47"/>
      <c r="S10" s="28"/>
      <c r="T10" s="28"/>
      <c r="U10" s="28"/>
      <c r="V10" s="28"/>
      <c r="W10" s="28"/>
      <c r="X10" s="28"/>
      <c r="Y10" s="28"/>
      <c r="Z10" s="28"/>
    </row>
    <row r="11" ht="14.25" customHeight="1">
      <c r="A11" s="28"/>
      <c r="B11" s="38" t="s">
        <v>43</v>
      </c>
      <c r="C11" s="58">
        <f>Feuil2!C4</f>
        <v>3120</v>
      </c>
      <c r="D11" s="49">
        <f>Feuil2!C4*Feuil2!$C$17</f>
        <v>48360</v>
      </c>
      <c r="E11" s="59">
        <f>Feuil2!E4</f>
        <v>23591</v>
      </c>
      <c r="F11" s="60">
        <f>Feuil2!F4</f>
        <v>13572</v>
      </c>
      <c r="G11" s="28"/>
      <c r="H11" s="28"/>
      <c r="I11" s="28"/>
      <c r="J11" s="61"/>
      <c r="K11" s="62" t="s">
        <v>44</v>
      </c>
      <c r="L11" s="15"/>
      <c r="M11" s="63"/>
      <c r="N11" s="28"/>
      <c r="O11" s="28"/>
      <c r="P11" s="28"/>
      <c r="Q11" s="28"/>
      <c r="R11" s="47"/>
      <c r="S11" s="28"/>
      <c r="T11" s="28"/>
      <c r="U11" s="28"/>
      <c r="V11" s="28"/>
      <c r="W11" s="28"/>
      <c r="X11" s="28"/>
      <c r="Y11" s="28"/>
      <c r="Z11" s="28"/>
    </row>
    <row r="12" ht="14.25" customHeight="1">
      <c r="A12" s="28"/>
      <c r="B12" s="38" t="s">
        <v>45</v>
      </c>
      <c r="C12" s="58">
        <f>Feuil2!C5</f>
        <v>5390</v>
      </c>
      <c r="D12" s="49">
        <f>Feuil2!C5*Feuil2!$C$17</f>
        <v>83545</v>
      </c>
      <c r="E12" s="59">
        <f>Feuil2!E5</f>
        <v>36643.5</v>
      </c>
      <c r="F12" s="60">
        <f>Feuil2!F5</f>
        <v>23446.5</v>
      </c>
      <c r="G12" s="28"/>
      <c r="H12" s="28"/>
      <c r="I12" s="28"/>
      <c r="J12" s="28"/>
      <c r="K12" s="28"/>
      <c r="L12" s="28"/>
      <c r="M12" s="28"/>
      <c r="N12" s="28"/>
      <c r="O12" s="28"/>
      <c r="P12" s="28"/>
      <c r="Q12" s="28"/>
      <c r="R12" s="28"/>
      <c r="S12" s="28"/>
      <c r="T12" s="28"/>
      <c r="U12" s="28"/>
      <c r="V12" s="28"/>
      <c r="W12" s="28"/>
      <c r="X12" s="28"/>
      <c r="Y12" s="28"/>
      <c r="Z12" s="28"/>
    </row>
    <row r="13" ht="14.25" customHeight="1">
      <c r="A13" s="28"/>
      <c r="B13" s="38" t="s">
        <v>46</v>
      </c>
      <c r="C13" s="58">
        <f>Feuil2!C6</f>
        <v>4460</v>
      </c>
      <c r="D13" s="49">
        <f>Feuil2!C6*Feuil2!$C$17</f>
        <v>69130</v>
      </c>
      <c r="E13" s="59">
        <f>Feuil2!E6</f>
        <v>31296</v>
      </c>
      <c r="F13" s="60">
        <f>Feuil2!F6</f>
        <v>19401</v>
      </c>
      <c r="G13" s="28"/>
      <c r="H13" s="28"/>
      <c r="I13" s="28"/>
      <c r="J13" s="64" t="s">
        <v>47</v>
      </c>
      <c r="K13" s="43"/>
      <c r="L13" s="43"/>
      <c r="M13" s="43"/>
      <c r="N13" s="43"/>
      <c r="O13" s="43"/>
      <c r="P13" s="43"/>
      <c r="Q13" s="44"/>
      <c r="R13" s="28"/>
      <c r="S13" s="28"/>
      <c r="T13" s="28"/>
      <c r="U13" s="28"/>
      <c r="V13" s="28"/>
      <c r="W13" s="28"/>
      <c r="X13" s="28"/>
      <c r="Y13" s="28"/>
      <c r="Z13" s="28"/>
    </row>
    <row r="14" ht="14.25" customHeight="1">
      <c r="A14" s="28"/>
      <c r="B14" s="38" t="s">
        <v>48</v>
      </c>
      <c r="C14" s="58">
        <f>Feuil2!C7</f>
        <v>3450</v>
      </c>
      <c r="D14" s="49">
        <f>Feuil2!C7*Feuil2!$C$17</f>
        <v>53475</v>
      </c>
      <c r="E14" s="59">
        <f>Feuil2!E7</f>
        <v>25488.5</v>
      </c>
      <c r="F14" s="60">
        <f>Feuil2!F7</f>
        <v>15007.5</v>
      </c>
      <c r="G14" s="28"/>
      <c r="H14" s="28"/>
      <c r="I14" s="28"/>
      <c r="J14" s="38"/>
      <c r="K14" s="28"/>
      <c r="L14" s="28"/>
      <c r="M14" s="28"/>
      <c r="N14" s="28"/>
      <c r="O14" s="28"/>
      <c r="P14" s="28"/>
      <c r="Q14" s="39"/>
      <c r="R14" s="28"/>
      <c r="S14" s="28"/>
      <c r="T14" s="28"/>
      <c r="U14" s="28"/>
      <c r="V14" s="28"/>
      <c r="W14" s="28"/>
      <c r="X14" s="28"/>
      <c r="Y14" s="28"/>
      <c r="Z14" s="28"/>
    </row>
    <row r="15" ht="14.25" customHeight="1">
      <c r="A15" s="28"/>
      <c r="B15" s="38" t="s">
        <v>51</v>
      </c>
      <c r="C15" s="58">
        <f>Feuil2!C8</f>
        <v>4120</v>
      </c>
      <c r="D15" s="49">
        <f>Feuil2!C8*Feuil2!$C$17</f>
        <v>63860</v>
      </c>
      <c r="E15" s="59">
        <f>Feuil2!E8</f>
        <v>29341</v>
      </c>
      <c r="F15" s="60">
        <f>Feuil2!F8</f>
        <v>17922</v>
      </c>
      <c r="G15" s="28"/>
      <c r="H15" s="28"/>
      <c r="I15" s="28"/>
      <c r="J15" s="38"/>
      <c r="K15" s="28"/>
      <c r="L15" s="28"/>
      <c r="M15" s="28"/>
      <c r="N15" s="28"/>
      <c r="O15" s="28"/>
      <c r="P15" s="28"/>
      <c r="Q15" s="39"/>
      <c r="R15" s="28"/>
      <c r="S15" s="28"/>
      <c r="T15" s="28"/>
      <c r="U15" s="28"/>
      <c r="V15" s="28"/>
      <c r="W15" s="28"/>
      <c r="X15" s="28"/>
      <c r="Y15" s="28"/>
      <c r="Z15" s="28"/>
    </row>
    <row r="16" ht="14.25" customHeight="1">
      <c r="A16" s="28"/>
      <c r="B16" s="38" t="s">
        <v>57</v>
      </c>
      <c r="C16" s="58">
        <f>Feuil2!C9</f>
        <v>4060</v>
      </c>
      <c r="D16" s="49">
        <f>Feuil2!C9*Feuil2!$C$17</f>
        <v>62930</v>
      </c>
      <c r="E16" s="59">
        <f>Feuil2!E9</f>
        <v>28996</v>
      </c>
      <c r="F16" s="60">
        <f>Feuil2!F9</f>
        <v>17661</v>
      </c>
      <c r="G16" s="28"/>
      <c r="H16" s="28"/>
      <c r="I16" s="28"/>
      <c r="J16" s="38"/>
      <c r="K16" s="28"/>
      <c r="L16" s="28"/>
      <c r="M16" s="28"/>
      <c r="N16" s="28"/>
      <c r="O16" s="28"/>
      <c r="P16" s="28"/>
      <c r="Q16" s="39"/>
      <c r="R16" s="28"/>
      <c r="S16" s="28"/>
      <c r="T16" s="28"/>
      <c r="U16" s="28"/>
      <c r="V16" s="28"/>
      <c r="W16" s="28"/>
      <c r="X16" s="28"/>
      <c r="Y16" s="28"/>
      <c r="Z16" s="28"/>
    </row>
    <row r="17" ht="14.25" customHeight="1">
      <c r="A17" s="28"/>
      <c r="B17" s="38" t="s">
        <v>58</v>
      </c>
      <c r="C17" s="58">
        <f>Feuil2!C10</f>
        <v>3210</v>
      </c>
      <c r="D17" s="49">
        <f>Feuil2!C10*Feuil2!$C$17</f>
        <v>49755</v>
      </c>
      <c r="E17" s="59">
        <f>Feuil2!E10</f>
        <v>24108.5</v>
      </c>
      <c r="F17" s="60">
        <f>Feuil2!F10</f>
        <v>13963.5</v>
      </c>
      <c r="G17" s="28"/>
      <c r="H17" s="28"/>
      <c r="I17" s="28"/>
      <c r="J17" s="38"/>
      <c r="K17" s="28"/>
      <c r="L17" s="28"/>
      <c r="M17" s="28"/>
      <c r="N17" s="28"/>
      <c r="O17" s="28"/>
      <c r="P17" s="28"/>
      <c r="Q17" s="39"/>
      <c r="R17" s="28"/>
      <c r="S17" s="28"/>
      <c r="T17" s="28"/>
      <c r="U17" s="28"/>
      <c r="V17" s="28"/>
      <c r="W17" s="28"/>
      <c r="X17" s="28"/>
      <c r="Y17" s="28"/>
      <c r="Z17" s="28"/>
    </row>
    <row r="18" ht="14.25" customHeight="1">
      <c r="A18" s="28"/>
      <c r="B18" s="38" t="s">
        <v>59</v>
      </c>
      <c r="C18" s="58">
        <f>Feuil2!C11</f>
        <v>3850</v>
      </c>
      <c r="D18" s="49">
        <f>Feuil2!C11*Feuil2!$C$17</f>
        <v>59675</v>
      </c>
      <c r="E18" s="59">
        <f>Feuil2!E11</f>
        <v>27788.5</v>
      </c>
      <c r="F18" s="60">
        <f>Feuil2!F11</f>
        <v>16747.5</v>
      </c>
      <c r="G18" s="28"/>
      <c r="H18" s="28"/>
      <c r="I18" s="28"/>
      <c r="J18" s="38"/>
      <c r="K18" s="28"/>
      <c r="L18" s="28"/>
      <c r="M18" s="28"/>
      <c r="N18" s="28"/>
      <c r="O18" s="28"/>
      <c r="P18" s="28"/>
      <c r="Q18" s="39"/>
      <c r="R18" s="28"/>
      <c r="S18" s="28"/>
      <c r="T18" s="28"/>
      <c r="U18" s="28"/>
      <c r="V18" s="28"/>
      <c r="W18" s="28"/>
      <c r="X18" s="28"/>
      <c r="Y18" s="28"/>
      <c r="Z18" s="28"/>
    </row>
    <row r="19" ht="14.25" customHeight="1">
      <c r="A19" s="28"/>
      <c r="B19" s="38" t="s">
        <v>60</v>
      </c>
      <c r="C19" s="58">
        <f>Feuil2!C12</f>
        <v>4520</v>
      </c>
      <c r="D19" s="49">
        <f>Feuil2!C12*Feuil2!$C$17</f>
        <v>70060</v>
      </c>
      <c r="E19" s="59">
        <f>Feuil2!E12</f>
        <v>31641</v>
      </c>
      <c r="F19" s="60">
        <f>Feuil2!F12</f>
        <v>19662</v>
      </c>
      <c r="G19" s="28"/>
      <c r="H19" s="28"/>
      <c r="I19" s="28"/>
      <c r="J19" s="38"/>
      <c r="K19" s="28"/>
      <c r="L19" s="28"/>
      <c r="M19" s="28"/>
      <c r="N19" s="28"/>
      <c r="O19" s="28"/>
      <c r="P19" s="28"/>
      <c r="Q19" s="39"/>
      <c r="R19" s="28"/>
      <c r="S19" s="28"/>
      <c r="T19" s="28"/>
      <c r="U19" s="28"/>
      <c r="V19" s="28"/>
      <c r="W19" s="28"/>
      <c r="X19" s="28"/>
      <c r="Y19" s="28"/>
      <c r="Z19" s="28"/>
    </row>
    <row r="20" ht="14.25" customHeight="1">
      <c r="A20" s="28"/>
      <c r="B20" s="38" t="s">
        <v>61</v>
      </c>
      <c r="C20" s="58">
        <f>Feuil2!C13</f>
        <v>4490</v>
      </c>
      <c r="D20" s="49">
        <f>Feuil2!C13*Feuil2!$C$17</f>
        <v>69595</v>
      </c>
      <c r="E20" s="59">
        <f>Feuil2!E13</f>
        <v>31468.5</v>
      </c>
      <c r="F20" s="60">
        <f>Feuil2!F13</f>
        <v>19531.5</v>
      </c>
      <c r="G20" s="28"/>
      <c r="H20" s="28"/>
      <c r="I20" s="28"/>
      <c r="J20" s="38"/>
      <c r="K20" s="28"/>
      <c r="L20" s="28"/>
      <c r="M20" s="28"/>
      <c r="N20" s="28"/>
      <c r="O20" s="28"/>
      <c r="P20" s="28"/>
      <c r="Q20" s="39"/>
      <c r="R20" s="28"/>
      <c r="S20" s="28"/>
      <c r="T20" s="28"/>
      <c r="U20" s="28"/>
      <c r="V20" s="28"/>
      <c r="W20" s="28"/>
      <c r="X20" s="28"/>
      <c r="Y20" s="28"/>
      <c r="Z20" s="28"/>
    </row>
    <row r="21" ht="14.25" customHeight="1">
      <c r="A21" s="28"/>
      <c r="B21" s="61" t="s">
        <v>62</v>
      </c>
      <c r="C21" s="66">
        <f>Feuil2!C14</f>
        <v>3270</v>
      </c>
      <c r="D21" s="67">
        <f>Feuil2!C14*Feuil2!$C$17</f>
        <v>50685</v>
      </c>
      <c r="E21" s="68">
        <f>Feuil2!E14</f>
        <v>24453.5</v>
      </c>
      <c r="F21" s="69">
        <f>Feuil2!F14</f>
        <v>14224.5</v>
      </c>
      <c r="G21" s="28"/>
      <c r="H21" s="28"/>
      <c r="I21" s="28"/>
      <c r="J21" s="38"/>
      <c r="K21" s="28"/>
      <c r="L21" s="28"/>
      <c r="M21" s="28"/>
      <c r="N21" s="28"/>
      <c r="O21" s="28"/>
      <c r="P21" s="28"/>
      <c r="Q21" s="39"/>
      <c r="R21" s="28"/>
      <c r="S21" s="28"/>
      <c r="T21" s="28"/>
      <c r="U21" s="28"/>
      <c r="V21" s="28"/>
      <c r="W21" s="28"/>
      <c r="X21" s="28"/>
      <c r="Y21" s="28"/>
      <c r="Z21" s="28"/>
    </row>
    <row r="22" ht="14.25" customHeight="1">
      <c r="A22" s="28"/>
      <c r="B22" s="28"/>
      <c r="C22" s="28"/>
      <c r="D22" s="70"/>
      <c r="E22" s="70"/>
      <c r="F22" s="28"/>
      <c r="G22" s="28"/>
      <c r="H22" s="28"/>
      <c r="I22" s="28"/>
      <c r="J22" s="65"/>
      <c r="K22" s="28"/>
      <c r="L22" s="28"/>
      <c r="M22" s="28"/>
      <c r="N22" s="28"/>
      <c r="O22" s="28"/>
      <c r="P22" s="28"/>
      <c r="Q22" s="39"/>
      <c r="R22" s="28"/>
      <c r="S22" s="28"/>
      <c r="T22" s="28"/>
      <c r="U22" s="28"/>
      <c r="V22" s="28"/>
      <c r="W22" s="28"/>
      <c r="X22" s="28"/>
      <c r="Y22" s="28"/>
      <c r="Z22" s="28"/>
    </row>
    <row r="23" ht="14.25" customHeight="1">
      <c r="A23" s="28"/>
      <c r="B23" s="71" t="str">
        <f>"En moyenne, chaque unité vendue a rapporté un bénéfice de "&amp;TEXT(Feuil2!C22,"####,00 $")&amp;"."</f>
        <v>En moyenne, chaque unité vendue a rapporté un bénéfice de 02 $.</v>
      </c>
      <c r="G23" s="28"/>
      <c r="H23" s="28"/>
      <c r="I23" s="28"/>
      <c r="J23" s="38"/>
      <c r="K23" s="28"/>
      <c r="L23" s="28"/>
      <c r="M23" s="28"/>
      <c r="N23" s="28"/>
      <c r="O23" s="28"/>
      <c r="P23" s="28"/>
      <c r="Q23" s="39"/>
      <c r="R23" s="28"/>
      <c r="S23" s="28"/>
      <c r="T23" s="28"/>
      <c r="U23" s="28"/>
      <c r="V23" s="28"/>
      <c r="W23" s="28"/>
      <c r="X23" s="28"/>
      <c r="Y23" s="28"/>
      <c r="Z23" s="28"/>
    </row>
    <row r="24" ht="14.25" customHeight="1">
      <c r="A24" s="28"/>
      <c r="B24" s="71" t="str">
        <f>"L'usine peut produire au maximum "&amp;TEXT(Feuil2!C23,"## ###")&amp;" unités par mois."</f>
        <v>L'usine peut produire au maximum 5 800 unités par mois.</v>
      </c>
      <c r="G24" s="28"/>
      <c r="H24" s="28"/>
      <c r="I24" s="28"/>
      <c r="J24" s="38"/>
      <c r="K24" s="28"/>
      <c r="L24" s="28"/>
      <c r="M24" s="28"/>
      <c r="N24" s="28"/>
      <c r="O24" s="28"/>
      <c r="P24" s="28"/>
      <c r="Q24" s="39"/>
      <c r="R24" s="28"/>
      <c r="S24" s="28"/>
      <c r="T24" s="28"/>
      <c r="U24" s="28"/>
      <c r="V24" s="28"/>
      <c r="W24" s="28"/>
      <c r="X24" s="28"/>
      <c r="Y24" s="28"/>
      <c r="Z24" s="28"/>
    </row>
    <row r="25" ht="14.25" customHeight="1">
      <c r="A25" s="28"/>
      <c r="B25" s="28"/>
      <c r="C25" s="28"/>
      <c r="D25" s="28"/>
      <c r="E25" s="28"/>
      <c r="F25" s="28"/>
      <c r="G25" s="28"/>
      <c r="H25" s="28"/>
      <c r="I25" s="28"/>
      <c r="J25" s="38"/>
      <c r="K25" s="28"/>
      <c r="L25" s="28"/>
      <c r="M25" s="28"/>
      <c r="N25" s="28"/>
      <c r="O25" s="28"/>
      <c r="P25" s="28"/>
      <c r="Q25" s="39"/>
      <c r="R25" s="28"/>
      <c r="S25" s="28"/>
      <c r="T25" s="28"/>
      <c r="U25" s="28"/>
      <c r="V25" s="28"/>
      <c r="W25" s="28"/>
      <c r="X25" s="28"/>
      <c r="Y25" s="28"/>
      <c r="Z25" s="28"/>
    </row>
    <row r="26" ht="14.25" customHeight="1">
      <c r="A26" s="72" t="s">
        <v>28</v>
      </c>
      <c r="I26" s="28"/>
      <c r="J26" s="38"/>
      <c r="K26" s="28"/>
      <c r="L26" s="28"/>
      <c r="M26" s="28"/>
      <c r="N26" s="28"/>
      <c r="O26" s="28"/>
      <c r="P26" s="28"/>
      <c r="Q26" s="39"/>
      <c r="R26" s="28"/>
      <c r="S26" s="28"/>
      <c r="T26" s="28"/>
      <c r="U26" s="28"/>
      <c r="V26" s="28"/>
      <c r="W26" s="28"/>
      <c r="X26" s="28"/>
      <c r="Y26" s="28"/>
      <c r="Z26" s="28"/>
    </row>
    <row r="27" ht="14.25" customHeight="1">
      <c r="A27" s="72"/>
      <c r="B27" s="28"/>
      <c r="C27" s="28"/>
      <c r="D27" s="28"/>
      <c r="E27" s="28"/>
      <c r="F27" s="28"/>
      <c r="G27" s="28"/>
      <c r="H27" s="28"/>
      <c r="I27" s="28"/>
      <c r="J27" s="38"/>
      <c r="K27" s="28"/>
      <c r="L27" s="28"/>
      <c r="M27" s="28"/>
      <c r="N27" s="28"/>
      <c r="O27" s="28"/>
      <c r="P27" s="28"/>
      <c r="Q27" s="39"/>
      <c r="R27" s="28"/>
      <c r="S27" s="28"/>
      <c r="T27" s="28"/>
      <c r="U27" s="28"/>
      <c r="V27" s="28"/>
      <c r="W27" s="28"/>
      <c r="X27" s="28"/>
      <c r="Y27" s="28"/>
      <c r="Z27" s="28"/>
    </row>
    <row r="28" ht="14.25" customHeight="1">
      <c r="A28" s="71" t="s">
        <v>65</v>
      </c>
      <c r="I28" s="28"/>
      <c r="J28" s="38"/>
      <c r="K28" s="28"/>
      <c r="L28" s="28"/>
      <c r="M28" s="28"/>
      <c r="N28" s="28"/>
      <c r="O28" s="28"/>
      <c r="P28" s="28"/>
      <c r="Q28" s="39"/>
      <c r="R28" s="28"/>
      <c r="S28" s="28"/>
      <c r="T28" s="28"/>
      <c r="U28" s="28"/>
      <c r="V28" s="28"/>
      <c r="W28" s="28"/>
      <c r="X28" s="28"/>
      <c r="Y28" s="28"/>
      <c r="Z28" s="28"/>
    </row>
    <row r="29" ht="15.75" customHeight="1">
      <c r="A29" s="73" t="s">
        <v>67</v>
      </c>
      <c r="I29" s="28"/>
      <c r="J29" s="38"/>
      <c r="K29" s="28"/>
      <c r="L29" s="28"/>
      <c r="M29" s="28"/>
      <c r="N29" s="28"/>
      <c r="O29" s="28"/>
      <c r="P29" s="28"/>
      <c r="Q29" s="39"/>
      <c r="R29" s="28"/>
      <c r="S29" s="28"/>
      <c r="T29" s="28"/>
      <c r="U29" s="28"/>
      <c r="V29" s="28"/>
      <c r="W29" s="28"/>
      <c r="X29" s="28"/>
      <c r="Y29" s="28"/>
      <c r="Z29" s="28"/>
    </row>
    <row r="30" ht="15.75" customHeight="1">
      <c r="A30" s="73" t="s">
        <v>68</v>
      </c>
      <c r="I30" s="28"/>
      <c r="J30" s="38"/>
      <c r="K30" s="28"/>
      <c r="L30" s="28"/>
      <c r="M30" s="28"/>
      <c r="N30" s="28"/>
      <c r="O30" s="28"/>
      <c r="P30" s="28"/>
      <c r="Q30" s="39"/>
      <c r="R30" s="28"/>
      <c r="S30" s="28"/>
      <c r="T30" s="28"/>
      <c r="U30" s="28"/>
      <c r="V30" s="28"/>
      <c r="W30" s="28"/>
      <c r="X30" s="28"/>
      <c r="Y30" s="28"/>
      <c r="Z30" s="28"/>
    </row>
    <row r="31" ht="15.75" customHeight="1">
      <c r="A31" s="74" t="s">
        <v>69</v>
      </c>
      <c r="I31" s="28"/>
      <c r="J31" s="75" t="s">
        <v>70</v>
      </c>
      <c r="K31" s="76"/>
      <c r="L31" s="62" t="s">
        <v>71</v>
      </c>
      <c r="M31" s="77"/>
      <c r="N31" s="78"/>
      <c r="O31" s="78"/>
      <c r="P31" s="78"/>
      <c r="Q31" s="79"/>
      <c r="R31" s="28"/>
      <c r="S31" s="28"/>
      <c r="T31" s="28"/>
      <c r="U31" s="28"/>
      <c r="V31" s="28"/>
      <c r="W31" s="28"/>
      <c r="X31" s="28"/>
      <c r="Y31" s="28"/>
      <c r="Z31" s="28"/>
    </row>
    <row r="32" ht="15.75" customHeight="1">
      <c r="A32" s="74"/>
      <c r="B32" s="74"/>
      <c r="C32" s="74"/>
      <c r="D32" s="74"/>
      <c r="E32" s="74"/>
      <c r="F32" s="74"/>
      <c r="G32" s="74"/>
      <c r="H32" s="74"/>
      <c r="I32" s="28"/>
      <c r="J32" s="28"/>
      <c r="K32" s="28"/>
      <c r="L32" s="28"/>
      <c r="M32" s="28"/>
      <c r="N32" s="28"/>
      <c r="O32" s="28"/>
      <c r="P32" s="28"/>
      <c r="Q32" s="28"/>
      <c r="R32" s="28"/>
      <c r="S32" s="28"/>
      <c r="T32" s="28"/>
      <c r="U32" s="28"/>
      <c r="V32" s="28"/>
      <c r="W32" s="28"/>
      <c r="X32" s="28"/>
      <c r="Y32" s="28"/>
      <c r="Z32" s="28"/>
    </row>
    <row r="33" ht="15.75" customHeight="1">
      <c r="A33" s="74" t="s">
        <v>72</v>
      </c>
      <c r="I33" s="28"/>
      <c r="J33" s="64" t="s">
        <v>73</v>
      </c>
      <c r="K33" s="43"/>
      <c r="L33" s="43"/>
      <c r="M33" s="44"/>
      <c r="N33" s="80" t="s">
        <v>74</v>
      </c>
      <c r="O33" s="81"/>
      <c r="P33" s="81"/>
      <c r="Q33" s="82"/>
      <c r="R33" s="28"/>
      <c r="S33" s="28"/>
      <c r="T33" s="28"/>
      <c r="U33" s="28"/>
      <c r="V33" s="28"/>
      <c r="W33" s="28"/>
      <c r="X33" s="28"/>
      <c r="Y33" s="28"/>
      <c r="Z33" s="28"/>
    </row>
    <row r="34" ht="15.75" customHeight="1">
      <c r="A34" s="74" t="s">
        <v>75</v>
      </c>
      <c r="I34" s="28"/>
      <c r="J34" s="38"/>
      <c r="K34" s="28"/>
      <c r="L34" s="28"/>
      <c r="M34" s="39"/>
      <c r="N34" s="83"/>
      <c r="O34" s="85"/>
      <c r="P34" s="85"/>
      <c r="Q34" s="86"/>
      <c r="R34" s="28"/>
      <c r="S34" s="28"/>
      <c r="T34" s="28"/>
      <c r="U34" s="28"/>
      <c r="V34" s="28"/>
      <c r="W34" s="28"/>
      <c r="X34" s="28"/>
      <c r="Y34" s="28"/>
      <c r="Z34" s="28"/>
    </row>
    <row r="35" ht="15.75" customHeight="1">
      <c r="A35" s="74" t="s">
        <v>79</v>
      </c>
      <c r="I35" s="28"/>
      <c r="J35" s="38"/>
      <c r="K35" s="28"/>
      <c r="L35" s="28"/>
      <c r="M35" s="39"/>
      <c r="N35" s="38"/>
      <c r="O35" s="28"/>
      <c r="P35" s="28"/>
      <c r="Q35" s="39"/>
      <c r="R35" s="28"/>
      <c r="S35" s="28"/>
      <c r="T35" s="28"/>
      <c r="U35" s="28"/>
      <c r="V35" s="28"/>
      <c r="W35" s="28"/>
      <c r="X35" s="28"/>
      <c r="Y35" s="28"/>
      <c r="Z35" s="28"/>
    </row>
    <row r="36" ht="15.75" customHeight="1">
      <c r="A36" s="74" t="s">
        <v>81</v>
      </c>
      <c r="I36" s="28"/>
      <c r="J36" s="38"/>
      <c r="K36" s="28"/>
      <c r="L36" s="28"/>
      <c r="M36" s="39"/>
      <c r="N36" s="38"/>
      <c r="O36" s="28"/>
      <c r="P36" s="28"/>
      <c r="Q36" s="39"/>
      <c r="R36" s="28"/>
      <c r="S36" s="28"/>
      <c r="T36" s="28"/>
      <c r="U36" s="28"/>
      <c r="V36" s="28"/>
      <c r="W36" s="28"/>
      <c r="X36" s="28"/>
      <c r="Y36" s="28"/>
      <c r="Z36" s="28"/>
    </row>
    <row r="37" ht="15.75" customHeight="1">
      <c r="A37" s="74" t="str">
        <f>"1.8) À quel prix devrait-elle vendre son produit pour avoir un profit net de "&amp;TEXT(Feuil2!C24,"## ### $")&amp;" par année ?"</f>
        <v>1.8) À quel prix devrait-elle vendre son produit pour avoir un profit net de 750 000 $ par année ?</v>
      </c>
      <c r="I37" s="28"/>
      <c r="J37" s="38"/>
      <c r="K37" s="28"/>
      <c r="L37" s="28"/>
      <c r="M37" s="39"/>
      <c r="N37" s="38"/>
      <c r="O37" s="28"/>
      <c r="P37" s="28"/>
      <c r="Q37" s="39"/>
      <c r="R37" s="28"/>
      <c r="S37" s="28"/>
      <c r="T37" s="28"/>
      <c r="U37" s="28"/>
      <c r="V37" s="28"/>
      <c r="W37" s="28"/>
      <c r="X37" s="28"/>
      <c r="Y37" s="28"/>
      <c r="Z37" s="28"/>
    </row>
    <row r="38" ht="15.75" customHeight="1">
      <c r="A38" s="87"/>
      <c r="B38" s="87"/>
      <c r="C38" s="87"/>
      <c r="D38" s="87"/>
      <c r="E38" s="87"/>
      <c r="F38" s="87"/>
      <c r="G38" s="87"/>
      <c r="H38" s="87"/>
      <c r="I38" s="28"/>
      <c r="J38" s="38"/>
      <c r="K38" s="28"/>
      <c r="L38" s="28"/>
      <c r="M38" s="39"/>
      <c r="N38" s="38"/>
      <c r="O38" s="28"/>
      <c r="P38" s="28"/>
      <c r="Q38" s="39"/>
      <c r="R38" s="28"/>
      <c r="S38" s="28"/>
      <c r="T38" s="28"/>
      <c r="U38" s="28"/>
      <c r="V38" s="28"/>
      <c r="W38" s="28"/>
      <c r="X38" s="28"/>
      <c r="Y38" s="28"/>
      <c r="Z38" s="28"/>
    </row>
    <row r="39" ht="15.75" customHeight="1">
      <c r="A39" s="72" t="s">
        <v>87</v>
      </c>
      <c r="I39" s="28"/>
      <c r="J39" s="61"/>
      <c r="K39" s="78"/>
      <c r="L39" s="62" t="s">
        <v>88</v>
      </c>
      <c r="M39" s="76"/>
      <c r="N39" s="38"/>
      <c r="O39" s="28"/>
      <c r="P39" s="28"/>
      <c r="Q39" s="39"/>
      <c r="R39" s="28"/>
      <c r="S39" s="28"/>
      <c r="T39" s="28"/>
      <c r="U39" s="28"/>
      <c r="V39" s="28"/>
      <c r="W39" s="28"/>
      <c r="X39" s="28"/>
      <c r="Y39" s="28"/>
      <c r="Z39" s="28"/>
    </row>
    <row r="40" ht="15.75" customHeight="1">
      <c r="A40" s="88" t="s">
        <v>89</v>
      </c>
      <c r="I40" s="28"/>
      <c r="J40" s="28"/>
      <c r="K40" s="28"/>
      <c r="L40" s="28"/>
      <c r="M40" s="28"/>
      <c r="N40" s="38"/>
      <c r="O40" s="28"/>
      <c r="P40" s="28"/>
      <c r="Q40" s="39"/>
      <c r="R40" s="28"/>
      <c r="S40" s="28"/>
      <c r="T40" s="28"/>
      <c r="U40" s="28"/>
      <c r="V40" s="28"/>
      <c r="W40" s="28"/>
      <c r="X40" s="28"/>
      <c r="Y40" s="28"/>
      <c r="Z40" s="28"/>
    </row>
    <row r="41" ht="15.75" customHeight="1">
      <c r="I41" s="28"/>
      <c r="J41" s="28"/>
      <c r="K41" s="28"/>
      <c r="L41" s="28"/>
      <c r="M41" s="28"/>
      <c r="N41" s="61" t="s">
        <v>91</v>
      </c>
      <c r="O41" s="77"/>
      <c r="P41" s="78"/>
      <c r="Q41" s="79"/>
      <c r="R41" s="28"/>
      <c r="S41" s="28"/>
      <c r="T41" s="28"/>
      <c r="U41" s="28"/>
      <c r="V41" s="28"/>
      <c r="W41" s="28"/>
      <c r="X41" s="28"/>
      <c r="Y41" s="28"/>
      <c r="Z41" s="28"/>
    </row>
    <row r="42" ht="15.75" customHeight="1">
      <c r="I42" s="28"/>
      <c r="J42" s="28"/>
      <c r="K42" s="28"/>
      <c r="L42" s="28"/>
      <c r="M42" s="28"/>
      <c r="N42" s="28"/>
      <c r="O42" s="28"/>
      <c r="P42" s="28"/>
      <c r="Q42" s="28"/>
      <c r="R42" s="28"/>
      <c r="S42" s="28"/>
      <c r="T42" s="28"/>
      <c r="U42" s="28"/>
      <c r="V42" s="28"/>
      <c r="W42" s="28"/>
      <c r="X42" s="28"/>
      <c r="Y42" s="28"/>
      <c r="Z42" s="28"/>
    </row>
    <row r="43" ht="15.75" customHeight="1">
      <c r="A43" s="88" t="str">
        <f>"Pour effectuer l’achat de ce nouvel équipement, la compagnie devra utiliser des placements lui rapportant du "&amp;TEXT(Feuil2!E44,"##%")&amp;" d'intérêts annuellement."</f>
        <v>Pour effectuer l’achat de ce nouvel équipement, la compagnie devra utiliser des placements lui rapportant du 9% d'intérêts annuellement.</v>
      </c>
      <c r="I43" s="28"/>
      <c r="J43" s="64" t="s">
        <v>93</v>
      </c>
      <c r="K43" s="44"/>
      <c r="L43" s="89" t="s">
        <v>94</v>
      </c>
      <c r="M43" s="44"/>
      <c r="N43" s="64" t="s">
        <v>95</v>
      </c>
      <c r="O43" s="44"/>
      <c r="P43" s="64" t="s">
        <v>96</v>
      </c>
      <c r="Q43" s="44"/>
      <c r="R43" s="28"/>
      <c r="S43" s="28"/>
      <c r="T43" s="28"/>
      <c r="U43" s="28"/>
      <c r="V43" s="28"/>
      <c r="W43" s="28"/>
      <c r="X43" s="28"/>
      <c r="Y43" s="28"/>
      <c r="Z43" s="28"/>
    </row>
    <row r="44" ht="15.75" customHeight="1">
      <c r="I44" s="28"/>
      <c r="J44" s="38"/>
      <c r="K44" s="39"/>
      <c r="L44" s="28"/>
      <c r="M44" s="39"/>
      <c r="N44" s="38"/>
      <c r="O44" s="39"/>
      <c r="P44" s="38"/>
      <c r="Q44" s="39"/>
      <c r="R44" s="28"/>
      <c r="S44" s="28"/>
      <c r="T44" s="28"/>
      <c r="U44" s="28"/>
      <c r="V44" s="28"/>
      <c r="W44" s="28"/>
      <c r="X44" s="28"/>
      <c r="Y44" s="28"/>
      <c r="Z44" s="28"/>
    </row>
    <row r="45" ht="15.75" customHeight="1">
      <c r="A45" s="92" t="s">
        <v>102</v>
      </c>
      <c r="I45" s="28"/>
      <c r="J45" s="38"/>
      <c r="K45" s="39"/>
      <c r="L45" s="28"/>
      <c r="M45" s="39"/>
      <c r="N45" s="38"/>
      <c r="O45" s="39"/>
      <c r="P45" s="38"/>
      <c r="Q45" s="39"/>
      <c r="R45" s="28"/>
      <c r="S45" s="28"/>
      <c r="T45" s="28"/>
      <c r="U45" s="28"/>
      <c r="V45" s="28"/>
      <c r="W45" s="28"/>
      <c r="X45" s="28"/>
      <c r="Y45" s="28"/>
      <c r="Z45" s="28"/>
    </row>
    <row r="46" ht="15.75" customHeight="1">
      <c r="A46" s="48"/>
      <c r="B46" s="28"/>
      <c r="C46" s="28"/>
      <c r="D46" s="28"/>
      <c r="E46" s="28"/>
      <c r="F46" s="28"/>
      <c r="G46" s="28"/>
      <c r="H46" s="28"/>
      <c r="I46" s="28"/>
      <c r="J46" s="38"/>
      <c r="K46" s="39"/>
      <c r="L46" s="28"/>
      <c r="M46" s="39"/>
      <c r="N46" s="38"/>
      <c r="O46" s="39"/>
      <c r="P46" s="38"/>
      <c r="Q46" s="39"/>
      <c r="R46" s="28"/>
      <c r="S46" s="28"/>
      <c r="T46" s="28"/>
      <c r="U46" s="28"/>
      <c r="V46" s="28"/>
      <c r="W46" s="28"/>
      <c r="X46" s="28"/>
      <c r="Y46" s="28"/>
      <c r="Z46" s="28"/>
    </row>
    <row r="47" ht="15.75" customHeight="1">
      <c r="A47" s="72"/>
      <c r="B47" s="28"/>
      <c r="C47" s="93" t="s">
        <v>110</v>
      </c>
      <c r="D47" s="5"/>
      <c r="E47" s="5"/>
      <c r="F47" s="6"/>
      <c r="G47" s="28"/>
      <c r="H47" s="28"/>
      <c r="I47" s="28"/>
      <c r="J47" s="38"/>
      <c r="K47" s="39"/>
      <c r="L47" s="28"/>
      <c r="M47" s="39"/>
      <c r="N47" s="95" t="s">
        <v>112</v>
      </c>
      <c r="O47" s="96"/>
      <c r="P47" s="38"/>
      <c r="Q47" s="39"/>
      <c r="R47" s="28"/>
      <c r="S47" s="28"/>
      <c r="T47" s="28"/>
      <c r="U47" s="28"/>
      <c r="V47" s="28"/>
      <c r="W47" s="28"/>
      <c r="X47" s="28"/>
      <c r="Y47" s="28"/>
      <c r="Z47" s="28"/>
    </row>
    <row r="48" ht="15.75" customHeight="1">
      <c r="A48" s="72"/>
      <c r="B48" s="28"/>
      <c r="C48" s="7"/>
      <c r="F48" s="12"/>
      <c r="G48" s="28"/>
      <c r="H48" s="28"/>
      <c r="I48" s="28"/>
      <c r="J48" s="95" t="s">
        <v>114</v>
      </c>
      <c r="K48" s="97"/>
      <c r="L48" s="28" t="s">
        <v>115</v>
      </c>
      <c r="M48" s="98"/>
      <c r="N48" s="38"/>
      <c r="O48" s="39"/>
      <c r="P48" s="38"/>
      <c r="Q48" s="39"/>
      <c r="R48" s="28"/>
      <c r="S48" s="28"/>
      <c r="T48" s="28"/>
      <c r="U48" s="28"/>
      <c r="V48" s="28"/>
      <c r="W48" s="28"/>
      <c r="X48" s="28"/>
      <c r="Y48" s="28"/>
      <c r="Z48" s="28"/>
    </row>
    <row r="49" ht="15.75" customHeight="1">
      <c r="A49" s="72"/>
      <c r="B49" s="28"/>
      <c r="C49" s="13"/>
      <c r="D49" s="15"/>
      <c r="E49" s="15"/>
      <c r="F49" s="17"/>
      <c r="G49" s="28"/>
      <c r="H49" s="28"/>
      <c r="I49" s="28"/>
      <c r="J49" s="95" t="s">
        <v>118</v>
      </c>
      <c r="K49" s="100"/>
      <c r="L49" s="28"/>
      <c r="M49" s="39"/>
      <c r="N49" s="38"/>
      <c r="O49" s="39"/>
      <c r="P49" s="38"/>
      <c r="Q49" s="39"/>
      <c r="R49" s="28"/>
      <c r="S49" s="28"/>
      <c r="T49" s="28"/>
      <c r="U49" s="28"/>
      <c r="V49" s="28"/>
      <c r="W49" s="28"/>
      <c r="X49" s="28"/>
      <c r="Y49" s="28"/>
      <c r="Z49" s="28"/>
    </row>
    <row r="50" ht="15.75" customHeight="1">
      <c r="A50" s="72"/>
      <c r="B50" s="28"/>
      <c r="C50" s="102" t="s">
        <v>120</v>
      </c>
      <c r="D50" s="103"/>
      <c r="E50" s="103"/>
      <c r="F50" s="127">
        <f>Feuil2!E31</f>
        <v>13</v>
      </c>
      <c r="G50" s="28"/>
      <c r="H50" s="28"/>
      <c r="I50" s="28"/>
      <c r="J50" s="61"/>
      <c r="K50" s="79"/>
      <c r="L50" s="28"/>
      <c r="M50" s="39"/>
      <c r="N50" s="38"/>
      <c r="O50" s="39"/>
      <c r="P50" s="75" t="s">
        <v>121</v>
      </c>
      <c r="Q50" s="63"/>
      <c r="R50" s="28"/>
      <c r="S50" s="28"/>
      <c r="T50" s="28"/>
      <c r="U50" s="28"/>
      <c r="V50" s="28"/>
      <c r="W50" s="28"/>
      <c r="X50" s="28"/>
      <c r="Y50" s="28"/>
      <c r="Z50" s="28"/>
    </row>
    <row r="51" ht="15.75" customHeight="1">
      <c r="A51" s="72"/>
      <c r="B51" s="28"/>
      <c r="C51" s="106" t="s">
        <v>122</v>
      </c>
      <c r="D51" s="107"/>
      <c r="E51" s="107"/>
      <c r="F51" s="108">
        <f>Feuil2!E32</f>
        <v>4200</v>
      </c>
      <c r="G51" s="28"/>
      <c r="H51" s="28"/>
      <c r="I51" s="28"/>
      <c r="J51" s="28"/>
      <c r="K51" s="28"/>
      <c r="L51" s="38"/>
      <c r="M51" s="39"/>
      <c r="N51" s="95" t="s">
        <v>123</v>
      </c>
      <c r="O51" s="98"/>
      <c r="P51" s="28"/>
      <c r="Q51" s="28"/>
      <c r="R51" s="28"/>
      <c r="S51" s="28"/>
      <c r="T51" s="28"/>
      <c r="U51" s="28"/>
      <c r="V51" s="28"/>
      <c r="W51" s="28"/>
      <c r="X51" s="28"/>
      <c r="Y51" s="28"/>
      <c r="Z51" s="28"/>
    </row>
    <row r="52" ht="15.75" customHeight="1">
      <c r="A52" s="72"/>
      <c r="B52" s="28"/>
      <c r="C52" s="106" t="s">
        <v>124</v>
      </c>
      <c r="D52" s="107"/>
      <c r="E52" s="107"/>
      <c r="F52" s="104">
        <f>Feuil2!E33</f>
        <v>4.8</v>
      </c>
      <c r="G52" s="28"/>
      <c r="H52" s="28"/>
      <c r="I52" s="28"/>
      <c r="J52" s="28"/>
      <c r="K52" s="28"/>
      <c r="L52" s="61" t="s">
        <v>125</v>
      </c>
      <c r="M52" s="109"/>
      <c r="N52" s="38"/>
      <c r="O52" s="39"/>
      <c r="P52" s="28"/>
      <c r="Q52" s="28"/>
      <c r="R52" s="28"/>
      <c r="S52" s="28"/>
      <c r="T52" s="28"/>
      <c r="U52" s="28"/>
      <c r="V52" s="28"/>
      <c r="W52" s="28"/>
      <c r="X52" s="28"/>
      <c r="Y52" s="28"/>
      <c r="Z52" s="28"/>
    </row>
    <row r="53" ht="15.75" customHeight="1">
      <c r="A53" s="72"/>
      <c r="B53" s="28"/>
      <c r="C53" s="106" t="s">
        <v>126</v>
      </c>
      <c r="D53" s="107"/>
      <c r="E53" s="107"/>
      <c r="F53" s="108">
        <f>Feuil2!E34</f>
        <v>14700</v>
      </c>
      <c r="G53" s="28"/>
      <c r="H53" s="28"/>
      <c r="I53" s="28"/>
      <c r="J53" s="28"/>
      <c r="K53" s="28"/>
      <c r="L53" s="28"/>
      <c r="M53" s="28"/>
      <c r="N53" s="110"/>
      <c r="O53" s="39"/>
      <c r="P53" s="28"/>
      <c r="Q53" s="28"/>
      <c r="R53" s="28"/>
      <c r="S53" s="28"/>
      <c r="T53" s="28"/>
      <c r="U53" s="28"/>
      <c r="V53" s="28"/>
      <c r="W53" s="28"/>
      <c r="X53" s="28"/>
      <c r="Y53" s="28"/>
      <c r="Z53" s="28"/>
    </row>
    <row r="54" ht="15.75" customHeight="1">
      <c r="A54" s="72"/>
      <c r="B54" s="28"/>
      <c r="C54" s="106" t="s">
        <v>128</v>
      </c>
      <c r="D54" s="107"/>
      <c r="E54" s="107"/>
      <c r="F54" s="104">
        <f>Feuil2!E35</f>
        <v>4</v>
      </c>
      <c r="G54" s="28"/>
      <c r="H54" s="28"/>
      <c r="I54" s="28"/>
      <c r="J54" s="28"/>
      <c r="K54" s="28"/>
      <c r="L54" s="28"/>
      <c r="M54" s="28"/>
      <c r="N54" s="38"/>
      <c r="O54" s="39"/>
      <c r="P54" s="28"/>
      <c r="Q54" s="28"/>
      <c r="R54" s="28"/>
      <c r="S54" s="28"/>
      <c r="T54" s="28"/>
      <c r="U54" s="28"/>
      <c r="V54" s="28"/>
      <c r="W54" s="28"/>
      <c r="X54" s="28"/>
      <c r="Y54" s="28"/>
      <c r="Z54" s="28"/>
    </row>
    <row r="55" ht="15.75" customHeight="1">
      <c r="A55" s="72"/>
      <c r="B55" s="28"/>
      <c r="C55" s="106" t="s">
        <v>129</v>
      </c>
      <c r="D55" s="107"/>
      <c r="E55" s="107"/>
      <c r="F55" s="104">
        <f>Feuil2!E36</f>
        <v>25</v>
      </c>
      <c r="G55" s="28"/>
      <c r="H55" s="28"/>
      <c r="I55" s="28"/>
      <c r="J55" s="28"/>
      <c r="K55" s="28"/>
      <c r="L55" s="28"/>
      <c r="M55" s="28"/>
      <c r="N55" s="95" t="s">
        <v>130</v>
      </c>
      <c r="O55" s="100"/>
      <c r="P55" s="28"/>
      <c r="Q55" s="28"/>
      <c r="R55" s="28"/>
      <c r="S55" s="28"/>
      <c r="T55" s="28"/>
      <c r="U55" s="28"/>
      <c r="V55" s="28"/>
      <c r="W55" s="28"/>
      <c r="X55" s="28"/>
      <c r="Y55" s="28"/>
      <c r="Z55" s="28"/>
    </row>
    <row r="56" ht="15.75" customHeight="1">
      <c r="A56" s="72"/>
      <c r="B56" s="28"/>
      <c r="C56" s="106" t="s">
        <v>131</v>
      </c>
      <c r="D56" s="107"/>
      <c r="E56" s="107"/>
      <c r="F56" s="111">
        <f>Feuil2!E37</f>
        <v>258000</v>
      </c>
      <c r="G56" s="28"/>
      <c r="H56" s="28"/>
      <c r="I56" s="28"/>
      <c r="J56" s="28"/>
      <c r="K56" s="28"/>
      <c r="L56" s="28"/>
      <c r="M56" s="28"/>
      <c r="N56" s="61"/>
      <c r="O56" s="79"/>
      <c r="P56" s="112"/>
      <c r="Q56" s="28"/>
      <c r="R56" s="28"/>
      <c r="S56" s="28"/>
      <c r="T56" s="28"/>
      <c r="U56" s="28"/>
      <c r="V56" s="28"/>
      <c r="W56" s="28"/>
      <c r="X56" s="28"/>
      <c r="Y56" s="28"/>
      <c r="Z56" s="28"/>
    </row>
    <row r="57" ht="15.75" customHeight="1">
      <c r="A57" s="72"/>
      <c r="B57" s="28"/>
      <c r="C57" s="113" t="s">
        <v>132</v>
      </c>
      <c r="D57" s="114"/>
      <c r="E57" s="114"/>
      <c r="F57" s="115">
        <f>Feuil2!E38</f>
        <v>374000</v>
      </c>
      <c r="G57" s="28"/>
      <c r="H57" s="28"/>
      <c r="I57" s="28"/>
      <c r="J57" s="28"/>
      <c r="K57" s="28"/>
      <c r="L57" s="28"/>
      <c r="M57" s="28"/>
      <c r="N57" s="28"/>
      <c r="O57" s="28"/>
      <c r="P57" s="28"/>
      <c r="Q57" s="28"/>
      <c r="R57" s="28"/>
      <c r="S57" s="28"/>
      <c r="T57" s="28"/>
      <c r="U57" s="28"/>
      <c r="V57" s="28"/>
      <c r="W57" s="28"/>
      <c r="X57" s="28"/>
      <c r="Y57" s="28"/>
      <c r="Z57" s="28"/>
    </row>
    <row r="58" ht="15.75" customHeight="1">
      <c r="A58" s="72"/>
      <c r="B58" s="28"/>
      <c r="C58" s="106" t="s">
        <v>133</v>
      </c>
      <c r="D58" s="107"/>
      <c r="E58" s="107"/>
      <c r="F58" s="108">
        <f>Feuil2!E39</f>
        <v>72000</v>
      </c>
      <c r="G58" s="28"/>
      <c r="H58" s="28"/>
      <c r="I58" s="28"/>
      <c r="J58" s="28"/>
      <c r="K58" s="28"/>
      <c r="L58" s="28"/>
      <c r="M58" s="28"/>
      <c r="N58" s="28"/>
      <c r="O58" s="28"/>
      <c r="P58" s="28"/>
      <c r="Q58" s="28"/>
      <c r="R58" s="28"/>
      <c r="S58" s="28"/>
      <c r="T58" s="28"/>
      <c r="U58" s="28"/>
      <c r="V58" s="28"/>
      <c r="W58" s="28"/>
      <c r="X58" s="28"/>
      <c r="Y58" s="28"/>
      <c r="Z58" s="28"/>
    </row>
    <row r="59" ht="15.75" customHeight="1">
      <c r="A59" s="72"/>
      <c r="B59" s="28"/>
      <c r="C59" s="106" t="s">
        <v>134</v>
      </c>
      <c r="D59" s="107"/>
      <c r="E59" s="107"/>
      <c r="F59" s="116">
        <f>Feuil2!E40</f>
        <v>2021</v>
      </c>
      <c r="G59" s="28"/>
      <c r="H59" s="28"/>
      <c r="I59" s="28"/>
      <c r="J59" s="117" t="s">
        <v>87</v>
      </c>
      <c r="K59" s="23"/>
      <c r="L59" s="23"/>
      <c r="M59" s="23"/>
      <c r="N59" s="23"/>
      <c r="O59" s="23"/>
      <c r="P59" s="23"/>
      <c r="Q59" s="24"/>
      <c r="R59" s="118"/>
      <c r="S59" s="28"/>
      <c r="T59" s="28"/>
      <c r="U59" s="28"/>
      <c r="V59" s="28"/>
      <c r="W59" s="28"/>
      <c r="X59" s="28"/>
      <c r="Y59" s="28"/>
      <c r="Z59" s="28"/>
    </row>
    <row r="60" ht="15.0" customHeight="1">
      <c r="A60" s="47"/>
      <c r="B60" s="28"/>
      <c r="C60" s="106" t="s">
        <v>135</v>
      </c>
      <c r="D60" s="107"/>
      <c r="E60" s="107"/>
      <c r="F60" s="119">
        <f>Feuil2!E41</f>
        <v>25</v>
      </c>
      <c r="G60" s="28"/>
      <c r="H60" s="28"/>
      <c r="I60" s="28"/>
      <c r="J60" s="28"/>
      <c r="K60" s="28"/>
      <c r="L60" s="28"/>
      <c r="M60" s="28"/>
      <c r="N60" s="28"/>
      <c r="O60" s="28"/>
      <c r="P60" s="28"/>
      <c r="Q60" s="28"/>
      <c r="R60" s="28"/>
      <c r="S60" s="28"/>
      <c r="T60" s="28"/>
      <c r="U60" s="28"/>
      <c r="V60" s="28"/>
      <c r="W60" s="28"/>
      <c r="X60" s="28"/>
      <c r="Y60" s="28"/>
      <c r="Z60" s="28"/>
    </row>
    <row r="61" ht="15.0" customHeight="1">
      <c r="A61" s="47"/>
      <c r="B61" s="28"/>
      <c r="C61" s="120" t="s">
        <v>136</v>
      </c>
      <c r="D61" s="121"/>
      <c r="E61" s="121"/>
      <c r="F61" s="122">
        <f>Feuil2!E42</f>
        <v>31000</v>
      </c>
      <c r="G61" s="28"/>
      <c r="H61" s="28"/>
      <c r="I61" s="28"/>
      <c r="J61" s="64" t="s">
        <v>137</v>
      </c>
      <c r="K61" s="44"/>
      <c r="L61" s="28"/>
      <c r="M61" s="28"/>
      <c r="N61" s="28"/>
      <c r="O61" s="28"/>
      <c r="P61" s="28"/>
      <c r="Q61" s="28"/>
      <c r="R61" s="28"/>
      <c r="S61" s="28"/>
      <c r="T61" s="28"/>
      <c r="U61" s="28"/>
      <c r="V61" s="28"/>
      <c r="W61" s="28"/>
      <c r="X61" s="28"/>
      <c r="Y61" s="28"/>
      <c r="Z61" s="28"/>
    </row>
    <row r="62" ht="15.75" customHeight="1">
      <c r="A62" s="47"/>
      <c r="B62" s="28"/>
      <c r="C62" s="28"/>
      <c r="D62" s="28"/>
      <c r="E62" s="28"/>
      <c r="F62" s="28"/>
      <c r="G62" s="28"/>
      <c r="H62" s="28"/>
      <c r="I62" s="28"/>
      <c r="J62" s="38"/>
      <c r="K62" s="39"/>
      <c r="L62" s="28"/>
      <c r="M62" s="28"/>
      <c r="N62" s="28"/>
      <c r="O62" s="28"/>
      <c r="P62" s="28"/>
      <c r="Q62" s="28"/>
      <c r="R62" s="28"/>
      <c r="S62" s="28"/>
      <c r="T62" s="28"/>
      <c r="U62" s="28"/>
      <c r="V62" s="28"/>
      <c r="W62" s="28"/>
      <c r="X62" s="28"/>
      <c r="Y62" s="28"/>
      <c r="Z62" s="28"/>
    </row>
    <row r="63" ht="15.75" customHeight="1">
      <c r="A63" s="123" t="s">
        <v>138</v>
      </c>
      <c r="B63" s="124"/>
      <c r="C63" s="124"/>
      <c r="D63" s="124"/>
      <c r="E63" s="124"/>
      <c r="F63" s="124"/>
      <c r="G63" s="124"/>
      <c r="H63" s="124"/>
      <c r="I63" s="28"/>
      <c r="J63" s="38"/>
      <c r="K63" s="39"/>
      <c r="L63" s="28"/>
      <c r="M63" s="28"/>
      <c r="N63" s="28"/>
      <c r="O63" s="28"/>
      <c r="P63" s="28"/>
      <c r="Q63" s="28"/>
      <c r="R63" s="28"/>
      <c r="S63" s="28"/>
      <c r="T63" s="28"/>
      <c r="U63" s="28"/>
      <c r="V63" s="28"/>
      <c r="W63" s="28"/>
      <c r="X63" s="28"/>
      <c r="Y63" s="28"/>
      <c r="Z63" s="28"/>
    </row>
    <row r="64" ht="15.75" customHeight="1">
      <c r="A64" s="126"/>
      <c r="I64" s="28"/>
      <c r="J64" s="38"/>
      <c r="K64" s="39"/>
      <c r="L64" s="28"/>
      <c r="M64" s="28"/>
      <c r="N64" s="28"/>
      <c r="O64" s="28"/>
      <c r="P64" s="28"/>
      <c r="Q64" s="28"/>
      <c r="R64" s="28"/>
      <c r="S64" s="28"/>
      <c r="T64" s="28"/>
      <c r="U64" s="28"/>
      <c r="V64" s="28"/>
      <c r="W64" s="28"/>
      <c r="X64" s="28"/>
      <c r="Y64" s="28"/>
      <c r="Z64" s="28"/>
    </row>
    <row r="65" ht="15.75" customHeight="1">
      <c r="A65" s="126" t="s">
        <v>170</v>
      </c>
      <c r="I65" s="28"/>
      <c r="J65" s="38"/>
      <c r="K65" s="39"/>
      <c r="L65" s="28"/>
      <c r="M65" s="28"/>
      <c r="N65" s="28"/>
      <c r="O65" s="28"/>
      <c r="P65" s="28"/>
      <c r="Q65" s="28"/>
      <c r="R65" s="28"/>
      <c r="S65" s="28"/>
      <c r="T65" s="28"/>
      <c r="U65" s="28"/>
      <c r="V65" s="28"/>
      <c r="W65" s="28"/>
      <c r="X65" s="28"/>
      <c r="Y65" s="28"/>
      <c r="Z65" s="28"/>
    </row>
    <row r="66" ht="14.25" customHeight="1">
      <c r="A66" s="126" t="s">
        <v>141</v>
      </c>
      <c r="I66" s="28"/>
      <c r="J66" s="75" t="s">
        <v>142</v>
      </c>
      <c r="K66" s="109"/>
      <c r="L66" s="28"/>
      <c r="M66" s="28"/>
      <c r="N66" s="28"/>
      <c r="O66" s="28"/>
      <c r="P66" s="28"/>
      <c r="Q66" s="28"/>
      <c r="R66" s="28"/>
      <c r="S66" s="28"/>
      <c r="T66" s="28"/>
      <c r="U66" s="28"/>
      <c r="V66" s="28"/>
      <c r="W66" s="28"/>
      <c r="X66" s="28"/>
      <c r="Y66" s="28"/>
      <c r="Z66" s="28"/>
    </row>
    <row r="67" ht="14.25" customHeight="1">
      <c r="A67" s="126" t="s">
        <v>143</v>
      </c>
      <c r="I67" s="28"/>
      <c r="J67" s="28"/>
      <c r="K67" s="28"/>
      <c r="L67" s="28"/>
      <c r="M67" s="28"/>
      <c r="N67" s="28"/>
      <c r="O67" s="28"/>
      <c r="P67" s="28"/>
      <c r="Q67" s="28"/>
      <c r="R67" s="28"/>
      <c r="S67" s="28"/>
      <c r="T67" s="28"/>
      <c r="U67" s="28"/>
      <c r="V67" s="28"/>
      <c r="W67" s="28"/>
      <c r="X67" s="28"/>
      <c r="Y67" s="28"/>
      <c r="Z67" s="28"/>
    </row>
    <row r="68" ht="14.25" customHeight="1">
      <c r="A68" s="126"/>
      <c r="I68" s="28"/>
      <c r="J68" s="28"/>
      <c r="K68" s="28"/>
      <c r="L68" s="28"/>
      <c r="M68" s="28"/>
      <c r="N68" s="28"/>
      <c r="O68" s="28"/>
      <c r="P68" s="28"/>
      <c r="Q68" s="28"/>
      <c r="R68" s="28"/>
      <c r="S68" s="28"/>
      <c r="T68" s="28"/>
      <c r="U68" s="28"/>
      <c r="V68" s="28"/>
      <c r="W68" s="28"/>
      <c r="X68" s="28"/>
      <c r="Y68" s="28"/>
      <c r="Z68" s="28"/>
    </row>
    <row r="69" ht="14.25" customHeight="1">
      <c r="A69" s="126"/>
      <c r="I69" s="28"/>
      <c r="J69" s="64" t="s">
        <v>144</v>
      </c>
      <c r="K69" s="43"/>
      <c r="L69" s="44"/>
      <c r="M69" s="64" t="s">
        <v>145</v>
      </c>
      <c r="N69" s="43"/>
      <c r="O69" s="44"/>
      <c r="P69" s="28"/>
      <c r="Q69" s="28"/>
      <c r="R69" s="28"/>
      <c r="S69" s="28"/>
      <c r="T69" s="28"/>
      <c r="U69" s="28"/>
      <c r="V69" s="28"/>
      <c r="W69" s="28"/>
      <c r="X69" s="28"/>
      <c r="Y69" s="28"/>
      <c r="Z69" s="28"/>
    </row>
    <row r="70" ht="14.25" customHeight="1">
      <c r="A70" s="126" t="s">
        <v>146</v>
      </c>
      <c r="I70" s="28"/>
      <c r="J70" s="38"/>
      <c r="K70" s="28"/>
      <c r="L70" s="39"/>
      <c r="M70" s="38"/>
      <c r="N70" s="28"/>
      <c r="O70" s="39"/>
      <c r="P70" s="28"/>
      <c r="Q70" s="28"/>
      <c r="R70" s="28"/>
      <c r="S70" s="28"/>
      <c r="T70" s="28"/>
      <c r="U70" s="28"/>
      <c r="V70" s="28"/>
      <c r="W70" s="28"/>
      <c r="X70" s="28"/>
      <c r="Y70" s="28"/>
      <c r="Z70" s="28"/>
    </row>
    <row r="71" ht="14.25" customHeight="1">
      <c r="A71" s="126" t="s">
        <v>149</v>
      </c>
      <c r="I71" s="28"/>
      <c r="J71" s="38"/>
      <c r="K71" s="28"/>
      <c r="L71" s="39"/>
      <c r="M71" s="38"/>
      <c r="N71" s="28"/>
      <c r="O71" s="39"/>
      <c r="P71" s="28"/>
      <c r="Q71" s="28"/>
      <c r="R71" s="28"/>
      <c r="S71" s="28"/>
      <c r="T71" s="28"/>
      <c r="U71" s="28"/>
      <c r="V71" s="28"/>
      <c r="W71" s="28"/>
      <c r="X71" s="28"/>
      <c r="Y71" s="28"/>
      <c r="Z71" s="28"/>
    </row>
    <row r="72" ht="14.25" customHeight="1">
      <c r="A72" s="126" t="s">
        <v>151</v>
      </c>
      <c r="I72" s="28"/>
      <c r="J72" s="38"/>
      <c r="K72" s="28"/>
      <c r="L72" s="39"/>
      <c r="M72" s="38"/>
      <c r="N72" s="28"/>
      <c r="O72" s="39"/>
      <c r="P72" s="28"/>
      <c r="Q72" s="28"/>
      <c r="R72" s="28"/>
      <c r="S72" s="28"/>
      <c r="T72" s="28"/>
      <c r="U72" s="28"/>
      <c r="V72" s="28"/>
      <c r="W72" s="28"/>
      <c r="X72" s="28"/>
      <c r="Y72" s="28"/>
      <c r="Z72" s="28"/>
    </row>
    <row r="73" ht="14.25" customHeight="1">
      <c r="A73" s="126"/>
      <c r="I73" s="28"/>
      <c r="J73" s="38"/>
      <c r="K73" s="28"/>
      <c r="L73" s="39"/>
      <c r="M73" s="38"/>
      <c r="N73" s="28"/>
      <c r="O73" s="39"/>
      <c r="P73" s="28"/>
      <c r="Q73" s="28"/>
      <c r="R73" s="28"/>
      <c r="S73" s="28"/>
      <c r="T73" s="28"/>
      <c r="U73" s="28"/>
      <c r="V73" s="28"/>
      <c r="W73" s="28"/>
      <c r="X73" s="28"/>
      <c r="Y73" s="28"/>
      <c r="Z73" s="28"/>
    </row>
    <row r="74" ht="14.25" customHeight="1">
      <c r="A74" s="126" t="s">
        <v>152</v>
      </c>
      <c r="I74" s="28"/>
      <c r="J74" s="38"/>
      <c r="K74" s="28"/>
      <c r="L74" s="39"/>
      <c r="M74" s="38"/>
      <c r="N74" s="28"/>
      <c r="O74" s="39"/>
      <c r="P74" s="28"/>
      <c r="Q74" s="28"/>
      <c r="R74" s="28"/>
      <c r="S74" s="28"/>
      <c r="T74" s="28"/>
      <c r="U74" s="28"/>
      <c r="V74" s="28"/>
      <c r="W74" s="28"/>
      <c r="X74" s="28"/>
      <c r="Y74" s="28"/>
      <c r="Z74" s="28"/>
    </row>
    <row r="75" ht="14.25" customHeight="1">
      <c r="A75" s="28"/>
      <c r="B75" s="28"/>
      <c r="C75" s="28"/>
      <c r="D75" s="28"/>
      <c r="E75" s="28"/>
      <c r="F75" s="28"/>
      <c r="G75" s="28"/>
      <c r="H75" s="28"/>
      <c r="I75" s="28"/>
      <c r="J75" s="75" t="s">
        <v>153</v>
      </c>
      <c r="K75" s="15"/>
      <c r="L75" s="109"/>
      <c r="M75" s="61"/>
      <c r="N75" s="62" t="s">
        <v>154</v>
      </c>
      <c r="O75" s="109"/>
      <c r="P75" s="28"/>
      <c r="Q75" s="28"/>
      <c r="R75" s="28"/>
      <c r="S75" s="28"/>
      <c r="T75" s="28"/>
      <c r="U75" s="28"/>
      <c r="V75" s="28"/>
      <c r="W75" s="28"/>
      <c r="X75" s="28"/>
      <c r="Y75" s="28"/>
      <c r="Z75" s="28"/>
    </row>
    <row r="7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4.25" customHeight="1">
      <c r="A77" s="28"/>
      <c r="B77" s="28"/>
      <c r="C77" s="28"/>
      <c r="D77" s="28"/>
      <c r="E77" s="28"/>
      <c r="F77" s="28"/>
      <c r="G77" s="28"/>
      <c r="H77" s="28"/>
      <c r="I77" s="28"/>
      <c r="J77" s="64" t="s">
        <v>155</v>
      </c>
      <c r="K77" s="43"/>
      <c r="L77" s="43"/>
      <c r="M77" s="44"/>
      <c r="N77" s="28"/>
      <c r="O77" s="28"/>
      <c r="P77" s="28"/>
      <c r="Q77" s="28"/>
      <c r="R77" s="28"/>
      <c r="S77" s="28"/>
      <c r="T77" s="28"/>
      <c r="U77" s="28"/>
      <c r="V77" s="28"/>
      <c r="W77" s="28"/>
      <c r="X77" s="28"/>
      <c r="Y77" s="28"/>
      <c r="Z77" s="28"/>
    </row>
    <row r="78" ht="14.25" customHeight="1">
      <c r="A78" s="28"/>
      <c r="B78" s="28"/>
      <c r="C78" s="28"/>
      <c r="D78" s="28"/>
      <c r="E78" s="28"/>
      <c r="F78" s="28"/>
      <c r="G78" s="28"/>
      <c r="H78" s="28"/>
      <c r="I78" s="28"/>
      <c r="J78" s="38"/>
      <c r="K78" s="28"/>
      <c r="L78" s="28"/>
      <c r="M78" s="39"/>
      <c r="N78" s="28"/>
      <c r="O78" s="28"/>
      <c r="P78" s="28"/>
      <c r="Q78" s="28"/>
      <c r="R78" s="28"/>
      <c r="S78" s="28"/>
      <c r="T78" s="28"/>
      <c r="U78" s="28"/>
      <c r="V78" s="28"/>
      <c r="W78" s="28"/>
      <c r="X78" s="28"/>
      <c r="Y78" s="28"/>
      <c r="Z78" s="28"/>
    </row>
    <row r="79" ht="14.25" customHeight="1">
      <c r="A79" s="28"/>
      <c r="B79" s="28"/>
      <c r="C79" s="28"/>
      <c r="D79" s="28"/>
      <c r="E79" s="28"/>
      <c r="F79" s="28"/>
      <c r="G79" s="28"/>
      <c r="H79" s="28"/>
      <c r="I79" s="28"/>
      <c r="J79" s="38"/>
      <c r="K79" s="28"/>
      <c r="L79" s="28"/>
      <c r="M79" s="39"/>
      <c r="N79" s="28"/>
      <c r="O79" s="28"/>
      <c r="P79" s="28"/>
      <c r="Q79" s="28"/>
      <c r="R79" s="28"/>
      <c r="S79" s="28"/>
      <c r="T79" s="28"/>
      <c r="U79" s="28"/>
      <c r="V79" s="28"/>
      <c r="W79" s="28"/>
      <c r="X79" s="28"/>
      <c r="Y79" s="28"/>
      <c r="Z79" s="28"/>
    </row>
    <row r="80" ht="14.25" customHeight="1">
      <c r="A80" s="28"/>
      <c r="B80" s="28"/>
      <c r="C80" s="28"/>
      <c r="D80" s="28"/>
      <c r="E80" s="28"/>
      <c r="F80" s="28"/>
      <c r="G80" s="28"/>
      <c r="H80" s="28"/>
      <c r="I80" s="28"/>
      <c r="J80" s="38"/>
      <c r="K80" s="28"/>
      <c r="L80" s="28"/>
      <c r="M80" s="39"/>
      <c r="N80" s="28"/>
      <c r="O80" s="28"/>
      <c r="P80" s="28"/>
      <c r="Q80" s="28"/>
      <c r="R80" s="28"/>
      <c r="S80" s="28"/>
      <c r="T80" s="28"/>
      <c r="U80" s="28"/>
      <c r="V80" s="28"/>
      <c r="W80" s="28"/>
      <c r="X80" s="28"/>
      <c r="Y80" s="28"/>
      <c r="Z80" s="28"/>
    </row>
    <row r="81" ht="14.25" customHeight="1">
      <c r="A81" s="28"/>
      <c r="B81" s="28"/>
      <c r="C81" s="28"/>
      <c r="D81" s="28"/>
      <c r="E81" s="28"/>
      <c r="F81" s="28"/>
      <c r="G81" s="28"/>
      <c r="H81" s="28"/>
      <c r="I81" s="28"/>
      <c r="J81" s="38"/>
      <c r="K81" s="28"/>
      <c r="L81" s="28"/>
      <c r="M81" s="39"/>
      <c r="N81" s="28"/>
      <c r="O81" s="28"/>
      <c r="P81" s="28"/>
      <c r="Q81" s="28"/>
      <c r="R81" s="28"/>
      <c r="S81" s="28"/>
      <c r="T81" s="28"/>
      <c r="U81" s="28"/>
      <c r="V81" s="28"/>
      <c r="W81" s="28"/>
      <c r="X81" s="28"/>
      <c r="Y81" s="28"/>
      <c r="Z81" s="28"/>
    </row>
    <row r="82" ht="14.25" customHeight="1">
      <c r="A82" s="28"/>
      <c r="B82" s="28"/>
      <c r="C82" s="28"/>
      <c r="D82" s="28"/>
      <c r="E82" s="28"/>
      <c r="F82" s="28"/>
      <c r="G82" s="28"/>
      <c r="H82" s="28"/>
      <c r="I82" s="28"/>
      <c r="J82" s="38"/>
      <c r="K82" s="28"/>
      <c r="L82" s="28"/>
      <c r="M82" s="39"/>
      <c r="N82" s="28"/>
      <c r="O82" s="28"/>
      <c r="P82" s="28"/>
      <c r="Q82" s="28"/>
      <c r="R82" s="28"/>
      <c r="S82" s="28"/>
      <c r="T82" s="28"/>
      <c r="U82" s="28"/>
      <c r="V82" s="28"/>
      <c r="W82" s="28"/>
      <c r="X82" s="28"/>
      <c r="Y82" s="28"/>
      <c r="Z82" s="28"/>
    </row>
    <row r="83" ht="14.25" customHeight="1">
      <c r="A83" s="28"/>
      <c r="B83" s="28"/>
      <c r="C83" s="28"/>
      <c r="D83" s="28"/>
      <c r="E83" s="28"/>
      <c r="F83" s="28"/>
      <c r="G83" s="28"/>
      <c r="H83" s="28"/>
      <c r="I83" s="28"/>
      <c r="J83" s="61"/>
      <c r="K83" s="78" t="s">
        <v>159</v>
      </c>
      <c r="L83" s="62" t="s">
        <v>160</v>
      </c>
      <c r="M83" s="109"/>
      <c r="N83" s="28"/>
      <c r="O83" s="28"/>
      <c r="P83" s="28"/>
      <c r="Q83" s="28"/>
      <c r="R83" s="28"/>
      <c r="S83" s="28"/>
      <c r="T83" s="28"/>
      <c r="U83" s="28"/>
      <c r="V83" s="28"/>
      <c r="W83" s="28"/>
      <c r="X83" s="28"/>
      <c r="Y83" s="28"/>
      <c r="Z83" s="28"/>
    </row>
    <row r="84"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4.25" customHeight="1">
      <c r="A85" s="28"/>
      <c r="B85" s="28"/>
      <c r="C85" s="28"/>
      <c r="D85" s="28"/>
      <c r="E85" s="28"/>
      <c r="F85" s="28"/>
      <c r="G85" s="28"/>
      <c r="H85" s="28"/>
      <c r="I85" s="28"/>
      <c r="J85" s="64" t="s">
        <v>161</v>
      </c>
      <c r="K85" s="43"/>
      <c r="L85" s="43"/>
      <c r="M85" s="44"/>
      <c r="N85" s="28"/>
      <c r="O85" s="28"/>
      <c r="P85" s="28"/>
      <c r="Q85" s="28"/>
      <c r="R85" s="28"/>
      <c r="S85" s="28"/>
      <c r="T85" s="28"/>
      <c r="U85" s="28"/>
      <c r="V85" s="28"/>
      <c r="W85" s="28"/>
      <c r="X85" s="28"/>
      <c r="Y85" s="28"/>
      <c r="Z85" s="28"/>
    </row>
    <row r="86" ht="14.25" customHeight="1">
      <c r="A86" s="28"/>
      <c r="B86" s="28"/>
      <c r="C86" s="28"/>
      <c r="D86" s="28"/>
      <c r="E86" s="28"/>
      <c r="F86" s="28"/>
      <c r="G86" s="28"/>
      <c r="H86" s="28"/>
      <c r="I86" s="28"/>
      <c r="J86" s="38"/>
      <c r="K86" s="28"/>
      <c r="L86" s="28"/>
      <c r="M86" s="39"/>
      <c r="N86" s="28"/>
      <c r="O86" s="28"/>
      <c r="P86" s="28"/>
      <c r="Q86" s="28"/>
      <c r="R86" s="28"/>
      <c r="S86" s="28"/>
      <c r="T86" s="28"/>
      <c r="U86" s="28"/>
      <c r="V86" s="28"/>
      <c r="W86" s="28"/>
      <c r="X86" s="28"/>
      <c r="Y86" s="28"/>
      <c r="Z86" s="28"/>
    </row>
    <row r="87" ht="14.25" customHeight="1">
      <c r="A87" s="28"/>
      <c r="B87" s="28"/>
      <c r="C87" s="28"/>
      <c r="D87" s="28"/>
      <c r="E87" s="28"/>
      <c r="F87" s="28"/>
      <c r="G87" s="28"/>
      <c r="H87" s="28"/>
      <c r="I87" s="28"/>
      <c r="J87" s="38"/>
      <c r="K87" s="28"/>
      <c r="L87" s="28"/>
      <c r="M87" s="39"/>
      <c r="N87" s="28"/>
      <c r="O87" s="28"/>
      <c r="P87" s="28"/>
      <c r="Q87" s="28"/>
      <c r="R87" s="28"/>
      <c r="S87" s="28"/>
      <c r="T87" s="28"/>
      <c r="U87" s="28"/>
      <c r="V87" s="28"/>
      <c r="W87" s="28"/>
      <c r="X87" s="28"/>
      <c r="Y87" s="28"/>
      <c r="Z87" s="28"/>
    </row>
    <row r="88" ht="14.25" customHeight="1">
      <c r="A88" s="28"/>
      <c r="B88" s="28"/>
      <c r="C88" s="28"/>
      <c r="D88" s="28"/>
      <c r="E88" s="28"/>
      <c r="F88" s="28"/>
      <c r="G88" s="28"/>
      <c r="H88" s="28"/>
      <c r="I88" s="28"/>
      <c r="J88" s="38"/>
      <c r="K88" s="28"/>
      <c r="L88" s="28"/>
      <c r="M88" s="39"/>
      <c r="N88" s="28"/>
      <c r="O88" s="28"/>
      <c r="P88" s="28"/>
      <c r="Q88" s="28"/>
      <c r="R88" s="28"/>
      <c r="S88" s="28"/>
      <c r="T88" s="28"/>
      <c r="U88" s="28"/>
      <c r="V88" s="28"/>
      <c r="W88" s="28"/>
      <c r="X88" s="28"/>
      <c r="Y88" s="28"/>
      <c r="Z88" s="28"/>
    </row>
    <row r="89" ht="14.25" customHeight="1">
      <c r="A89" s="28"/>
      <c r="B89" s="28"/>
      <c r="C89" s="28"/>
      <c r="D89" s="28"/>
      <c r="E89" s="28"/>
      <c r="F89" s="28"/>
      <c r="G89" s="28"/>
      <c r="H89" s="28"/>
      <c r="I89" s="28"/>
      <c r="J89" s="38"/>
      <c r="K89" s="28"/>
      <c r="L89" s="28"/>
      <c r="M89" s="39"/>
      <c r="N89" s="28"/>
      <c r="O89" s="28"/>
      <c r="P89" s="28"/>
      <c r="Q89" s="28"/>
      <c r="R89" s="28"/>
      <c r="S89" s="28"/>
      <c r="T89" s="28"/>
      <c r="U89" s="28"/>
      <c r="V89" s="28"/>
      <c r="W89" s="28"/>
      <c r="X89" s="28"/>
      <c r="Y89" s="28"/>
      <c r="Z89" s="28"/>
    </row>
    <row r="90" ht="14.25" customHeight="1">
      <c r="A90" s="28"/>
      <c r="B90" s="28"/>
      <c r="C90" s="28"/>
      <c r="D90" s="28"/>
      <c r="E90" s="28"/>
      <c r="F90" s="28"/>
      <c r="G90" s="28"/>
      <c r="H90" s="28"/>
      <c r="I90" s="28"/>
      <c r="J90" s="38"/>
      <c r="K90" s="28"/>
      <c r="L90" s="28"/>
      <c r="M90" s="39"/>
      <c r="N90" s="28"/>
      <c r="O90" s="28"/>
      <c r="P90" s="28"/>
      <c r="Q90" s="28"/>
      <c r="R90" s="28"/>
      <c r="S90" s="28"/>
      <c r="T90" s="28"/>
      <c r="U90" s="28"/>
      <c r="V90" s="28"/>
      <c r="W90" s="28"/>
      <c r="X90" s="28"/>
      <c r="Y90" s="28"/>
      <c r="Z90" s="28"/>
    </row>
    <row r="91" ht="14.25" customHeight="1">
      <c r="A91" s="28"/>
      <c r="B91" s="28"/>
      <c r="C91" s="28"/>
      <c r="D91" s="28"/>
      <c r="E91" s="28"/>
      <c r="F91" s="28"/>
      <c r="G91" s="28"/>
      <c r="H91" s="28"/>
      <c r="I91" s="28"/>
      <c r="J91" s="61"/>
      <c r="K91" s="78" t="s">
        <v>159</v>
      </c>
      <c r="L91" s="62" t="s">
        <v>165</v>
      </c>
      <c r="M91" s="109"/>
      <c r="N91" s="28"/>
      <c r="O91" s="28"/>
      <c r="P91" s="28"/>
      <c r="Q91" s="28"/>
      <c r="R91" s="28"/>
      <c r="S91" s="28"/>
      <c r="T91" s="28"/>
      <c r="U91" s="28"/>
      <c r="V91" s="28"/>
      <c r="W91" s="28"/>
      <c r="X91" s="28"/>
      <c r="Y91" s="28"/>
      <c r="Z91" s="28"/>
    </row>
    <row r="92" ht="14.25" customHeight="1">
      <c r="A92" s="28"/>
      <c r="B92" s="28"/>
      <c r="C92" s="28"/>
      <c r="D92" s="28"/>
      <c r="E92" s="28"/>
      <c r="F92" s="28"/>
      <c r="G92" s="28"/>
      <c r="H92" s="28"/>
      <c r="I92" s="28"/>
      <c r="J92" s="118"/>
      <c r="K92" s="28"/>
      <c r="L92" s="28"/>
      <c r="M92" s="28"/>
      <c r="N92" s="28"/>
      <c r="O92" s="28"/>
      <c r="P92" s="28"/>
      <c r="Q92" s="28"/>
      <c r="R92" s="28"/>
      <c r="S92" s="28"/>
      <c r="T92" s="28"/>
      <c r="U92" s="28"/>
      <c r="V92" s="28"/>
      <c r="W92" s="28"/>
      <c r="X92" s="28"/>
      <c r="Y92" s="28"/>
      <c r="Z92" s="28"/>
    </row>
    <row r="93" ht="14.25" customHeight="1">
      <c r="A93" s="28"/>
      <c r="B93" s="28"/>
      <c r="C93" s="28"/>
      <c r="D93" s="28"/>
      <c r="E93" s="28"/>
      <c r="F93" s="28"/>
      <c r="G93" s="28"/>
      <c r="H93" s="28"/>
      <c r="I93" s="28"/>
      <c r="J93" s="64" t="s">
        <v>166</v>
      </c>
      <c r="K93" s="43"/>
      <c r="L93" s="43"/>
      <c r="M93" s="44"/>
      <c r="N93" s="28"/>
      <c r="O93" s="28"/>
      <c r="P93" s="28"/>
      <c r="Q93" s="28"/>
      <c r="R93" s="28"/>
      <c r="S93" s="28"/>
      <c r="T93" s="28"/>
      <c r="U93" s="28"/>
      <c r="V93" s="28"/>
      <c r="W93" s="28"/>
      <c r="X93" s="28"/>
      <c r="Y93" s="28"/>
      <c r="Z93" s="28"/>
    </row>
    <row r="94" ht="14.25" customHeight="1">
      <c r="A94" s="28"/>
      <c r="B94" s="28"/>
      <c r="C94" s="28"/>
      <c r="D94" s="28"/>
      <c r="E94" s="28"/>
      <c r="F94" s="28"/>
      <c r="G94" s="28"/>
      <c r="H94" s="28"/>
      <c r="I94" s="28"/>
      <c r="J94" s="38"/>
      <c r="K94" s="28"/>
      <c r="L94" s="28"/>
      <c r="M94" s="39"/>
      <c r="N94" s="28"/>
      <c r="O94" s="28"/>
      <c r="P94" s="28"/>
      <c r="Q94" s="28"/>
      <c r="R94" s="28"/>
      <c r="S94" s="28"/>
      <c r="T94" s="28"/>
      <c r="U94" s="28"/>
      <c r="V94" s="28"/>
      <c r="W94" s="28"/>
      <c r="X94" s="28"/>
      <c r="Y94" s="28"/>
      <c r="Z94" s="28"/>
    </row>
    <row r="95" ht="14.25" customHeight="1">
      <c r="A95" s="28"/>
      <c r="B95" s="28"/>
      <c r="C95" s="28"/>
      <c r="D95" s="28"/>
      <c r="E95" s="28"/>
      <c r="F95" s="28"/>
      <c r="G95" s="28"/>
      <c r="H95" s="28"/>
      <c r="I95" s="28"/>
      <c r="J95" s="38"/>
      <c r="K95" s="28"/>
      <c r="L95" s="28"/>
      <c r="M95" s="39"/>
      <c r="N95" s="28"/>
      <c r="O95" s="28"/>
      <c r="P95" s="28"/>
      <c r="Q95" s="28"/>
      <c r="R95" s="28"/>
      <c r="S95" s="28"/>
      <c r="T95" s="28"/>
      <c r="U95" s="28"/>
      <c r="V95" s="28"/>
      <c r="W95" s="28"/>
      <c r="X95" s="28"/>
      <c r="Y95" s="28"/>
      <c r="Z95" s="28"/>
    </row>
    <row r="96" ht="14.25" customHeight="1">
      <c r="A96" s="28"/>
      <c r="B96" s="28"/>
      <c r="C96" s="28"/>
      <c r="D96" s="28"/>
      <c r="E96" s="28"/>
      <c r="F96" s="28"/>
      <c r="G96" s="28"/>
      <c r="H96" s="28"/>
      <c r="I96" s="28"/>
      <c r="J96" s="38"/>
      <c r="K96" s="28"/>
      <c r="L96" s="28"/>
      <c r="M96" s="39"/>
      <c r="N96" s="28"/>
      <c r="O96" s="28"/>
      <c r="P96" s="28"/>
      <c r="Q96" s="28"/>
      <c r="R96" s="28"/>
      <c r="S96" s="28"/>
      <c r="T96" s="28"/>
      <c r="U96" s="28"/>
      <c r="V96" s="28"/>
      <c r="W96" s="28"/>
      <c r="X96" s="28"/>
      <c r="Y96" s="28"/>
      <c r="Z96" s="28"/>
    </row>
    <row r="97" ht="14.25" customHeight="1">
      <c r="A97" s="28"/>
      <c r="B97" s="28"/>
      <c r="C97" s="28"/>
      <c r="D97" s="28"/>
      <c r="E97" s="28"/>
      <c r="F97" s="28"/>
      <c r="G97" s="28"/>
      <c r="H97" s="28"/>
      <c r="I97" s="28"/>
      <c r="J97" s="38"/>
      <c r="K97" s="28"/>
      <c r="L97" s="28"/>
      <c r="M97" s="39"/>
      <c r="N97" s="28"/>
      <c r="O97" s="28"/>
      <c r="P97" s="28"/>
      <c r="Q97" s="28"/>
      <c r="R97" s="28"/>
      <c r="S97" s="28"/>
      <c r="T97" s="28"/>
      <c r="U97" s="28"/>
      <c r="V97" s="28"/>
      <c r="W97" s="28"/>
      <c r="X97" s="28"/>
      <c r="Y97" s="28"/>
      <c r="Z97" s="28"/>
    </row>
    <row r="98" ht="14.25" customHeight="1">
      <c r="A98" s="28"/>
      <c r="B98" s="28"/>
      <c r="C98" s="28"/>
      <c r="D98" s="28"/>
      <c r="E98" s="28"/>
      <c r="F98" s="28"/>
      <c r="G98" s="28"/>
      <c r="H98" s="28"/>
      <c r="I98" s="28"/>
      <c r="J98" s="38"/>
      <c r="K98" s="28"/>
      <c r="L98" s="28"/>
      <c r="M98" s="39"/>
      <c r="N98" s="28"/>
      <c r="O98" s="28"/>
      <c r="P98" s="28"/>
      <c r="Q98" s="28"/>
      <c r="R98" s="28"/>
      <c r="S98" s="28"/>
      <c r="T98" s="28"/>
      <c r="U98" s="28"/>
      <c r="V98" s="28"/>
      <c r="W98" s="28"/>
      <c r="X98" s="28"/>
      <c r="Y98" s="28"/>
      <c r="Z98" s="28"/>
    </row>
    <row r="99" ht="14.25" customHeight="1">
      <c r="A99" s="28"/>
      <c r="B99" s="28"/>
      <c r="C99" s="28"/>
      <c r="D99" s="28"/>
      <c r="E99" s="28"/>
      <c r="F99" s="28"/>
      <c r="G99" s="28"/>
      <c r="H99" s="28"/>
      <c r="I99" s="28"/>
      <c r="J99" s="61"/>
      <c r="K99" s="78"/>
      <c r="L99" s="62" t="s">
        <v>169</v>
      </c>
      <c r="M99" s="109"/>
      <c r="N99" s="28"/>
      <c r="O99" s="28"/>
      <c r="P99" s="28"/>
      <c r="Q99" s="28"/>
      <c r="R99" s="28"/>
      <c r="S99" s="28"/>
      <c r="T99" s="28"/>
      <c r="U99" s="28"/>
      <c r="V99" s="28"/>
      <c r="W99" s="28"/>
      <c r="X99" s="28"/>
      <c r="Y99" s="28"/>
      <c r="Z99" s="28"/>
    </row>
    <row r="100"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4.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52">
    <mergeCell ref="A1:G1"/>
    <mergeCell ref="K1:L1"/>
    <mergeCell ref="N1:O1"/>
    <mergeCell ref="Q1:R1"/>
    <mergeCell ref="A3:H6"/>
    <mergeCell ref="J4:Q4"/>
    <mergeCell ref="B8:F8"/>
    <mergeCell ref="J6:M6"/>
    <mergeCell ref="K11:L11"/>
    <mergeCell ref="J13:Q13"/>
    <mergeCell ref="B23:F23"/>
    <mergeCell ref="B24:F24"/>
    <mergeCell ref="A26:H26"/>
    <mergeCell ref="A28:H28"/>
    <mergeCell ref="A29:H29"/>
    <mergeCell ref="A30:H30"/>
    <mergeCell ref="A31:H31"/>
    <mergeCell ref="A33:H33"/>
    <mergeCell ref="J33:M33"/>
    <mergeCell ref="N33:Q33"/>
    <mergeCell ref="A34:H34"/>
    <mergeCell ref="L43:M43"/>
    <mergeCell ref="N43:O43"/>
    <mergeCell ref="P43:Q43"/>
    <mergeCell ref="J59:Q59"/>
    <mergeCell ref="J61:K61"/>
    <mergeCell ref="J69:L69"/>
    <mergeCell ref="M69:O69"/>
    <mergeCell ref="A35:H35"/>
    <mergeCell ref="A36:H36"/>
    <mergeCell ref="A37:H37"/>
    <mergeCell ref="A39:H39"/>
    <mergeCell ref="A40:H42"/>
    <mergeCell ref="A43:H44"/>
    <mergeCell ref="J43:K43"/>
    <mergeCell ref="A45:H45"/>
    <mergeCell ref="C47:F49"/>
    <mergeCell ref="A64:H64"/>
    <mergeCell ref="A65:H65"/>
    <mergeCell ref="A66:H66"/>
    <mergeCell ref="A67:H67"/>
    <mergeCell ref="A68:H68"/>
    <mergeCell ref="J77:M77"/>
    <mergeCell ref="J85:M85"/>
    <mergeCell ref="J93:M93"/>
    <mergeCell ref="A69:H69"/>
    <mergeCell ref="A70:H70"/>
    <mergeCell ref="A71:H71"/>
    <mergeCell ref="A72:H72"/>
    <mergeCell ref="A73:H73"/>
    <mergeCell ref="A74:H74"/>
    <mergeCell ref="J75:K7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27.71"/>
    <col customWidth="1" min="3" max="4" width="15.71"/>
    <col customWidth="1" min="5" max="5" width="18.86"/>
    <col customWidth="1" min="6" max="7" width="15.71"/>
    <col customWidth="1" min="8" max="8" width="16.86"/>
    <col customWidth="1" min="9" max="14" width="11.43"/>
    <col customWidth="1" min="15" max="26" width="14.57"/>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ht="15.0" customHeight="1">
      <c r="A2" s="28"/>
      <c r="B2" s="28"/>
      <c r="C2" s="28" t="s">
        <v>37</v>
      </c>
      <c r="D2" s="48" t="s">
        <v>38</v>
      </c>
      <c r="E2" s="28" t="s">
        <v>39</v>
      </c>
      <c r="F2" s="28" t="s">
        <v>40</v>
      </c>
      <c r="G2" s="28" t="s">
        <v>171</v>
      </c>
      <c r="H2" s="28" t="s">
        <v>172</v>
      </c>
      <c r="I2" s="28" t="s">
        <v>173</v>
      </c>
      <c r="J2" s="28"/>
      <c r="K2" s="41"/>
      <c r="L2" s="28"/>
      <c r="M2" s="28"/>
      <c r="N2" s="28"/>
      <c r="O2" s="28"/>
      <c r="P2" s="28"/>
      <c r="Q2" s="28"/>
      <c r="R2" s="28"/>
      <c r="S2" s="28"/>
      <c r="T2" s="28"/>
      <c r="U2" s="28"/>
      <c r="V2" s="28"/>
      <c r="W2" s="28"/>
      <c r="X2" s="28"/>
      <c r="Y2" s="28"/>
      <c r="Z2" s="28"/>
    </row>
    <row r="3">
      <c r="A3" s="28"/>
      <c r="B3" s="28" t="s">
        <v>42</v>
      </c>
      <c r="C3" s="41">
        <f t="shared" ref="C3:C14" si="1">N3</f>
        <v>5530</v>
      </c>
      <c r="D3" s="49">
        <f t="shared" ref="D3:D14" si="2">C3*$C$17</f>
        <v>85715</v>
      </c>
      <c r="E3" s="49">
        <f t="shared" ref="E3:E14" si="3">C3*$C$18+$C$19</f>
        <v>37448.5</v>
      </c>
      <c r="F3" s="49">
        <f t="shared" ref="F3:F14" si="4">C3*C$20</f>
        <v>24055.5</v>
      </c>
      <c r="G3" s="49">
        <f t="shared" ref="G3:G14" si="5">$C$21</f>
        <v>7500</v>
      </c>
      <c r="H3" s="49">
        <f t="shared" ref="H3:H15" si="6">D3-E3-F3-G3</f>
        <v>16711</v>
      </c>
      <c r="I3" s="49">
        <f t="shared" ref="I3:I15" si="7">H3/C3</f>
        <v>3.021880651</v>
      </c>
      <c r="J3" s="28"/>
      <c r="K3" s="41"/>
      <c r="L3" s="28">
        <f t="shared" ref="L3:L14" si="8">RANDBETWEEN(310,570)</f>
        <v>453</v>
      </c>
      <c r="M3" s="28">
        <v>553.0</v>
      </c>
      <c r="N3" s="41">
        <f t="shared" ref="N3:N14" si="9">M3*10</f>
        <v>5530</v>
      </c>
      <c r="O3" s="28"/>
      <c r="P3" s="28"/>
      <c r="Q3" s="28"/>
      <c r="R3" s="28"/>
      <c r="S3" s="28"/>
      <c r="T3" s="28"/>
      <c r="U3" s="28"/>
      <c r="V3" s="28"/>
      <c r="W3" s="28"/>
      <c r="X3" s="28"/>
      <c r="Y3" s="28"/>
      <c r="Z3" s="28"/>
    </row>
    <row r="4">
      <c r="A4" s="28"/>
      <c r="B4" s="28" t="s">
        <v>43</v>
      </c>
      <c r="C4" s="41">
        <f t="shared" si="1"/>
        <v>3120</v>
      </c>
      <c r="D4" s="49">
        <f t="shared" si="2"/>
        <v>48360</v>
      </c>
      <c r="E4" s="49">
        <f t="shared" si="3"/>
        <v>23591</v>
      </c>
      <c r="F4" s="49">
        <f t="shared" si="4"/>
        <v>13572</v>
      </c>
      <c r="G4" s="49">
        <f t="shared" si="5"/>
        <v>7500</v>
      </c>
      <c r="H4" s="49">
        <f t="shared" si="6"/>
        <v>3697</v>
      </c>
      <c r="I4" s="49">
        <f t="shared" si="7"/>
        <v>1.184935897</v>
      </c>
      <c r="J4" s="28"/>
      <c r="K4" s="41"/>
      <c r="L4" s="28">
        <f t="shared" si="8"/>
        <v>450</v>
      </c>
      <c r="M4" s="28">
        <v>312.0</v>
      </c>
      <c r="N4" s="41">
        <f t="shared" si="9"/>
        <v>3120</v>
      </c>
      <c r="O4" s="28"/>
      <c r="P4" s="28"/>
      <c r="Q4" s="28"/>
      <c r="R4" s="28"/>
      <c r="S4" s="28"/>
      <c r="T4" s="28"/>
      <c r="U4" s="28"/>
      <c r="V4" s="28"/>
      <c r="W4" s="28"/>
      <c r="X4" s="28"/>
      <c r="Y4" s="28"/>
      <c r="Z4" s="28"/>
    </row>
    <row r="5">
      <c r="A5" s="28"/>
      <c r="B5" s="28" t="s">
        <v>45</v>
      </c>
      <c r="C5" s="41">
        <f t="shared" si="1"/>
        <v>5390</v>
      </c>
      <c r="D5" s="49">
        <f t="shared" si="2"/>
        <v>83545</v>
      </c>
      <c r="E5" s="49">
        <f t="shared" si="3"/>
        <v>36643.5</v>
      </c>
      <c r="F5" s="49">
        <f t="shared" si="4"/>
        <v>23446.5</v>
      </c>
      <c r="G5" s="49">
        <f t="shared" si="5"/>
        <v>7500</v>
      </c>
      <c r="H5" s="49">
        <f t="shared" si="6"/>
        <v>15955</v>
      </c>
      <c r="I5" s="49">
        <f t="shared" si="7"/>
        <v>2.960111317</v>
      </c>
      <c r="J5" s="28"/>
      <c r="K5" s="41"/>
      <c r="L5" s="28">
        <f t="shared" si="8"/>
        <v>316</v>
      </c>
      <c r="M5" s="28">
        <v>539.0</v>
      </c>
      <c r="N5" s="41">
        <f t="shared" si="9"/>
        <v>5390</v>
      </c>
      <c r="O5" s="28"/>
      <c r="P5" s="28"/>
      <c r="Q5" s="28"/>
      <c r="R5" s="28"/>
      <c r="S5" s="28"/>
      <c r="T5" s="28"/>
      <c r="U5" s="28"/>
      <c r="V5" s="28"/>
      <c r="W5" s="28"/>
      <c r="X5" s="28"/>
      <c r="Y5" s="28"/>
      <c r="Z5" s="28"/>
    </row>
    <row r="6">
      <c r="A6" s="28"/>
      <c r="B6" s="28" t="s">
        <v>46</v>
      </c>
      <c r="C6" s="41">
        <f t="shared" si="1"/>
        <v>4460</v>
      </c>
      <c r="D6" s="49">
        <f t="shared" si="2"/>
        <v>69130</v>
      </c>
      <c r="E6" s="49">
        <f t="shared" si="3"/>
        <v>31296</v>
      </c>
      <c r="F6" s="49">
        <f t="shared" si="4"/>
        <v>19401</v>
      </c>
      <c r="G6" s="49">
        <f t="shared" si="5"/>
        <v>7500</v>
      </c>
      <c r="H6" s="49">
        <f t="shared" si="6"/>
        <v>10933</v>
      </c>
      <c r="I6" s="49">
        <f t="shared" si="7"/>
        <v>2.451345291</v>
      </c>
      <c r="J6" s="28"/>
      <c r="K6" s="41"/>
      <c r="L6" s="28">
        <f t="shared" si="8"/>
        <v>381</v>
      </c>
      <c r="M6" s="28">
        <v>446.0</v>
      </c>
      <c r="N6" s="41">
        <f t="shared" si="9"/>
        <v>4460</v>
      </c>
      <c r="O6" s="28"/>
      <c r="P6" s="28"/>
      <c r="Q6" s="28"/>
      <c r="R6" s="28"/>
      <c r="S6" s="28"/>
      <c r="T6" s="28"/>
      <c r="U6" s="28"/>
      <c r="V6" s="28"/>
      <c r="W6" s="28"/>
      <c r="X6" s="28"/>
      <c r="Y6" s="28"/>
      <c r="Z6" s="28"/>
    </row>
    <row r="7">
      <c r="A7" s="28"/>
      <c r="B7" s="28" t="s">
        <v>48</v>
      </c>
      <c r="C7" s="41">
        <f t="shared" si="1"/>
        <v>3450</v>
      </c>
      <c r="D7" s="49">
        <f t="shared" si="2"/>
        <v>53475</v>
      </c>
      <c r="E7" s="49">
        <f t="shared" si="3"/>
        <v>25488.5</v>
      </c>
      <c r="F7" s="49">
        <f t="shared" si="4"/>
        <v>15007.5</v>
      </c>
      <c r="G7" s="49">
        <f t="shared" si="5"/>
        <v>7500</v>
      </c>
      <c r="H7" s="49">
        <f t="shared" si="6"/>
        <v>5479</v>
      </c>
      <c r="I7" s="49">
        <f t="shared" si="7"/>
        <v>1.588115942</v>
      </c>
      <c r="J7" s="28"/>
      <c r="K7" s="41"/>
      <c r="L7" s="28">
        <f t="shared" si="8"/>
        <v>357</v>
      </c>
      <c r="M7" s="28">
        <v>345.0</v>
      </c>
      <c r="N7" s="41">
        <f t="shared" si="9"/>
        <v>3450</v>
      </c>
      <c r="O7" s="28"/>
      <c r="P7" s="28"/>
      <c r="Q7" s="28"/>
      <c r="R7" s="28"/>
      <c r="S7" s="28"/>
      <c r="T7" s="28"/>
      <c r="U7" s="28"/>
      <c r="V7" s="28"/>
      <c r="W7" s="28"/>
      <c r="X7" s="28"/>
      <c r="Y7" s="28"/>
      <c r="Z7" s="28"/>
    </row>
    <row r="8">
      <c r="A8" s="28"/>
      <c r="B8" s="28" t="s">
        <v>51</v>
      </c>
      <c r="C8" s="41">
        <f t="shared" si="1"/>
        <v>4120</v>
      </c>
      <c r="D8" s="49">
        <f t="shared" si="2"/>
        <v>63860</v>
      </c>
      <c r="E8" s="49">
        <f t="shared" si="3"/>
        <v>29341</v>
      </c>
      <c r="F8" s="49">
        <f t="shared" si="4"/>
        <v>17922</v>
      </c>
      <c r="G8" s="49">
        <f t="shared" si="5"/>
        <v>7500</v>
      </c>
      <c r="H8" s="49">
        <f t="shared" si="6"/>
        <v>9097</v>
      </c>
      <c r="I8" s="49">
        <f t="shared" si="7"/>
        <v>2.208009709</v>
      </c>
      <c r="J8" s="28"/>
      <c r="K8" s="41"/>
      <c r="L8" s="28">
        <f t="shared" si="8"/>
        <v>398</v>
      </c>
      <c r="M8" s="28">
        <v>412.0</v>
      </c>
      <c r="N8" s="41">
        <f t="shared" si="9"/>
        <v>4120</v>
      </c>
      <c r="O8" s="28"/>
      <c r="P8" s="28"/>
      <c r="Q8" s="28"/>
      <c r="R8" s="28"/>
      <c r="S8" s="28"/>
      <c r="T8" s="28"/>
      <c r="U8" s="28"/>
      <c r="V8" s="28"/>
      <c r="W8" s="28"/>
      <c r="X8" s="28"/>
      <c r="Y8" s="28"/>
      <c r="Z8" s="28"/>
    </row>
    <row r="9">
      <c r="A9" s="28"/>
      <c r="B9" s="28" t="s">
        <v>57</v>
      </c>
      <c r="C9" s="41">
        <f t="shared" si="1"/>
        <v>4060</v>
      </c>
      <c r="D9" s="49">
        <f t="shared" si="2"/>
        <v>62930</v>
      </c>
      <c r="E9" s="49">
        <f t="shared" si="3"/>
        <v>28996</v>
      </c>
      <c r="F9" s="49">
        <f t="shared" si="4"/>
        <v>17661</v>
      </c>
      <c r="G9" s="49">
        <f t="shared" si="5"/>
        <v>7500</v>
      </c>
      <c r="H9" s="49">
        <f t="shared" si="6"/>
        <v>8773</v>
      </c>
      <c r="I9" s="49">
        <f t="shared" si="7"/>
        <v>2.160837438</v>
      </c>
      <c r="J9" s="28"/>
      <c r="K9" s="41"/>
      <c r="L9" s="28">
        <f t="shared" si="8"/>
        <v>487</v>
      </c>
      <c r="M9" s="28">
        <v>406.0</v>
      </c>
      <c r="N9" s="41">
        <f t="shared" si="9"/>
        <v>4060</v>
      </c>
      <c r="O9" s="28"/>
      <c r="P9" s="28"/>
      <c r="Q9" s="28"/>
      <c r="R9" s="28"/>
      <c r="S9" s="28"/>
      <c r="T9" s="28"/>
      <c r="U9" s="28"/>
      <c r="V9" s="28"/>
      <c r="W9" s="28"/>
      <c r="X9" s="28"/>
      <c r="Y9" s="28"/>
      <c r="Z9" s="28"/>
    </row>
    <row r="10">
      <c r="A10" s="28"/>
      <c r="B10" s="28" t="s">
        <v>58</v>
      </c>
      <c r="C10" s="41">
        <f t="shared" si="1"/>
        <v>3210</v>
      </c>
      <c r="D10" s="49">
        <f t="shared" si="2"/>
        <v>49755</v>
      </c>
      <c r="E10" s="49">
        <f t="shared" si="3"/>
        <v>24108.5</v>
      </c>
      <c r="F10" s="49">
        <f t="shared" si="4"/>
        <v>13963.5</v>
      </c>
      <c r="G10" s="49">
        <f t="shared" si="5"/>
        <v>7500</v>
      </c>
      <c r="H10" s="49">
        <f t="shared" si="6"/>
        <v>4183</v>
      </c>
      <c r="I10" s="49">
        <f t="shared" si="7"/>
        <v>1.303115265</v>
      </c>
      <c r="J10" s="28"/>
      <c r="K10" s="41"/>
      <c r="L10" s="28">
        <f t="shared" si="8"/>
        <v>529</v>
      </c>
      <c r="M10" s="28">
        <v>321.0</v>
      </c>
      <c r="N10" s="41">
        <f t="shared" si="9"/>
        <v>3210</v>
      </c>
      <c r="O10" s="28"/>
      <c r="P10" s="28"/>
      <c r="Q10" s="28"/>
      <c r="R10" s="28"/>
      <c r="S10" s="28"/>
      <c r="T10" s="28"/>
      <c r="U10" s="28"/>
      <c r="V10" s="28"/>
      <c r="W10" s="28"/>
      <c r="X10" s="28"/>
      <c r="Y10" s="28"/>
      <c r="Z10" s="28"/>
    </row>
    <row r="11">
      <c r="A11" s="28"/>
      <c r="B11" s="28" t="s">
        <v>59</v>
      </c>
      <c r="C11" s="41">
        <f t="shared" si="1"/>
        <v>3850</v>
      </c>
      <c r="D11" s="49">
        <f t="shared" si="2"/>
        <v>59675</v>
      </c>
      <c r="E11" s="49">
        <f t="shared" si="3"/>
        <v>27788.5</v>
      </c>
      <c r="F11" s="49">
        <f t="shared" si="4"/>
        <v>16747.5</v>
      </c>
      <c r="G11" s="49">
        <f t="shared" si="5"/>
        <v>7500</v>
      </c>
      <c r="H11" s="49">
        <f t="shared" si="6"/>
        <v>7639</v>
      </c>
      <c r="I11" s="49">
        <f t="shared" si="7"/>
        <v>1.984155844</v>
      </c>
      <c r="J11" s="28"/>
      <c r="K11" s="41"/>
      <c r="L11" s="28">
        <f t="shared" si="8"/>
        <v>526</v>
      </c>
      <c r="M11" s="28">
        <v>385.0</v>
      </c>
      <c r="N11" s="41">
        <f t="shared" si="9"/>
        <v>3850</v>
      </c>
      <c r="O11" s="28"/>
      <c r="P11" s="28"/>
      <c r="Q11" s="28"/>
      <c r="R11" s="28"/>
      <c r="S11" s="28"/>
      <c r="T11" s="28"/>
      <c r="U11" s="28"/>
      <c r="V11" s="28"/>
      <c r="W11" s="28"/>
      <c r="X11" s="28"/>
      <c r="Y11" s="28"/>
      <c r="Z11" s="28"/>
    </row>
    <row r="12">
      <c r="A12" s="28"/>
      <c r="B12" s="28" t="s">
        <v>60</v>
      </c>
      <c r="C12" s="41">
        <f t="shared" si="1"/>
        <v>4520</v>
      </c>
      <c r="D12" s="49">
        <f t="shared" si="2"/>
        <v>70060</v>
      </c>
      <c r="E12" s="49">
        <f t="shared" si="3"/>
        <v>31641</v>
      </c>
      <c r="F12" s="49">
        <f t="shared" si="4"/>
        <v>19662</v>
      </c>
      <c r="G12" s="49">
        <f t="shared" si="5"/>
        <v>7500</v>
      </c>
      <c r="H12" s="49">
        <f t="shared" si="6"/>
        <v>11257</v>
      </c>
      <c r="I12" s="49">
        <f t="shared" si="7"/>
        <v>2.490486726</v>
      </c>
      <c r="J12" s="28"/>
      <c r="K12" s="41"/>
      <c r="L12" s="28">
        <f t="shared" si="8"/>
        <v>502</v>
      </c>
      <c r="M12" s="28">
        <v>452.0</v>
      </c>
      <c r="N12" s="41">
        <f t="shared" si="9"/>
        <v>4520</v>
      </c>
      <c r="O12" s="28"/>
      <c r="P12" s="28"/>
      <c r="Q12" s="28"/>
      <c r="R12" s="28"/>
      <c r="S12" s="28"/>
      <c r="T12" s="28"/>
      <c r="U12" s="28"/>
      <c r="V12" s="28"/>
      <c r="W12" s="28"/>
      <c r="X12" s="28"/>
      <c r="Y12" s="28"/>
      <c r="Z12" s="28"/>
    </row>
    <row r="13">
      <c r="A13" s="28"/>
      <c r="B13" s="28" t="s">
        <v>61</v>
      </c>
      <c r="C13" s="41">
        <f t="shared" si="1"/>
        <v>4490</v>
      </c>
      <c r="D13" s="49">
        <f t="shared" si="2"/>
        <v>69595</v>
      </c>
      <c r="E13" s="49">
        <f t="shared" si="3"/>
        <v>31468.5</v>
      </c>
      <c r="F13" s="49">
        <f t="shared" si="4"/>
        <v>19531.5</v>
      </c>
      <c r="G13" s="49">
        <f t="shared" si="5"/>
        <v>7500</v>
      </c>
      <c r="H13" s="49">
        <f t="shared" si="6"/>
        <v>11095</v>
      </c>
      <c r="I13" s="49">
        <f t="shared" si="7"/>
        <v>2.471046771</v>
      </c>
      <c r="J13" s="28"/>
      <c r="K13" s="41"/>
      <c r="L13" s="28">
        <f t="shared" si="8"/>
        <v>337</v>
      </c>
      <c r="M13" s="28">
        <v>449.0</v>
      </c>
      <c r="N13" s="41">
        <f t="shared" si="9"/>
        <v>4490</v>
      </c>
      <c r="O13" s="28"/>
      <c r="P13" s="28"/>
      <c r="Q13" s="28"/>
      <c r="R13" s="28"/>
      <c r="S13" s="28"/>
      <c r="T13" s="28"/>
      <c r="U13" s="28"/>
      <c r="V13" s="28"/>
      <c r="W13" s="28"/>
      <c r="X13" s="28"/>
      <c r="Y13" s="28"/>
      <c r="Z13" s="28"/>
    </row>
    <row r="14">
      <c r="A14" s="28"/>
      <c r="B14" s="28" t="s">
        <v>174</v>
      </c>
      <c r="C14" s="41">
        <f t="shared" si="1"/>
        <v>3270</v>
      </c>
      <c r="D14" s="49">
        <f t="shared" si="2"/>
        <v>50685</v>
      </c>
      <c r="E14" s="49">
        <f t="shared" si="3"/>
        <v>24453.5</v>
      </c>
      <c r="F14" s="49">
        <f t="shared" si="4"/>
        <v>14224.5</v>
      </c>
      <c r="G14" s="49">
        <f t="shared" si="5"/>
        <v>7500</v>
      </c>
      <c r="H14" s="49">
        <f t="shared" si="6"/>
        <v>4507</v>
      </c>
      <c r="I14" s="49">
        <f t="shared" si="7"/>
        <v>1.378287462</v>
      </c>
      <c r="J14" s="28"/>
      <c r="K14" s="41"/>
      <c r="L14" s="28">
        <f t="shared" si="8"/>
        <v>500</v>
      </c>
      <c r="M14" s="28">
        <v>327.0</v>
      </c>
      <c r="N14" s="41">
        <f t="shared" si="9"/>
        <v>3270</v>
      </c>
      <c r="O14" s="28"/>
      <c r="P14" s="28"/>
      <c r="Q14" s="28"/>
      <c r="R14" s="28"/>
      <c r="S14" s="28"/>
      <c r="T14" s="28"/>
      <c r="U14" s="28"/>
      <c r="V14" s="28"/>
      <c r="W14" s="28"/>
      <c r="X14" s="28"/>
      <c r="Y14" s="28"/>
      <c r="Z14" s="28"/>
    </row>
    <row r="15">
      <c r="A15" s="28"/>
      <c r="B15" s="28"/>
      <c r="C15" s="41">
        <f t="shared" ref="C15:G15" si="10">SUM(C3:C14)</f>
        <v>49470</v>
      </c>
      <c r="D15" s="49">
        <f t="shared" si="10"/>
        <v>766785</v>
      </c>
      <c r="E15" s="49">
        <f t="shared" si="10"/>
        <v>352264.5</v>
      </c>
      <c r="F15" s="49">
        <f t="shared" si="10"/>
        <v>215194.5</v>
      </c>
      <c r="G15" s="49">
        <f t="shared" si="10"/>
        <v>90000</v>
      </c>
      <c r="H15" s="49">
        <f t="shared" si="6"/>
        <v>109326</v>
      </c>
      <c r="I15" s="49">
        <f t="shared" si="7"/>
        <v>2.209945421</v>
      </c>
      <c r="J15" s="28"/>
      <c r="K15" s="41"/>
      <c r="L15" s="28"/>
      <c r="M15" s="28"/>
      <c r="N15" s="41"/>
      <c r="O15" s="28"/>
      <c r="P15" s="28"/>
      <c r="Q15" s="28"/>
      <c r="R15" s="28"/>
      <c r="S15" s="28"/>
      <c r="T15" s="28"/>
      <c r="U15" s="28"/>
      <c r="V15" s="28"/>
      <c r="W15" s="28"/>
      <c r="X15" s="28"/>
      <c r="Y15" s="28"/>
      <c r="Z15" s="28"/>
    </row>
    <row r="16">
      <c r="A16" s="28"/>
      <c r="B16" s="28"/>
      <c r="C16" s="28"/>
      <c r="D16" s="49"/>
      <c r="E16" s="49"/>
      <c r="F16" s="49"/>
      <c r="G16" s="49"/>
      <c r="H16" s="28"/>
      <c r="I16" s="28"/>
      <c r="J16" s="28"/>
      <c r="K16" s="28"/>
      <c r="L16" s="28"/>
      <c r="M16" s="28"/>
      <c r="N16" s="28"/>
      <c r="O16" s="28"/>
      <c r="P16" s="28"/>
      <c r="Q16" s="28"/>
      <c r="R16" s="28"/>
      <c r="S16" s="28"/>
      <c r="T16" s="28"/>
      <c r="U16" s="28"/>
      <c r="V16" s="28"/>
      <c r="W16" s="28"/>
      <c r="X16" s="28"/>
      <c r="Y16" s="28"/>
      <c r="Z16" s="28"/>
    </row>
    <row r="17">
      <c r="A17" s="28"/>
      <c r="B17" s="28" t="s">
        <v>44</v>
      </c>
      <c r="C17" s="49">
        <v>15.5</v>
      </c>
      <c r="D17" s="49"/>
      <c r="E17" s="28"/>
      <c r="F17" s="28"/>
      <c r="G17" s="28"/>
      <c r="H17" s="28"/>
      <c r="I17" s="28"/>
      <c r="J17" s="28"/>
      <c r="K17" s="28"/>
      <c r="L17" s="28"/>
      <c r="M17" s="28"/>
      <c r="N17" s="28"/>
      <c r="O17" s="28"/>
      <c r="P17" s="28"/>
      <c r="Q17" s="28"/>
      <c r="R17" s="28"/>
      <c r="S17" s="28"/>
      <c r="T17" s="28"/>
      <c r="U17" s="28"/>
      <c r="V17" s="28"/>
      <c r="W17" s="28"/>
      <c r="X17" s="28"/>
      <c r="Y17" s="28"/>
      <c r="Z17" s="28"/>
    </row>
    <row r="18">
      <c r="A18" s="28"/>
      <c r="B18" s="28" t="s">
        <v>175</v>
      </c>
      <c r="C18" s="49">
        <v>5.75</v>
      </c>
      <c r="D18" s="49"/>
      <c r="E18" s="28"/>
      <c r="F18" s="28"/>
      <c r="G18" s="28"/>
      <c r="H18" s="28"/>
      <c r="I18" s="28"/>
      <c r="J18" s="28"/>
      <c r="K18" s="28"/>
      <c r="L18" s="28"/>
      <c r="M18" s="28"/>
      <c r="N18" s="28"/>
      <c r="O18" s="28"/>
      <c r="P18" s="28"/>
      <c r="Q18" s="28"/>
      <c r="R18" s="28"/>
      <c r="S18" s="28"/>
      <c r="T18" s="28"/>
      <c r="U18" s="28"/>
      <c r="V18" s="28"/>
      <c r="W18" s="28"/>
      <c r="X18" s="28"/>
      <c r="Y18" s="28"/>
      <c r="Z18" s="28"/>
    </row>
    <row r="19">
      <c r="A19" s="28"/>
      <c r="B19" s="28" t="s">
        <v>176</v>
      </c>
      <c r="C19" s="51">
        <v>5651.0</v>
      </c>
      <c r="D19" s="49">
        <f>C19*12</f>
        <v>67812</v>
      </c>
      <c r="E19" s="28"/>
      <c r="F19" s="28"/>
      <c r="G19" s="28"/>
      <c r="H19" s="28"/>
      <c r="I19" s="28"/>
      <c r="J19" s="28"/>
      <c r="K19" s="28"/>
      <c r="L19" s="28"/>
      <c r="M19" s="28"/>
      <c r="N19" s="28"/>
      <c r="O19" s="28"/>
      <c r="P19" s="28"/>
      <c r="Q19" s="28"/>
      <c r="R19" s="28"/>
      <c r="S19" s="28"/>
      <c r="T19" s="28"/>
      <c r="U19" s="28"/>
      <c r="V19" s="28"/>
      <c r="W19" s="28"/>
      <c r="X19" s="28"/>
      <c r="Y19" s="28"/>
      <c r="Z19" s="28"/>
    </row>
    <row r="20">
      <c r="A20" s="28"/>
      <c r="B20" s="28" t="s">
        <v>177</v>
      </c>
      <c r="C20" s="49">
        <v>4.35</v>
      </c>
      <c r="D20" s="49"/>
      <c r="E20" s="28"/>
      <c r="F20" s="28"/>
      <c r="G20" s="28"/>
      <c r="H20" s="28"/>
      <c r="I20" s="28"/>
      <c r="J20" s="28"/>
      <c r="K20" s="28"/>
      <c r="L20" s="28"/>
      <c r="M20" s="28"/>
      <c r="N20" s="28"/>
      <c r="O20" s="28"/>
      <c r="P20" s="28"/>
      <c r="Q20" s="28"/>
      <c r="R20" s="28"/>
      <c r="S20" s="28"/>
      <c r="T20" s="28"/>
      <c r="U20" s="28"/>
      <c r="V20" s="28"/>
      <c r="W20" s="28"/>
      <c r="X20" s="28"/>
      <c r="Y20" s="28"/>
      <c r="Z20" s="28"/>
    </row>
    <row r="21" ht="15.75" customHeight="1">
      <c r="A21" s="28"/>
      <c r="B21" s="28" t="s">
        <v>178</v>
      </c>
      <c r="C21" s="51">
        <v>7500.0</v>
      </c>
      <c r="D21" s="49">
        <f>C21*12</f>
        <v>90000</v>
      </c>
      <c r="E21" s="49">
        <f>SUM(C3:C14)*C22</f>
        <v>109326</v>
      </c>
      <c r="F21" s="49">
        <f>SUM(C3:C14)*(C17-C18-C20)-((C19+C21)*12)</f>
        <v>109326</v>
      </c>
      <c r="G21" s="49">
        <f>SUM(H3:H14)</f>
        <v>109326</v>
      </c>
      <c r="H21" s="28"/>
      <c r="I21" s="28"/>
      <c r="J21" s="28"/>
      <c r="K21" s="28"/>
      <c r="L21" s="28"/>
      <c r="M21" s="28"/>
      <c r="N21" s="28"/>
      <c r="O21" s="28"/>
      <c r="P21" s="28"/>
      <c r="Q21" s="28"/>
      <c r="R21" s="28"/>
      <c r="S21" s="28"/>
      <c r="T21" s="28"/>
      <c r="U21" s="28"/>
      <c r="V21" s="28"/>
      <c r="W21" s="28"/>
      <c r="X21" s="28"/>
      <c r="Y21" s="28"/>
      <c r="Z21" s="28"/>
    </row>
    <row r="22" ht="15.75" customHeight="1">
      <c r="A22" s="28"/>
      <c r="B22" s="28" t="s">
        <v>179</v>
      </c>
      <c r="C22" s="128">
        <f>I15</f>
        <v>2.209945421</v>
      </c>
      <c r="D22" s="28"/>
      <c r="E22" s="129">
        <f>(F21-E21)/12</f>
        <v>0</v>
      </c>
      <c r="F22" s="28"/>
      <c r="G22" s="28"/>
      <c r="H22" s="28"/>
      <c r="I22" s="28"/>
      <c r="J22" s="28"/>
      <c r="K22" s="28"/>
      <c r="L22" s="28"/>
      <c r="M22" s="28"/>
      <c r="N22" s="28"/>
      <c r="O22" s="28"/>
      <c r="P22" s="28"/>
      <c r="Q22" s="28"/>
      <c r="R22" s="28"/>
      <c r="S22" s="28"/>
      <c r="T22" s="28"/>
      <c r="U22" s="28"/>
      <c r="V22" s="28"/>
      <c r="W22" s="28"/>
      <c r="X22" s="28"/>
      <c r="Y22" s="28"/>
      <c r="Z22" s="28"/>
    </row>
    <row r="23" ht="15.75" customHeight="1">
      <c r="A23" s="28"/>
      <c r="B23" s="28" t="s">
        <v>180</v>
      </c>
      <c r="C23" s="41">
        <v>5800.0</v>
      </c>
      <c r="D23" s="28"/>
      <c r="E23" s="28"/>
      <c r="F23" s="28"/>
      <c r="G23" s="28"/>
      <c r="H23" s="28"/>
      <c r="I23" s="28"/>
      <c r="J23" s="28"/>
      <c r="K23" s="28"/>
      <c r="L23" s="28"/>
      <c r="M23" s="28"/>
      <c r="N23" s="28"/>
      <c r="O23" s="28"/>
      <c r="P23" s="28"/>
      <c r="Q23" s="28"/>
      <c r="R23" s="28"/>
      <c r="S23" s="28"/>
      <c r="T23" s="28"/>
      <c r="U23" s="28"/>
      <c r="V23" s="28"/>
      <c r="W23" s="28"/>
      <c r="X23" s="28"/>
      <c r="Y23" s="28"/>
      <c r="Z23" s="28"/>
    </row>
    <row r="24" ht="15.75" customHeight="1">
      <c r="A24" s="28"/>
      <c r="B24" s="28" t="s">
        <v>181</v>
      </c>
      <c r="C24" s="51">
        <v>750000.0</v>
      </c>
      <c r="D24" s="28"/>
      <c r="E24" s="28"/>
      <c r="F24" s="28"/>
      <c r="G24" s="28"/>
      <c r="H24" s="28"/>
      <c r="I24" s="28"/>
      <c r="J24" s="28"/>
      <c r="K24" s="28"/>
      <c r="L24" s="28"/>
      <c r="M24" s="28"/>
      <c r="N24" s="28"/>
      <c r="O24" s="28"/>
      <c r="P24" s="28"/>
      <c r="Q24" s="28"/>
      <c r="R24" s="28"/>
      <c r="S24" s="28"/>
      <c r="T24" s="28"/>
      <c r="U24" s="28"/>
      <c r="V24" s="28"/>
      <c r="W24" s="28"/>
      <c r="X24" s="28"/>
      <c r="Y24" s="28"/>
      <c r="Z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5.75" customHeight="1">
      <c r="A28" s="28"/>
      <c r="B28" s="130" t="s">
        <v>110</v>
      </c>
      <c r="F28" s="28"/>
      <c r="G28" s="28"/>
      <c r="H28" s="28"/>
      <c r="I28" s="28"/>
      <c r="J28" s="28"/>
      <c r="K28" s="28"/>
      <c r="L28" s="28"/>
      <c r="M28" s="28"/>
      <c r="N28" s="28"/>
      <c r="O28" s="28"/>
      <c r="P28" s="28"/>
      <c r="Q28" s="28"/>
      <c r="R28" s="28"/>
      <c r="S28" s="28"/>
      <c r="T28" s="28"/>
      <c r="U28" s="28"/>
      <c r="V28" s="28"/>
      <c r="W28" s="28"/>
      <c r="X28" s="28"/>
      <c r="Y28" s="28"/>
      <c r="Z28" s="28"/>
    </row>
    <row r="29" ht="15.75" customHeight="1">
      <c r="A29" s="28"/>
      <c r="F29" s="28"/>
      <c r="G29" s="28"/>
      <c r="H29" s="28"/>
      <c r="I29" s="28"/>
      <c r="J29" s="28"/>
      <c r="K29" s="28"/>
      <c r="L29" s="28"/>
      <c r="M29" s="28"/>
      <c r="N29" s="28"/>
      <c r="O29" s="28"/>
      <c r="P29" s="28"/>
      <c r="Q29" s="28"/>
      <c r="R29" s="28"/>
      <c r="S29" s="28"/>
      <c r="T29" s="28"/>
      <c r="U29" s="28"/>
      <c r="V29" s="28"/>
      <c r="W29" s="28"/>
      <c r="X29" s="28"/>
      <c r="Y29" s="28"/>
      <c r="Z29" s="28"/>
    </row>
    <row r="30" ht="15.75" customHeight="1">
      <c r="A30" s="28"/>
      <c r="B30" s="15"/>
      <c r="C30" s="15"/>
      <c r="D30" s="15"/>
      <c r="E30" s="15"/>
      <c r="F30" s="28"/>
      <c r="G30" s="28"/>
      <c r="H30" s="28"/>
      <c r="I30" s="28"/>
      <c r="J30" s="28"/>
      <c r="K30" s="28"/>
      <c r="L30" s="28"/>
      <c r="M30" s="28"/>
      <c r="N30" s="28"/>
      <c r="O30" s="28"/>
      <c r="P30" s="28"/>
      <c r="Q30" s="28"/>
      <c r="R30" s="28"/>
      <c r="S30" s="28"/>
      <c r="T30" s="28"/>
      <c r="U30" s="28"/>
      <c r="V30" s="28"/>
      <c r="W30" s="28"/>
      <c r="X30" s="28"/>
      <c r="Y30" s="28"/>
      <c r="Z30" s="28"/>
    </row>
    <row r="31" ht="15.75" customHeight="1">
      <c r="A31" s="28"/>
      <c r="B31" s="102" t="s">
        <v>120</v>
      </c>
      <c r="C31" s="103"/>
      <c r="D31" s="103"/>
      <c r="E31" s="127">
        <v>13.0</v>
      </c>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106" t="s">
        <v>122</v>
      </c>
      <c r="C32" s="107"/>
      <c r="D32" s="107"/>
      <c r="E32" s="108">
        <v>4200.0</v>
      </c>
      <c r="F32" s="28"/>
      <c r="G32" s="28"/>
      <c r="H32" s="28"/>
      <c r="I32" s="28"/>
      <c r="J32" s="28"/>
      <c r="K32" s="28"/>
      <c r="L32" s="28"/>
      <c r="M32" s="28"/>
      <c r="N32" s="28"/>
      <c r="O32" s="28"/>
      <c r="P32" s="28"/>
      <c r="Q32" s="28"/>
      <c r="R32" s="28"/>
      <c r="S32" s="28"/>
      <c r="T32" s="28"/>
      <c r="U32" s="28"/>
      <c r="V32" s="28"/>
      <c r="W32" s="28"/>
      <c r="X32" s="28"/>
      <c r="Y32" s="28"/>
      <c r="Z32" s="28"/>
    </row>
    <row r="33" ht="15.75" customHeight="1">
      <c r="A33" s="28"/>
      <c r="B33" s="106" t="s">
        <v>124</v>
      </c>
      <c r="C33" s="107"/>
      <c r="D33" s="107"/>
      <c r="E33" s="104">
        <v>4.8</v>
      </c>
      <c r="F33" s="28"/>
      <c r="G33" s="28"/>
      <c r="H33" s="28"/>
      <c r="I33" s="28"/>
      <c r="J33" s="28"/>
      <c r="K33" s="28"/>
      <c r="L33" s="28"/>
      <c r="M33" s="28"/>
      <c r="N33" s="28"/>
      <c r="O33" s="28"/>
      <c r="P33" s="28"/>
      <c r="Q33" s="28"/>
      <c r="R33" s="28"/>
      <c r="S33" s="28"/>
      <c r="T33" s="28"/>
      <c r="U33" s="28"/>
      <c r="V33" s="28"/>
      <c r="W33" s="28"/>
      <c r="X33" s="28"/>
      <c r="Y33" s="28"/>
      <c r="Z33" s="28"/>
    </row>
    <row r="34" ht="15.75" customHeight="1">
      <c r="A34" s="28"/>
      <c r="B34" s="106" t="s">
        <v>126</v>
      </c>
      <c r="C34" s="107"/>
      <c r="D34" s="107"/>
      <c r="E34" s="131">
        <v>14700.0</v>
      </c>
      <c r="F34" s="28"/>
      <c r="G34" s="28"/>
      <c r="H34" s="28"/>
      <c r="I34" s="28"/>
      <c r="J34" s="28"/>
      <c r="K34" s="28"/>
      <c r="L34" s="28"/>
      <c r="M34" s="28"/>
      <c r="N34" s="28"/>
      <c r="O34" s="28"/>
      <c r="P34" s="28"/>
      <c r="Q34" s="28"/>
      <c r="R34" s="28"/>
      <c r="S34" s="28"/>
      <c r="T34" s="28"/>
      <c r="U34" s="28"/>
      <c r="V34" s="28"/>
      <c r="W34" s="28"/>
      <c r="X34" s="28"/>
      <c r="Y34" s="28"/>
      <c r="Z34" s="28"/>
    </row>
    <row r="35" ht="15.75" customHeight="1">
      <c r="A35" s="28"/>
      <c r="B35" s="106" t="s">
        <v>128</v>
      </c>
      <c r="C35" s="107"/>
      <c r="D35" s="107"/>
      <c r="E35" s="104">
        <v>4.0</v>
      </c>
      <c r="F35" s="28"/>
      <c r="G35" s="28"/>
      <c r="H35" s="28"/>
      <c r="I35" s="28"/>
      <c r="J35" s="28"/>
      <c r="K35" s="28"/>
      <c r="L35" s="28"/>
      <c r="M35" s="28"/>
      <c r="N35" s="28"/>
      <c r="O35" s="28"/>
      <c r="P35" s="28"/>
      <c r="Q35" s="28"/>
      <c r="R35" s="28"/>
      <c r="S35" s="28"/>
      <c r="T35" s="28"/>
      <c r="U35" s="28"/>
      <c r="V35" s="28"/>
      <c r="W35" s="28"/>
      <c r="X35" s="28"/>
      <c r="Y35" s="28"/>
      <c r="Z35" s="28"/>
    </row>
    <row r="36" ht="15.75" customHeight="1">
      <c r="A36" s="28"/>
      <c r="B36" s="106" t="s">
        <v>129</v>
      </c>
      <c r="C36" s="107"/>
      <c r="D36" s="107"/>
      <c r="E36" s="127">
        <v>25.0</v>
      </c>
      <c r="F36" s="28"/>
      <c r="G36" s="28"/>
      <c r="H36" s="28"/>
      <c r="I36" s="28"/>
      <c r="J36" s="28"/>
      <c r="K36" s="28"/>
      <c r="L36" s="28"/>
      <c r="M36" s="28"/>
      <c r="N36" s="28"/>
      <c r="O36" s="28"/>
      <c r="P36" s="28"/>
      <c r="Q36" s="28"/>
      <c r="R36" s="28"/>
      <c r="S36" s="28"/>
      <c r="T36" s="28"/>
      <c r="U36" s="28"/>
      <c r="V36" s="28"/>
      <c r="W36" s="28"/>
      <c r="X36" s="28"/>
      <c r="Y36" s="28"/>
      <c r="Z36" s="28"/>
    </row>
    <row r="37" ht="15.75" customHeight="1">
      <c r="A37" s="28"/>
      <c r="B37" s="106" t="s">
        <v>131</v>
      </c>
      <c r="C37" s="107"/>
      <c r="D37" s="107"/>
      <c r="E37" s="111">
        <f>21500*12</f>
        <v>258000</v>
      </c>
      <c r="F37" s="49">
        <f>E36*E37</f>
        <v>6450000</v>
      </c>
      <c r="G37" s="28"/>
      <c r="H37" s="28"/>
      <c r="I37" s="28"/>
      <c r="J37" s="28"/>
      <c r="K37" s="28"/>
      <c r="L37" s="28"/>
      <c r="M37" s="28"/>
      <c r="N37" s="28"/>
      <c r="O37" s="28"/>
      <c r="P37" s="28"/>
      <c r="Q37" s="28"/>
      <c r="R37" s="28"/>
      <c r="S37" s="28"/>
      <c r="T37" s="28"/>
      <c r="U37" s="28"/>
      <c r="V37" s="28"/>
      <c r="W37" s="28"/>
      <c r="X37" s="28"/>
      <c r="Y37" s="28"/>
      <c r="Z37" s="28"/>
    </row>
    <row r="38" ht="15.75" customHeight="1">
      <c r="A38" s="28"/>
      <c r="B38" s="113" t="s">
        <v>182</v>
      </c>
      <c r="C38" s="114"/>
      <c r="D38" s="114"/>
      <c r="E38" s="115">
        <v>374000.0</v>
      </c>
      <c r="F38" s="28"/>
      <c r="G38" s="28"/>
      <c r="H38" s="28"/>
      <c r="I38" s="28"/>
      <c r="J38" s="28"/>
      <c r="K38" s="28"/>
      <c r="L38" s="28"/>
      <c r="M38" s="28"/>
      <c r="N38" s="28"/>
      <c r="O38" s="28"/>
      <c r="P38" s="28"/>
      <c r="Q38" s="28"/>
      <c r="R38" s="28"/>
      <c r="S38" s="28"/>
      <c r="T38" s="28"/>
      <c r="U38" s="28"/>
      <c r="V38" s="28"/>
      <c r="W38" s="28"/>
      <c r="X38" s="28"/>
      <c r="Y38" s="28"/>
      <c r="Z38" s="28"/>
    </row>
    <row r="39" ht="15.75" customHeight="1">
      <c r="A39" s="28"/>
      <c r="B39" s="106" t="s">
        <v>133</v>
      </c>
      <c r="C39" s="107"/>
      <c r="D39" s="107"/>
      <c r="E39" s="108">
        <v>72000.0</v>
      </c>
      <c r="F39" s="28"/>
      <c r="G39" s="28"/>
      <c r="H39" s="28"/>
      <c r="I39" s="28"/>
      <c r="J39" s="28"/>
      <c r="K39" s="28"/>
      <c r="L39" s="28"/>
      <c r="M39" s="28"/>
      <c r="N39" s="28"/>
      <c r="O39" s="28"/>
      <c r="P39" s="28"/>
      <c r="Q39" s="28"/>
      <c r="R39" s="28"/>
      <c r="S39" s="28"/>
      <c r="T39" s="28"/>
      <c r="U39" s="28"/>
      <c r="V39" s="28"/>
      <c r="W39" s="28"/>
      <c r="X39" s="28"/>
      <c r="Y39" s="28"/>
      <c r="Z39" s="28"/>
    </row>
    <row r="40" ht="15.75" customHeight="1">
      <c r="A40" s="28"/>
      <c r="B40" s="106" t="s">
        <v>134</v>
      </c>
      <c r="C40" s="107"/>
      <c r="D40" s="107"/>
      <c r="E40" s="116">
        <v>2021.0</v>
      </c>
      <c r="F40" s="28"/>
      <c r="G40" s="28"/>
      <c r="H40" s="28"/>
      <c r="I40" s="28"/>
      <c r="J40" s="28"/>
      <c r="K40" s="28"/>
      <c r="L40" s="28"/>
      <c r="M40" s="28"/>
      <c r="N40" s="28"/>
      <c r="O40" s="28"/>
      <c r="P40" s="28"/>
      <c r="Q40" s="28"/>
      <c r="R40" s="28"/>
      <c r="S40" s="28"/>
      <c r="T40" s="28"/>
      <c r="U40" s="28"/>
      <c r="V40" s="28"/>
      <c r="W40" s="28"/>
      <c r="X40" s="28"/>
      <c r="Y40" s="28"/>
      <c r="Z40" s="28"/>
    </row>
    <row r="41" ht="15.75" customHeight="1">
      <c r="A41" s="28"/>
      <c r="B41" s="106" t="s">
        <v>135</v>
      </c>
      <c r="C41" s="107"/>
      <c r="D41" s="107"/>
      <c r="E41" s="119">
        <v>25.0</v>
      </c>
      <c r="F41" s="28"/>
      <c r="G41" s="28"/>
      <c r="H41" s="28"/>
      <c r="I41" s="28"/>
      <c r="J41" s="28"/>
      <c r="K41" s="28"/>
      <c r="L41" s="28"/>
      <c r="M41" s="28"/>
      <c r="N41" s="28"/>
      <c r="O41" s="28"/>
      <c r="P41" s="28"/>
      <c r="Q41" s="28"/>
      <c r="R41" s="28"/>
      <c r="S41" s="28"/>
      <c r="T41" s="28"/>
      <c r="U41" s="28"/>
      <c r="V41" s="28"/>
      <c r="W41" s="28"/>
      <c r="X41" s="28"/>
      <c r="Y41" s="28"/>
      <c r="Z41" s="28"/>
    </row>
    <row r="42" ht="15.75" customHeight="1">
      <c r="A42" s="28"/>
      <c r="B42" s="120" t="s">
        <v>136</v>
      </c>
      <c r="C42" s="121"/>
      <c r="D42" s="121"/>
      <c r="E42" s="122">
        <v>31000.0</v>
      </c>
      <c r="F42" s="28"/>
      <c r="G42" s="28"/>
      <c r="H42" s="28"/>
      <c r="I42" s="28"/>
      <c r="J42" s="28"/>
      <c r="K42" s="28"/>
      <c r="L42" s="28"/>
      <c r="M42" s="28"/>
      <c r="N42" s="28"/>
      <c r="O42" s="28"/>
      <c r="P42" s="28"/>
      <c r="Q42" s="28"/>
      <c r="R42" s="28"/>
      <c r="S42" s="28"/>
      <c r="T42" s="28"/>
      <c r="U42" s="28"/>
      <c r="V42" s="28"/>
      <c r="W42" s="28"/>
      <c r="X42" s="28"/>
      <c r="Y42" s="28"/>
      <c r="Z42" s="28"/>
    </row>
    <row r="43" ht="15.75" customHeight="1">
      <c r="A43" s="28"/>
      <c r="B43" s="28" t="s">
        <v>183</v>
      </c>
      <c r="C43" s="28"/>
      <c r="D43" s="28"/>
      <c r="E43" s="49">
        <f>(E38+E39-E42)/E41</f>
        <v>16600</v>
      </c>
      <c r="F43" s="49"/>
      <c r="G43" s="28"/>
      <c r="H43" s="28"/>
      <c r="I43" s="28"/>
      <c r="J43" s="28"/>
      <c r="K43" s="28"/>
      <c r="L43" s="28"/>
      <c r="M43" s="28"/>
      <c r="N43" s="28"/>
      <c r="O43" s="28"/>
      <c r="P43" s="28"/>
      <c r="Q43" s="28"/>
      <c r="R43" s="28"/>
      <c r="S43" s="28"/>
      <c r="T43" s="28"/>
      <c r="U43" s="28"/>
      <c r="V43" s="28"/>
      <c r="W43" s="28"/>
      <c r="X43" s="28"/>
      <c r="Y43" s="28"/>
      <c r="Z43" s="28"/>
    </row>
    <row r="44" ht="15.75" customHeight="1">
      <c r="A44" s="28"/>
      <c r="B44" s="28" t="s">
        <v>184</v>
      </c>
      <c r="C44" s="28"/>
      <c r="D44" s="28"/>
      <c r="E44" s="132">
        <v>0.09</v>
      </c>
      <c r="F44" s="28"/>
      <c r="G44" s="28"/>
      <c r="H44" s="28"/>
      <c r="I44" s="28"/>
      <c r="J44" s="28"/>
      <c r="K44" s="28"/>
      <c r="L44" s="28"/>
      <c r="M44" s="28"/>
      <c r="N44" s="28"/>
      <c r="O44" s="28"/>
      <c r="P44" s="28"/>
      <c r="Q44" s="28"/>
      <c r="R44" s="28"/>
      <c r="S44" s="28"/>
      <c r="T44" s="28"/>
      <c r="U44" s="28"/>
      <c r="V44" s="28"/>
      <c r="W44" s="28"/>
      <c r="X44" s="28"/>
      <c r="Y44" s="28"/>
      <c r="Z44" s="28"/>
    </row>
    <row r="45" ht="15.75" customHeight="1">
      <c r="A45" s="28"/>
      <c r="B45" s="28"/>
      <c r="C45" s="28"/>
      <c r="D45" s="28"/>
      <c r="E45" s="28">
        <f>(E38+E39)*E44</f>
        <v>40140</v>
      </c>
      <c r="F45" s="28"/>
      <c r="G45" s="49"/>
      <c r="H45" s="28"/>
      <c r="I45" s="28"/>
      <c r="J45" s="28"/>
      <c r="K45" s="28"/>
      <c r="L45" s="28"/>
      <c r="M45" s="28"/>
      <c r="N45" s="28"/>
      <c r="O45" s="28"/>
      <c r="P45" s="28"/>
      <c r="Q45" s="28"/>
      <c r="R45" s="28"/>
      <c r="S45" s="28"/>
      <c r="T45" s="28"/>
      <c r="U45" s="28"/>
      <c r="V45" s="28"/>
      <c r="W45" s="28"/>
      <c r="X45" s="28"/>
      <c r="Y45" s="28"/>
      <c r="Z45" s="28"/>
    </row>
    <row r="46" ht="15.75" customHeight="1">
      <c r="A46" s="28"/>
      <c r="B46" s="28" t="s">
        <v>172</v>
      </c>
      <c r="C46" s="28"/>
      <c r="D46" s="28"/>
      <c r="E46" s="49">
        <f>E37*(E36-E31-E33-E35)-E32-E34-E43-E45</f>
        <v>749960</v>
      </c>
      <c r="F46" s="28"/>
      <c r="G46" s="28"/>
      <c r="H46" s="28"/>
      <c r="I46" s="28"/>
      <c r="J46" s="28"/>
      <c r="K46" s="28"/>
      <c r="L46" s="28"/>
      <c r="M46" s="28"/>
      <c r="N46" s="28"/>
      <c r="O46" s="28"/>
      <c r="P46" s="28"/>
      <c r="Q46" s="28"/>
      <c r="R46" s="28"/>
      <c r="S46" s="28"/>
      <c r="T46" s="28"/>
      <c r="U46" s="28"/>
      <c r="V46" s="28"/>
      <c r="W46" s="28"/>
      <c r="X46" s="28"/>
      <c r="Y46" s="28"/>
      <c r="Z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
    <mergeCell ref="B28:E30"/>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24.29"/>
    <col customWidth="1" min="3" max="3" width="16.29"/>
    <col customWidth="1" min="4" max="4" width="25.71"/>
    <col customWidth="1" min="5" max="5" width="20.57"/>
    <col customWidth="1" min="6" max="7" width="25.71"/>
    <col customWidth="1" min="8" max="8" width="23.71"/>
    <col customWidth="1" min="9" max="9" width="15.43"/>
    <col customWidth="1" min="10" max="14" width="2.29"/>
    <col customWidth="1" min="15" max="26" width="11.43"/>
  </cols>
  <sheetData>
    <row r="1">
      <c r="A1" s="28"/>
      <c r="B1" s="28"/>
      <c r="C1" s="28"/>
      <c r="D1" s="28"/>
      <c r="E1" s="28"/>
      <c r="F1" s="28"/>
      <c r="G1" s="28"/>
      <c r="H1" s="28"/>
      <c r="I1" s="28"/>
      <c r="J1" s="28"/>
      <c r="K1" s="28"/>
      <c r="L1" s="28"/>
      <c r="M1" s="28"/>
      <c r="N1" s="28"/>
      <c r="O1" s="28"/>
      <c r="P1" s="28"/>
      <c r="Q1" s="28"/>
      <c r="R1" s="28"/>
      <c r="S1" s="28"/>
      <c r="T1" s="28"/>
      <c r="U1" s="28"/>
      <c r="V1" s="28"/>
      <c r="W1" s="28"/>
      <c r="X1" s="28"/>
      <c r="Y1" s="28"/>
      <c r="Z1" s="28"/>
    </row>
    <row r="2">
      <c r="A2" s="28"/>
      <c r="B2" s="28"/>
      <c r="C2" s="28"/>
      <c r="D2" s="28"/>
      <c r="E2" s="28"/>
      <c r="F2" s="28"/>
      <c r="G2" s="28"/>
      <c r="H2" s="28"/>
      <c r="I2" s="28"/>
      <c r="J2" s="28"/>
      <c r="K2" s="28"/>
      <c r="L2" s="28"/>
      <c r="M2" s="28"/>
      <c r="N2" s="28"/>
      <c r="O2" s="28"/>
      <c r="P2" s="28"/>
      <c r="Q2" s="28"/>
      <c r="R2" s="28"/>
      <c r="S2" s="28"/>
      <c r="T2" s="28"/>
      <c r="U2" s="28"/>
      <c r="V2" s="28"/>
      <c r="W2" s="28"/>
      <c r="X2" s="28"/>
      <c r="Y2" s="28"/>
      <c r="Z2" s="28"/>
    </row>
    <row r="3">
      <c r="A3" s="28"/>
      <c r="B3" s="133" t="s">
        <v>28</v>
      </c>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c r="A5" s="28"/>
      <c r="B5" s="42" t="s">
        <v>32</v>
      </c>
      <c r="C5" s="43"/>
      <c r="D5" s="43"/>
      <c r="E5" s="44"/>
      <c r="F5" s="28"/>
      <c r="G5" s="28"/>
      <c r="H5" s="28"/>
      <c r="I5" s="28"/>
      <c r="J5" s="28"/>
      <c r="K5" s="28"/>
      <c r="L5" s="28"/>
      <c r="M5" s="28"/>
      <c r="N5" s="28"/>
      <c r="O5" s="28"/>
      <c r="P5" s="28"/>
      <c r="Q5" s="28"/>
      <c r="R5" s="28"/>
      <c r="S5" s="28"/>
      <c r="T5" s="28"/>
      <c r="U5" s="28"/>
      <c r="V5" s="28"/>
      <c r="W5" s="28"/>
      <c r="X5" s="28"/>
      <c r="Y5" s="28"/>
      <c r="Z5" s="28"/>
    </row>
    <row r="6">
      <c r="A6" s="28"/>
      <c r="B6" s="38" t="str">
        <f>'Enoncé'!D9</f>
        <v>Revenus</v>
      </c>
      <c r="C6" s="49">
        <f>'Enoncé'!D10</f>
        <v>85715</v>
      </c>
      <c r="D6" s="28"/>
      <c r="E6" s="39"/>
      <c r="F6" s="28"/>
      <c r="G6" s="28"/>
      <c r="H6" s="28"/>
      <c r="I6" s="28"/>
      <c r="J6" s="28"/>
      <c r="K6" s="28"/>
      <c r="L6" s="28"/>
      <c r="M6" s="28"/>
      <c r="N6" s="28"/>
      <c r="O6" s="28"/>
      <c r="P6" s="28"/>
      <c r="Q6" s="28"/>
      <c r="R6" s="28"/>
      <c r="S6" s="28"/>
      <c r="T6" s="28"/>
      <c r="U6" s="28"/>
      <c r="V6" s="28"/>
      <c r="W6" s="28"/>
      <c r="X6" s="28"/>
      <c r="Y6" s="28"/>
      <c r="Z6" s="28"/>
    </row>
    <row r="7">
      <c r="A7" s="28"/>
      <c r="B7" s="38" t="str">
        <f>'Enoncé'!C9</f>
        <v>Unités vendues</v>
      </c>
      <c r="C7" s="134">
        <f>'Enoncé'!C10</f>
        <v>5530</v>
      </c>
      <c r="D7" s="28"/>
      <c r="E7" s="39"/>
      <c r="F7" s="28"/>
      <c r="G7" s="28"/>
      <c r="H7" s="28"/>
      <c r="I7" s="28"/>
      <c r="J7" s="28"/>
      <c r="K7" s="28"/>
      <c r="L7" s="28"/>
      <c r="M7" s="28"/>
      <c r="N7" s="28"/>
      <c r="O7" s="28"/>
      <c r="P7" s="28"/>
      <c r="Q7" s="28"/>
      <c r="R7" s="28"/>
      <c r="S7" s="28"/>
      <c r="T7" s="28"/>
      <c r="U7" s="28"/>
      <c r="V7" s="28"/>
      <c r="W7" s="28"/>
      <c r="X7" s="28"/>
      <c r="Y7" s="28"/>
      <c r="Z7" s="28"/>
    </row>
    <row r="8">
      <c r="A8" s="28"/>
      <c r="B8" s="38"/>
      <c r="C8" s="28"/>
      <c r="D8" s="28"/>
      <c r="E8" s="39"/>
      <c r="F8" s="28"/>
      <c r="G8" s="28"/>
      <c r="H8" s="28"/>
      <c r="I8" s="28"/>
      <c r="J8" s="28"/>
      <c r="K8" s="28"/>
      <c r="L8" s="28"/>
      <c r="M8" s="28"/>
      <c r="N8" s="28"/>
      <c r="O8" s="28"/>
      <c r="P8" s="28"/>
      <c r="Q8" s="28"/>
      <c r="R8" s="28"/>
      <c r="S8" s="28"/>
      <c r="T8" s="28"/>
      <c r="U8" s="28"/>
      <c r="V8" s="28"/>
      <c r="W8" s="28"/>
      <c r="X8" s="28"/>
      <c r="Y8" s="28"/>
      <c r="Z8" s="28"/>
    </row>
    <row r="9">
      <c r="A9" s="28"/>
      <c r="B9" s="38"/>
      <c r="C9" s="28"/>
      <c r="D9" s="28"/>
      <c r="E9" s="39"/>
      <c r="F9" s="28"/>
      <c r="G9" s="28"/>
      <c r="H9" s="28"/>
      <c r="I9" s="28"/>
      <c r="J9" s="28"/>
      <c r="K9" s="28"/>
      <c r="L9" s="28"/>
      <c r="M9" s="28"/>
      <c r="N9" s="28"/>
      <c r="O9" s="28"/>
      <c r="P9" s="28"/>
      <c r="Q9" s="28"/>
      <c r="R9" s="28"/>
      <c r="S9" s="28"/>
      <c r="T9" s="28"/>
      <c r="U9" s="28"/>
      <c r="V9" s="28"/>
      <c r="W9" s="28"/>
      <c r="X9" s="28"/>
      <c r="Y9" s="28"/>
      <c r="Z9" s="28"/>
    </row>
    <row r="10">
      <c r="A10" s="28"/>
      <c r="B10" s="61"/>
      <c r="C10" s="62" t="s">
        <v>44</v>
      </c>
      <c r="D10" s="15"/>
      <c r="E10" s="135">
        <f>C6/C7</f>
        <v>15.5</v>
      </c>
      <c r="F10" s="28"/>
      <c r="G10" s="28"/>
      <c r="H10" s="28"/>
      <c r="I10" s="28"/>
      <c r="J10" s="28"/>
      <c r="K10" s="28"/>
      <c r="L10" s="28"/>
      <c r="M10" s="28"/>
      <c r="N10" s="28"/>
      <c r="O10" s="28"/>
      <c r="P10" s="28"/>
      <c r="Q10" s="28"/>
      <c r="R10" s="28"/>
      <c r="S10" s="28"/>
      <c r="T10" s="28"/>
      <c r="U10" s="28"/>
      <c r="V10" s="28"/>
      <c r="W10" s="28"/>
      <c r="X10" s="28"/>
      <c r="Y10" s="28"/>
      <c r="Z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8"/>
      <c r="B12" s="64" t="s">
        <v>47</v>
      </c>
      <c r="C12" s="43"/>
      <c r="D12" s="43"/>
      <c r="E12" s="43"/>
      <c r="F12" s="43"/>
      <c r="G12" s="43"/>
      <c r="H12" s="43"/>
      <c r="I12" s="44"/>
      <c r="J12" s="28"/>
      <c r="K12" s="28"/>
      <c r="L12" s="28"/>
      <c r="M12" s="28"/>
      <c r="N12" s="28"/>
      <c r="O12" s="28"/>
      <c r="P12" s="28"/>
      <c r="Q12" s="28"/>
      <c r="R12" s="28"/>
      <c r="S12" s="28"/>
      <c r="T12" s="28"/>
      <c r="U12" s="28"/>
      <c r="V12" s="28"/>
      <c r="W12" s="28"/>
      <c r="X12" s="28"/>
      <c r="Y12" s="28"/>
      <c r="Z12" s="28"/>
    </row>
    <row r="13">
      <c r="A13" s="28"/>
      <c r="B13" s="38"/>
      <c r="C13" s="28" t="s">
        <v>185</v>
      </c>
      <c r="D13" s="28" t="s">
        <v>186</v>
      </c>
      <c r="E13" s="28" t="s">
        <v>187</v>
      </c>
      <c r="F13" s="28" t="s">
        <v>188</v>
      </c>
      <c r="G13" s="28"/>
      <c r="H13" s="28"/>
      <c r="I13" s="39"/>
      <c r="J13" s="28"/>
      <c r="K13" s="28"/>
      <c r="L13" s="28"/>
      <c r="M13" s="28"/>
      <c r="N13" s="28"/>
      <c r="O13" s="28"/>
      <c r="P13" s="28"/>
      <c r="Q13" s="28"/>
      <c r="R13" s="28"/>
      <c r="S13" s="28"/>
      <c r="T13" s="28"/>
      <c r="U13" s="28"/>
      <c r="V13" s="28"/>
      <c r="W13" s="28"/>
      <c r="X13" s="28"/>
      <c r="Y13" s="28"/>
      <c r="Z13" s="28"/>
    </row>
    <row r="14">
      <c r="A14" s="28"/>
      <c r="B14" s="38" t="s">
        <v>42</v>
      </c>
      <c r="C14" s="41">
        <f>Feuil2!C3</f>
        <v>5530</v>
      </c>
      <c r="D14" s="49">
        <f>Feuil2!E3</f>
        <v>37448.5</v>
      </c>
      <c r="E14" s="28">
        <f t="shared" ref="E14:E25" si="1">C14*C14</f>
        <v>30580900</v>
      </c>
      <c r="F14" s="28">
        <f t="shared" ref="F14:F25" si="2">C14*D14</f>
        <v>207090205</v>
      </c>
      <c r="G14" s="28"/>
      <c r="H14" s="28"/>
      <c r="I14" s="39"/>
      <c r="J14" s="28"/>
      <c r="K14" s="28"/>
      <c r="L14" s="28"/>
      <c r="M14" s="28"/>
      <c r="N14" s="28"/>
      <c r="O14" s="28"/>
      <c r="P14" s="28"/>
      <c r="Q14" s="28"/>
      <c r="R14" s="28"/>
      <c r="S14" s="28"/>
      <c r="T14" s="28"/>
      <c r="U14" s="28"/>
      <c r="V14" s="28"/>
      <c r="W14" s="28"/>
      <c r="X14" s="28"/>
      <c r="Y14" s="28"/>
      <c r="Z14" s="28"/>
    </row>
    <row r="15" ht="15.75" customHeight="1">
      <c r="A15" s="28"/>
      <c r="B15" s="38" t="s">
        <v>189</v>
      </c>
      <c r="C15" s="41">
        <f>Feuil2!C4</f>
        <v>3120</v>
      </c>
      <c r="D15" s="49">
        <f>Feuil2!E4</f>
        <v>23591</v>
      </c>
      <c r="E15" s="28">
        <f t="shared" si="1"/>
        <v>9734400</v>
      </c>
      <c r="F15" s="28">
        <f t="shared" si="2"/>
        <v>73603920</v>
      </c>
      <c r="G15" s="28"/>
      <c r="H15" s="28"/>
      <c r="I15" s="39"/>
      <c r="J15" s="28"/>
      <c r="K15" s="28"/>
      <c r="L15" s="28"/>
      <c r="M15" s="28"/>
      <c r="N15" s="28"/>
      <c r="O15" s="28"/>
      <c r="P15" s="28"/>
      <c r="Q15" s="28"/>
      <c r="R15" s="28"/>
      <c r="S15" s="28"/>
      <c r="T15" s="28"/>
      <c r="U15" s="28"/>
      <c r="V15" s="28"/>
      <c r="W15" s="28"/>
      <c r="X15" s="28"/>
      <c r="Y15" s="28"/>
      <c r="Z15" s="28"/>
    </row>
    <row r="16" ht="15.75" customHeight="1">
      <c r="A16" s="28"/>
      <c r="B16" s="38" t="s">
        <v>45</v>
      </c>
      <c r="C16" s="41">
        <f>Feuil2!C5</f>
        <v>5390</v>
      </c>
      <c r="D16" s="49">
        <f>Feuil2!E5</f>
        <v>36643.5</v>
      </c>
      <c r="E16" s="28">
        <f t="shared" si="1"/>
        <v>29052100</v>
      </c>
      <c r="F16" s="28">
        <f t="shared" si="2"/>
        <v>197508465</v>
      </c>
      <c r="G16" s="28"/>
      <c r="H16" s="28"/>
      <c r="I16" s="39"/>
      <c r="J16" s="28"/>
      <c r="K16" s="28"/>
      <c r="L16" s="28"/>
      <c r="M16" s="28"/>
      <c r="N16" s="28"/>
      <c r="O16" s="28"/>
      <c r="P16" s="28"/>
      <c r="Q16" s="28"/>
      <c r="R16" s="28"/>
      <c r="S16" s="28"/>
      <c r="T16" s="28"/>
      <c r="U16" s="28"/>
      <c r="V16" s="28"/>
      <c r="W16" s="28"/>
      <c r="X16" s="28"/>
      <c r="Y16" s="28"/>
      <c r="Z16" s="28"/>
    </row>
    <row r="17" ht="15.75" customHeight="1">
      <c r="A17" s="28"/>
      <c r="B17" s="38" t="s">
        <v>46</v>
      </c>
      <c r="C17" s="41">
        <f>Feuil2!C6</f>
        <v>4460</v>
      </c>
      <c r="D17" s="49">
        <f>Feuil2!E6</f>
        <v>31296</v>
      </c>
      <c r="E17" s="28">
        <f t="shared" si="1"/>
        <v>19891600</v>
      </c>
      <c r="F17" s="28">
        <f t="shared" si="2"/>
        <v>139580160</v>
      </c>
      <c r="G17" s="28"/>
      <c r="H17" s="28"/>
      <c r="I17" s="39"/>
      <c r="J17" s="28"/>
      <c r="K17" s="28"/>
      <c r="L17" s="28"/>
      <c r="M17" s="28"/>
      <c r="N17" s="28"/>
      <c r="O17" s="28"/>
      <c r="P17" s="28"/>
      <c r="Q17" s="28"/>
      <c r="R17" s="28"/>
      <c r="S17" s="28"/>
      <c r="T17" s="28"/>
      <c r="U17" s="28"/>
      <c r="V17" s="28"/>
      <c r="W17" s="28"/>
      <c r="X17" s="28"/>
      <c r="Y17" s="28"/>
      <c r="Z17" s="28"/>
    </row>
    <row r="18" ht="15.75" customHeight="1">
      <c r="A18" s="28"/>
      <c r="B18" s="38" t="s">
        <v>48</v>
      </c>
      <c r="C18" s="41">
        <f>Feuil2!C7</f>
        <v>3450</v>
      </c>
      <c r="D18" s="49">
        <f>Feuil2!E7</f>
        <v>25488.5</v>
      </c>
      <c r="E18" s="28">
        <f t="shared" si="1"/>
        <v>11902500</v>
      </c>
      <c r="F18" s="28">
        <f t="shared" si="2"/>
        <v>87935325</v>
      </c>
      <c r="G18" s="28"/>
      <c r="H18" s="28"/>
      <c r="I18" s="39"/>
      <c r="J18" s="28"/>
      <c r="K18" s="28"/>
      <c r="L18" s="28"/>
      <c r="M18" s="28"/>
      <c r="N18" s="28"/>
      <c r="O18" s="28"/>
      <c r="P18" s="28"/>
      <c r="Q18" s="28"/>
      <c r="R18" s="28"/>
      <c r="S18" s="28"/>
      <c r="T18" s="28"/>
      <c r="U18" s="28"/>
      <c r="V18" s="28"/>
      <c r="W18" s="28"/>
      <c r="X18" s="28"/>
      <c r="Y18" s="28"/>
      <c r="Z18" s="28"/>
    </row>
    <row r="19" ht="15.75" customHeight="1">
      <c r="A19" s="28"/>
      <c r="B19" s="38" t="s">
        <v>51</v>
      </c>
      <c r="C19" s="41">
        <f>Feuil2!C8</f>
        <v>4120</v>
      </c>
      <c r="D19" s="49">
        <f>Feuil2!E8</f>
        <v>29341</v>
      </c>
      <c r="E19" s="28">
        <f t="shared" si="1"/>
        <v>16974400</v>
      </c>
      <c r="F19" s="28">
        <f t="shared" si="2"/>
        <v>120884920</v>
      </c>
      <c r="G19" s="28"/>
      <c r="H19" s="28"/>
      <c r="I19" s="39"/>
      <c r="J19" s="28"/>
      <c r="K19" s="28"/>
      <c r="L19" s="28"/>
      <c r="M19" s="28"/>
      <c r="N19" s="28"/>
      <c r="O19" s="28"/>
      <c r="P19" s="28"/>
      <c r="Q19" s="28"/>
      <c r="R19" s="28"/>
      <c r="S19" s="28"/>
      <c r="T19" s="28"/>
      <c r="U19" s="28"/>
      <c r="V19" s="28"/>
      <c r="W19" s="28"/>
      <c r="X19" s="28"/>
      <c r="Y19" s="28"/>
      <c r="Z19" s="28"/>
    </row>
    <row r="20" ht="15.75" customHeight="1">
      <c r="A20" s="28"/>
      <c r="B20" s="38" t="s">
        <v>57</v>
      </c>
      <c r="C20" s="41">
        <f>Feuil2!C9</f>
        <v>4060</v>
      </c>
      <c r="D20" s="49">
        <f>Feuil2!E9</f>
        <v>28996</v>
      </c>
      <c r="E20" s="28">
        <f t="shared" si="1"/>
        <v>16483600</v>
      </c>
      <c r="F20" s="28">
        <f t="shared" si="2"/>
        <v>117723760</v>
      </c>
      <c r="G20" s="28"/>
      <c r="H20" s="28"/>
      <c r="I20" s="39"/>
      <c r="J20" s="28"/>
      <c r="K20" s="28"/>
      <c r="L20" s="28"/>
      <c r="M20" s="28"/>
      <c r="N20" s="28"/>
      <c r="O20" s="28"/>
      <c r="P20" s="28"/>
      <c r="Q20" s="28"/>
      <c r="R20" s="28"/>
      <c r="S20" s="28"/>
      <c r="T20" s="28"/>
      <c r="U20" s="28"/>
      <c r="V20" s="28"/>
      <c r="W20" s="28"/>
      <c r="X20" s="28"/>
      <c r="Y20" s="28"/>
      <c r="Z20" s="28"/>
    </row>
    <row r="21" ht="15.75" customHeight="1">
      <c r="A21" s="28"/>
      <c r="B21" s="38" t="s">
        <v>190</v>
      </c>
      <c r="C21" s="41">
        <f>Feuil2!C10</f>
        <v>3210</v>
      </c>
      <c r="D21" s="49">
        <f>Feuil2!E10</f>
        <v>24108.5</v>
      </c>
      <c r="E21" s="28">
        <f t="shared" si="1"/>
        <v>10304100</v>
      </c>
      <c r="F21" s="28">
        <f t="shared" si="2"/>
        <v>77388285</v>
      </c>
      <c r="G21" s="28"/>
      <c r="H21" s="28"/>
      <c r="I21" s="39"/>
      <c r="J21" s="28"/>
      <c r="K21" s="28"/>
      <c r="L21" s="28"/>
      <c r="M21" s="28"/>
      <c r="N21" s="28"/>
      <c r="O21" s="28"/>
      <c r="P21" s="28"/>
      <c r="Q21" s="28"/>
      <c r="R21" s="28"/>
      <c r="S21" s="28"/>
      <c r="T21" s="28"/>
      <c r="U21" s="28"/>
      <c r="V21" s="28"/>
      <c r="W21" s="28"/>
      <c r="X21" s="28"/>
      <c r="Y21" s="28"/>
      <c r="Z21" s="28"/>
    </row>
    <row r="22" ht="15.75" customHeight="1">
      <c r="A22" s="28"/>
      <c r="B22" s="38" t="s">
        <v>59</v>
      </c>
      <c r="C22" s="41">
        <f>Feuil2!C11</f>
        <v>3850</v>
      </c>
      <c r="D22" s="49">
        <f>Feuil2!E11</f>
        <v>27788.5</v>
      </c>
      <c r="E22" s="28">
        <f t="shared" si="1"/>
        <v>14822500</v>
      </c>
      <c r="F22" s="28">
        <f t="shared" si="2"/>
        <v>106985725</v>
      </c>
      <c r="G22" s="28"/>
      <c r="H22" s="28"/>
      <c r="I22" s="39"/>
      <c r="J22" s="28"/>
      <c r="K22" s="28"/>
      <c r="L22" s="28"/>
      <c r="M22" s="28"/>
      <c r="N22" s="28"/>
      <c r="O22" s="28"/>
      <c r="P22" s="28"/>
      <c r="Q22" s="28"/>
      <c r="R22" s="28"/>
      <c r="S22" s="28"/>
      <c r="T22" s="28"/>
      <c r="U22" s="28"/>
      <c r="V22" s="28"/>
      <c r="W22" s="28"/>
      <c r="X22" s="28"/>
      <c r="Y22" s="28"/>
      <c r="Z22" s="28"/>
    </row>
    <row r="23" ht="15.75" customHeight="1">
      <c r="A23" s="28"/>
      <c r="B23" s="38" t="s">
        <v>60</v>
      </c>
      <c r="C23" s="41">
        <f>Feuil2!C12</f>
        <v>4520</v>
      </c>
      <c r="D23" s="49">
        <f>Feuil2!E12</f>
        <v>31641</v>
      </c>
      <c r="E23" s="28">
        <f t="shared" si="1"/>
        <v>20430400</v>
      </c>
      <c r="F23" s="28">
        <f t="shared" si="2"/>
        <v>143017320</v>
      </c>
      <c r="G23" s="28"/>
      <c r="H23" s="28"/>
      <c r="I23" s="39"/>
      <c r="J23" s="28"/>
      <c r="K23" s="28"/>
      <c r="L23" s="28"/>
      <c r="M23" s="28"/>
      <c r="N23" s="28"/>
      <c r="O23" s="28"/>
      <c r="P23" s="28"/>
      <c r="Q23" s="28"/>
      <c r="R23" s="28"/>
      <c r="S23" s="28"/>
      <c r="T23" s="28"/>
      <c r="U23" s="28"/>
      <c r="V23" s="28"/>
      <c r="W23" s="28"/>
      <c r="X23" s="28"/>
      <c r="Y23" s="28"/>
      <c r="Z23" s="28"/>
    </row>
    <row r="24" ht="15.75" customHeight="1">
      <c r="A24" s="28"/>
      <c r="B24" s="38" t="s">
        <v>61</v>
      </c>
      <c r="C24" s="41">
        <f>Feuil2!C13</f>
        <v>4490</v>
      </c>
      <c r="D24" s="49">
        <f>Feuil2!E13</f>
        <v>31468.5</v>
      </c>
      <c r="E24" s="28">
        <f t="shared" si="1"/>
        <v>20160100</v>
      </c>
      <c r="F24" s="28">
        <f t="shared" si="2"/>
        <v>141293565</v>
      </c>
      <c r="G24" s="28"/>
      <c r="H24" s="28"/>
      <c r="I24" s="39"/>
      <c r="J24" s="28"/>
      <c r="K24" s="28"/>
      <c r="L24" s="28"/>
      <c r="M24" s="28"/>
      <c r="N24" s="28"/>
      <c r="O24" s="28"/>
      <c r="P24" s="28"/>
      <c r="Q24" s="28"/>
      <c r="R24" s="28"/>
      <c r="S24" s="28"/>
      <c r="T24" s="28"/>
      <c r="U24" s="28"/>
      <c r="V24" s="28"/>
      <c r="W24" s="28"/>
      <c r="X24" s="28"/>
      <c r="Y24" s="28"/>
      <c r="Z24" s="28"/>
    </row>
    <row r="25" ht="15.75" customHeight="1">
      <c r="A25" s="28"/>
      <c r="B25" s="38" t="s">
        <v>174</v>
      </c>
      <c r="C25" s="41">
        <f>Feuil2!C14</f>
        <v>3270</v>
      </c>
      <c r="D25" s="49">
        <f>Feuil2!E14</f>
        <v>24453.5</v>
      </c>
      <c r="E25" s="28">
        <f t="shared" si="1"/>
        <v>10692900</v>
      </c>
      <c r="F25" s="28">
        <f t="shared" si="2"/>
        <v>79962945</v>
      </c>
      <c r="G25" s="28"/>
      <c r="H25" s="28"/>
      <c r="I25" s="39"/>
      <c r="J25" s="28"/>
      <c r="K25" s="28"/>
      <c r="L25" s="28"/>
      <c r="M25" s="28"/>
      <c r="N25" s="28"/>
      <c r="O25" s="28"/>
      <c r="P25" s="28"/>
      <c r="Q25" s="28"/>
      <c r="R25" s="28"/>
      <c r="S25" s="28"/>
      <c r="T25" s="28"/>
      <c r="U25" s="28"/>
      <c r="V25" s="28"/>
      <c r="W25" s="28"/>
      <c r="X25" s="28"/>
      <c r="Y25" s="28"/>
      <c r="Z25" s="28"/>
    </row>
    <row r="26" ht="15.75" customHeight="1">
      <c r="A26" s="28"/>
      <c r="B26" s="38" t="s">
        <v>191</v>
      </c>
      <c r="C26" s="41">
        <f t="shared" ref="C26:F26" si="3">SUM(C14:C25)</f>
        <v>49470</v>
      </c>
      <c r="D26" s="49">
        <f t="shared" si="3"/>
        <v>352264.5</v>
      </c>
      <c r="E26" s="136">
        <f t="shared" si="3"/>
        <v>211029500</v>
      </c>
      <c r="F26" s="136">
        <f t="shared" si="3"/>
        <v>1492974595</v>
      </c>
      <c r="G26" s="28"/>
      <c r="H26" s="28"/>
      <c r="I26" s="39"/>
      <c r="J26" s="28"/>
      <c r="K26" s="28"/>
      <c r="L26" s="28"/>
      <c r="M26" s="28"/>
      <c r="N26" s="28"/>
      <c r="O26" s="28"/>
      <c r="P26" s="28"/>
      <c r="Q26" s="28"/>
      <c r="R26" s="28"/>
      <c r="S26" s="28"/>
      <c r="T26" s="28"/>
      <c r="U26" s="28"/>
      <c r="V26" s="28"/>
      <c r="W26" s="28"/>
      <c r="X26" s="28"/>
      <c r="Y26" s="28"/>
      <c r="Z26" s="28"/>
    </row>
    <row r="27" ht="15.75" customHeight="1">
      <c r="A27" s="28"/>
      <c r="B27" s="38"/>
      <c r="C27" s="28"/>
      <c r="D27" s="28"/>
      <c r="E27" s="28"/>
      <c r="F27" s="28"/>
      <c r="G27" s="28"/>
      <c r="H27" s="28"/>
      <c r="I27" s="39"/>
      <c r="J27" s="28"/>
      <c r="K27" s="28"/>
      <c r="L27" s="28"/>
      <c r="M27" s="28"/>
      <c r="N27" s="28"/>
      <c r="O27" s="28"/>
      <c r="P27" s="28"/>
      <c r="Q27" s="28"/>
      <c r="R27" s="28"/>
      <c r="S27" s="28"/>
      <c r="T27" s="28"/>
      <c r="U27" s="28"/>
      <c r="V27" s="28"/>
      <c r="W27" s="28"/>
      <c r="X27" s="28"/>
      <c r="Y27" s="28"/>
      <c r="Z27" s="28"/>
    </row>
    <row r="28" ht="15.75" customHeight="1">
      <c r="A28" s="28"/>
      <c r="B28" s="38"/>
      <c r="C28" s="49"/>
      <c r="D28" s="28"/>
      <c r="E28" s="49"/>
      <c r="F28" s="28"/>
      <c r="G28" s="28"/>
      <c r="H28" s="28"/>
      <c r="I28" s="39"/>
      <c r="J28" s="28"/>
      <c r="K28" s="28"/>
      <c r="L28" s="28"/>
      <c r="M28" s="28"/>
      <c r="N28" s="28"/>
      <c r="O28" s="28"/>
      <c r="P28" s="28"/>
      <c r="Q28" s="28"/>
      <c r="R28" s="28"/>
      <c r="S28" s="28"/>
      <c r="T28" s="28"/>
      <c r="U28" s="28"/>
      <c r="V28" s="28"/>
      <c r="W28" s="28"/>
      <c r="X28" s="28"/>
      <c r="Y28" s="28"/>
      <c r="Z28" s="28"/>
    </row>
    <row r="29" ht="15.75" customHeight="1">
      <c r="A29" s="28"/>
      <c r="B29" s="38"/>
      <c r="C29" s="49"/>
      <c r="D29" s="28"/>
      <c r="E29" s="49"/>
      <c r="F29" s="28"/>
      <c r="G29" s="28"/>
      <c r="H29" s="28"/>
      <c r="I29" s="39"/>
      <c r="J29" s="28"/>
      <c r="K29" s="28"/>
      <c r="L29" s="28"/>
      <c r="M29" s="28"/>
      <c r="N29" s="28"/>
      <c r="O29" s="28"/>
      <c r="P29" s="28"/>
      <c r="Q29" s="28"/>
      <c r="R29" s="28"/>
      <c r="S29" s="28"/>
      <c r="T29" s="28"/>
      <c r="U29" s="28"/>
      <c r="V29" s="28"/>
      <c r="W29" s="28"/>
      <c r="X29" s="28"/>
      <c r="Y29" s="28"/>
      <c r="Z29" s="28"/>
    </row>
    <row r="30" ht="15.75" customHeight="1">
      <c r="A30" s="28"/>
      <c r="B30" s="75" t="s">
        <v>70</v>
      </c>
      <c r="C30" s="137">
        <f>(COUNT(C14:C25)*F26-C26*D26)/(COUNT(C14:C25)*E26-C26^2)</f>
        <v>5.75</v>
      </c>
      <c r="D30" s="62" t="s">
        <v>71</v>
      </c>
      <c r="E30" s="137">
        <f>(E26*D26-C26*F26)/(COUNT(C14:C25)*E26-C26^2)*12</f>
        <v>67812</v>
      </c>
      <c r="F30" s="78"/>
      <c r="G30" s="78"/>
      <c r="H30" s="78"/>
      <c r="I30" s="79"/>
      <c r="J30" s="28"/>
      <c r="K30" s="28"/>
      <c r="L30" s="28"/>
      <c r="M30" s="28"/>
      <c r="N30" s="28"/>
      <c r="O30" s="28"/>
      <c r="P30" s="28"/>
      <c r="Q30" s="28"/>
      <c r="R30" s="28"/>
      <c r="S30" s="28"/>
      <c r="T30" s="28"/>
      <c r="U30" s="28"/>
      <c r="V30" s="28"/>
      <c r="W30" s="28"/>
      <c r="X30" s="28"/>
      <c r="Y30" s="28"/>
      <c r="Z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64" t="s">
        <v>73</v>
      </c>
      <c r="C32" s="43"/>
      <c r="D32" s="43"/>
      <c r="E32" s="44"/>
      <c r="F32" s="80" t="s">
        <v>74</v>
      </c>
      <c r="G32" s="81"/>
      <c r="H32" s="81"/>
      <c r="I32" s="82"/>
      <c r="J32" s="28"/>
      <c r="K32" s="28"/>
      <c r="L32" s="28"/>
      <c r="M32" s="28"/>
      <c r="N32" s="28"/>
      <c r="O32" s="28"/>
      <c r="P32" s="28"/>
      <c r="Q32" s="28"/>
      <c r="R32" s="28"/>
      <c r="S32" s="28"/>
      <c r="T32" s="28"/>
      <c r="U32" s="28"/>
      <c r="V32" s="28"/>
      <c r="W32" s="28"/>
      <c r="X32" s="28"/>
      <c r="Y32" s="28"/>
      <c r="Z32" s="28"/>
    </row>
    <row r="33" ht="15.75" customHeight="1">
      <c r="A33" s="28"/>
      <c r="B33" s="38"/>
      <c r="C33" s="28" t="s">
        <v>185</v>
      </c>
      <c r="D33" s="28" t="s">
        <v>186</v>
      </c>
      <c r="E33" s="39"/>
      <c r="F33" s="83" t="s">
        <v>44</v>
      </c>
      <c r="G33" s="84">
        <f>Feuil2!C17</f>
        <v>15.5</v>
      </c>
      <c r="H33" s="85"/>
      <c r="I33" s="86"/>
      <c r="J33" s="28"/>
      <c r="K33" s="28"/>
      <c r="L33" s="28"/>
      <c r="M33" s="28"/>
      <c r="N33" s="28"/>
      <c r="O33" s="28"/>
      <c r="P33" s="28"/>
      <c r="Q33" s="28"/>
      <c r="R33" s="28"/>
      <c r="S33" s="28"/>
      <c r="T33" s="28"/>
      <c r="U33" s="28"/>
      <c r="V33" s="28"/>
      <c r="W33" s="28"/>
      <c r="X33" s="28"/>
      <c r="Y33" s="28"/>
      <c r="Z33" s="28"/>
    </row>
    <row r="34" ht="15.75" customHeight="1">
      <c r="A34" s="28"/>
      <c r="B34" s="38" t="s">
        <v>192</v>
      </c>
      <c r="C34" s="41">
        <f>MIN(Feuil2!C3:C14)</f>
        <v>3120</v>
      </c>
      <c r="D34" s="49">
        <f>MIN(Feuil2!F3:F14)</f>
        <v>13572</v>
      </c>
      <c r="E34" s="39"/>
      <c r="F34" s="38" t="s">
        <v>193</v>
      </c>
      <c r="G34" s="41">
        <f>C26</f>
        <v>49470</v>
      </c>
      <c r="H34" s="49"/>
      <c r="I34" s="39"/>
      <c r="J34" s="28"/>
      <c r="K34" s="28"/>
      <c r="L34" s="28"/>
      <c r="M34" s="28"/>
      <c r="N34" s="28"/>
      <c r="O34" s="28"/>
      <c r="P34" s="28"/>
      <c r="Q34" s="28"/>
      <c r="R34" s="28"/>
      <c r="S34" s="28"/>
      <c r="T34" s="28"/>
      <c r="U34" s="28"/>
      <c r="V34" s="28"/>
      <c r="W34" s="28"/>
      <c r="X34" s="28"/>
      <c r="Y34" s="28"/>
      <c r="Z34" s="28"/>
    </row>
    <row r="35" ht="15.75" customHeight="1">
      <c r="A35" s="28"/>
      <c r="B35" s="38" t="s">
        <v>194</v>
      </c>
      <c r="C35" s="41">
        <f>MAX(Feuil2!C3:C14)</f>
        <v>5530</v>
      </c>
      <c r="D35" s="49">
        <f>MAX(Feuil2!F3:F14)</f>
        <v>24055.5</v>
      </c>
      <c r="E35" s="39"/>
      <c r="F35" s="38" t="s">
        <v>195</v>
      </c>
      <c r="G35" s="49">
        <f>G33*G34</f>
        <v>766785</v>
      </c>
      <c r="H35" s="28"/>
      <c r="I35" s="39"/>
      <c r="J35" s="28"/>
      <c r="K35" s="28"/>
      <c r="L35" s="28"/>
      <c r="M35" s="28"/>
      <c r="N35" s="28"/>
      <c r="O35" s="28"/>
      <c r="P35" s="28"/>
      <c r="Q35" s="28"/>
      <c r="R35" s="28"/>
      <c r="S35" s="28"/>
      <c r="T35" s="28"/>
      <c r="U35" s="28"/>
      <c r="V35" s="28"/>
      <c r="W35" s="28"/>
      <c r="X35" s="28"/>
      <c r="Y35" s="28"/>
      <c r="Z35" s="28"/>
    </row>
    <row r="36" ht="15.75" customHeight="1">
      <c r="A36" s="28"/>
      <c r="B36" s="38"/>
      <c r="C36" s="28"/>
      <c r="D36" s="28"/>
      <c r="E36" s="39"/>
      <c r="F36" s="38" t="s">
        <v>196</v>
      </c>
      <c r="G36" s="49">
        <f>Feuil2!C22</f>
        <v>2.209945421</v>
      </c>
      <c r="H36" s="49"/>
      <c r="I36" s="39"/>
      <c r="J36" s="28"/>
      <c r="K36" s="28"/>
      <c r="L36" s="28"/>
      <c r="M36" s="28"/>
      <c r="N36" s="28"/>
      <c r="O36" s="28"/>
      <c r="P36" s="28"/>
      <c r="Q36" s="28"/>
      <c r="R36" s="28"/>
      <c r="S36" s="28"/>
      <c r="T36" s="28"/>
      <c r="U36" s="28"/>
      <c r="V36" s="28"/>
      <c r="W36" s="28"/>
      <c r="X36" s="28"/>
      <c r="Y36" s="28"/>
      <c r="Z36" s="28"/>
    </row>
    <row r="37" ht="15.75" customHeight="1">
      <c r="A37" s="28"/>
      <c r="B37" s="38"/>
      <c r="C37" s="28"/>
      <c r="D37" s="28"/>
      <c r="E37" s="39"/>
      <c r="F37" s="38" t="s">
        <v>197</v>
      </c>
      <c r="G37" s="49">
        <f>C26*C30</f>
        <v>284452.5</v>
      </c>
      <c r="H37" s="28"/>
      <c r="I37" s="39"/>
      <c r="J37" s="28"/>
      <c r="K37" s="28"/>
      <c r="L37" s="28"/>
      <c r="M37" s="28"/>
      <c r="N37" s="28"/>
      <c r="O37" s="28"/>
      <c r="P37" s="28"/>
      <c r="Q37" s="28"/>
      <c r="R37" s="28"/>
      <c r="S37" s="28"/>
      <c r="T37" s="28"/>
      <c r="U37" s="28"/>
      <c r="V37" s="28"/>
      <c r="W37" s="28"/>
      <c r="X37" s="28"/>
      <c r="Y37" s="28"/>
      <c r="Z37" s="28"/>
    </row>
    <row r="38" ht="15.75" customHeight="1">
      <c r="A38" s="28"/>
      <c r="B38" s="61"/>
      <c r="C38" s="78"/>
      <c r="D38" s="62" t="s">
        <v>88</v>
      </c>
      <c r="E38" s="135">
        <f>(D35-D34)/(C35-C34)</f>
        <v>4.35</v>
      </c>
      <c r="F38" s="38" t="s">
        <v>198</v>
      </c>
      <c r="G38" s="49">
        <f>C26*E38</f>
        <v>215194.5</v>
      </c>
      <c r="H38" s="28"/>
      <c r="I38" s="39"/>
      <c r="J38" s="28"/>
      <c r="K38" s="28"/>
      <c r="L38" s="28"/>
      <c r="M38" s="28"/>
      <c r="N38" s="28"/>
      <c r="O38" s="28"/>
      <c r="P38" s="28"/>
      <c r="Q38" s="28"/>
      <c r="R38" s="28"/>
      <c r="S38" s="28"/>
      <c r="T38" s="28"/>
      <c r="U38" s="28"/>
      <c r="V38" s="28"/>
      <c r="W38" s="28"/>
      <c r="X38" s="28"/>
      <c r="Y38" s="28"/>
      <c r="Z38" s="28"/>
    </row>
    <row r="39" ht="15.75" customHeight="1">
      <c r="A39" s="28"/>
      <c r="B39" s="28"/>
      <c r="C39" s="28"/>
      <c r="D39" s="28"/>
      <c r="E39" s="28"/>
      <c r="F39" s="38" t="s">
        <v>199</v>
      </c>
      <c r="G39" s="49">
        <f>E30</f>
        <v>67812</v>
      </c>
      <c r="H39" s="28"/>
      <c r="I39" s="39"/>
      <c r="J39" s="28"/>
      <c r="K39" s="28"/>
      <c r="L39" s="28"/>
      <c r="M39" s="28"/>
      <c r="N39" s="28"/>
      <c r="O39" s="28"/>
      <c r="P39" s="28"/>
      <c r="Q39" s="28"/>
      <c r="R39" s="28"/>
      <c r="S39" s="28"/>
      <c r="T39" s="28"/>
      <c r="U39" s="28"/>
      <c r="V39" s="28"/>
      <c r="W39" s="28"/>
      <c r="X39" s="28"/>
      <c r="Y39" s="28"/>
      <c r="Z39" s="28"/>
    </row>
    <row r="40" ht="15.75" customHeight="1">
      <c r="A40" s="28"/>
      <c r="B40" s="28"/>
      <c r="C40" s="28"/>
      <c r="D40" s="28"/>
      <c r="E40" s="28"/>
      <c r="F40" s="61" t="s">
        <v>91</v>
      </c>
      <c r="G40" s="137">
        <f>-1*(C26*G36-G35+G37+G38+G39)</f>
        <v>90000</v>
      </c>
      <c r="H40" s="78"/>
      <c r="I40" s="79"/>
      <c r="J40" s="28"/>
      <c r="K40" s="28"/>
      <c r="L40" s="28"/>
      <c r="M40" s="28"/>
      <c r="N40" s="28"/>
      <c r="O40" s="28"/>
      <c r="P40" s="28"/>
      <c r="Q40" s="28"/>
      <c r="R40" s="28"/>
      <c r="S40" s="28"/>
      <c r="T40" s="28"/>
      <c r="U40" s="28"/>
      <c r="V40" s="28"/>
      <c r="W40" s="28"/>
      <c r="X40" s="28"/>
      <c r="Y40" s="28"/>
      <c r="Z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5.75" customHeight="1">
      <c r="A42" s="28"/>
      <c r="B42" s="64" t="s">
        <v>93</v>
      </c>
      <c r="C42" s="44"/>
      <c r="D42" s="64" t="s">
        <v>94</v>
      </c>
      <c r="E42" s="44"/>
      <c r="F42" s="64" t="s">
        <v>95</v>
      </c>
      <c r="G42" s="44"/>
      <c r="H42" s="64" t="s">
        <v>96</v>
      </c>
      <c r="I42" s="44"/>
      <c r="J42" s="87"/>
      <c r="K42" s="87"/>
      <c r="L42" s="87"/>
      <c r="M42" s="87"/>
      <c r="N42" s="87"/>
      <c r="O42" s="87"/>
      <c r="P42" s="28"/>
      <c r="Q42" s="28"/>
      <c r="R42" s="28"/>
      <c r="S42" s="28"/>
      <c r="T42" s="28"/>
      <c r="U42" s="28"/>
      <c r="V42" s="28"/>
      <c r="W42" s="28"/>
      <c r="X42" s="28"/>
      <c r="Y42" s="28"/>
      <c r="Z42" s="28"/>
    </row>
    <row r="43" ht="15.75" customHeight="1">
      <c r="A43" s="28"/>
      <c r="B43" s="38" t="s">
        <v>44</v>
      </c>
      <c r="C43" s="60">
        <f>Feuil2!C17</f>
        <v>15.5</v>
      </c>
      <c r="D43" s="38" t="str">
        <f t="shared" ref="D43:E43" si="4">B43</f>
        <v>Prix de vente unitaire</v>
      </c>
      <c r="E43" s="60">
        <f t="shared" si="4"/>
        <v>15.5</v>
      </c>
      <c r="F43" s="38" t="s">
        <v>200</v>
      </c>
      <c r="G43" s="101">
        <f>Feuil2!C23*12</f>
        <v>69600</v>
      </c>
      <c r="H43" s="38" t="s">
        <v>201</v>
      </c>
      <c r="I43" s="91">
        <f>Feuil2!C24</f>
        <v>750000</v>
      </c>
      <c r="J43" s="28"/>
      <c r="K43" s="28"/>
      <c r="L43" s="28"/>
      <c r="M43" s="28"/>
      <c r="N43" s="28"/>
      <c r="O43" s="28"/>
      <c r="P43" s="28"/>
      <c r="Q43" s="28"/>
      <c r="R43" s="28"/>
      <c r="S43" s="28"/>
      <c r="T43" s="28"/>
      <c r="U43" s="28"/>
      <c r="V43" s="28"/>
      <c r="W43" s="28"/>
      <c r="X43" s="28"/>
      <c r="Y43" s="28"/>
      <c r="Z43" s="28"/>
    </row>
    <row r="44" ht="15.75" customHeight="1">
      <c r="A44" s="28"/>
      <c r="B44" s="38" t="s">
        <v>202</v>
      </c>
      <c r="C44" s="60">
        <f>C30+E38</f>
        <v>10.1</v>
      </c>
      <c r="D44" s="38" t="str">
        <f t="shared" ref="D44:E44" si="5">B44</f>
        <v>Frais variables unitaire totaux</v>
      </c>
      <c r="E44" s="60">
        <f t="shared" si="5"/>
        <v>10.1</v>
      </c>
      <c r="F44" s="38" t="s">
        <v>203</v>
      </c>
      <c r="G44" s="91">
        <f>C43*G43</f>
        <v>1078800</v>
      </c>
      <c r="H44" s="38" t="str">
        <f t="shared" ref="H44:I44" si="6">D44</f>
        <v>Frais variables unitaire totaux</v>
      </c>
      <c r="I44" s="60">
        <f t="shared" si="6"/>
        <v>10.1</v>
      </c>
      <c r="J44" s="28"/>
      <c r="K44" s="28"/>
      <c r="L44" s="28"/>
      <c r="M44" s="28"/>
      <c r="N44" s="28"/>
      <c r="O44" s="28"/>
      <c r="P44" s="28"/>
      <c r="Q44" s="28"/>
      <c r="R44" s="28"/>
      <c r="S44" s="28"/>
      <c r="T44" s="28"/>
      <c r="U44" s="28"/>
      <c r="V44" s="28"/>
      <c r="W44" s="28"/>
      <c r="X44" s="28"/>
      <c r="Y44" s="28"/>
      <c r="Z44" s="28"/>
    </row>
    <row r="45" ht="15.75" customHeight="1">
      <c r="A45" s="28"/>
      <c r="B45" s="38"/>
      <c r="C45" s="39"/>
      <c r="D45" s="38" t="s">
        <v>204</v>
      </c>
      <c r="E45" s="91">
        <f>E30+G40</f>
        <v>157812</v>
      </c>
      <c r="F45" s="38" t="s">
        <v>205</v>
      </c>
      <c r="G45" s="91">
        <f>E47*C43</f>
        <v>452978.8889</v>
      </c>
      <c r="H45" s="38" t="str">
        <f t="shared" ref="H45:I45" si="7">D45</f>
        <v>Frais fixes totaux</v>
      </c>
      <c r="I45" s="91">
        <f t="shared" si="7"/>
        <v>157812</v>
      </c>
      <c r="J45" s="28"/>
      <c r="K45" s="28"/>
      <c r="L45" s="28"/>
      <c r="M45" s="28"/>
      <c r="N45" s="28"/>
      <c r="O45" s="28"/>
      <c r="P45" s="28"/>
      <c r="Q45" s="28"/>
      <c r="R45" s="28"/>
      <c r="S45" s="28"/>
      <c r="T45" s="28"/>
      <c r="U45" s="28"/>
      <c r="V45" s="28"/>
      <c r="W45" s="28"/>
      <c r="X45" s="28"/>
      <c r="Y45" s="28"/>
      <c r="Z45" s="28"/>
    </row>
    <row r="46" ht="15.75" customHeight="1">
      <c r="A46" s="28"/>
      <c r="B46" s="38"/>
      <c r="C46" s="39"/>
      <c r="D46" s="38"/>
      <c r="E46" s="39"/>
      <c r="F46" s="95" t="s">
        <v>112</v>
      </c>
      <c r="G46" s="96">
        <f>G44-G45</f>
        <v>625821.1111</v>
      </c>
      <c r="H46" s="38" t="s">
        <v>206</v>
      </c>
      <c r="I46" s="99">
        <f>C26</f>
        <v>49470</v>
      </c>
      <c r="J46" s="28"/>
      <c r="K46" s="28"/>
      <c r="L46" s="28"/>
      <c r="M46" s="28"/>
      <c r="N46" s="28"/>
      <c r="O46" s="28"/>
      <c r="P46" s="28"/>
      <c r="Q46" s="28"/>
      <c r="R46" s="28"/>
      <c r="S46" s="28"/>
      <c r="T46" s="28"/>
      <c r="U46" s="28"/>
      <c r="V46" s="28"/>
      <c r="W46" s="28"/>
      <c r="X46" s="28"/>
      <c r="Y46" s="28"/>
      <c r="Z46" s="28"/>
    </row>
    <row r="47" ht="15.75" customHeight="1">
      <c r="A47" s="28"/>
      <c r="B47" s="38" t="s">
        <v>114</v>
      </c>
      <c r="C47" s="138">
        <f>C43-C44</f>
        <v>5.4</v>
      </c>
      <c r="D47" s="38" t="s">
        <v>115</v>
      </c>
      <c r="E47" s="98">
        <f>E45/(E43-E44)</f>
        <v>29224.44444</v>
      </c>
      <c r="F47" s="38"/>
      <c r="G47" s="39"/>
      <c r="H47" s="38"/>
      <c r="I47" s="39"/>
      <c r="J47" s="28"/>
      <c r="K47" s="28"/>
      <c r="L47" s="28"/>
      <c r="M47" s="28"/>
      <c r="N47" s="28"/>
      <c r="O47" s="28"/>
      <c r="P47" s="28"/>
      <c r="Q47" s="28"/>
      <c r="R47" s="28"/>
      <c r="S47" s="28"/>
      <c r="T47" s="28"/>
      <c r="U47" s="28"/>
      <c r="V47" s="28"/>
      <c r="W47" s="28"/>
      <c r="X47" s="28"/>
      <c r="Y47" s="28"/>
      <c r="Z47" s="28"/>
    </row>
    <row r="48" ht="15.75" customHeight="1">
      <c r="A48" s="28"/>
      <c r="B48" s="38" t="s">
        <v>118</v>
      </c>
      <c r="C48" s="100">
        <f>C47/C43</f>
        <v>0.3483870968</v>
      </c>
      <c r="D48" s="38"/>
      <c r="E48" s="60"/>
      <c r="F48" s="38" t="s">
        <v>200</v>
      </c>
      <c r="G48" s="101">
        <f>G43</f>
        <v>69600</v>
      </c>
      <c r="H48" s="38"/>
      <c r="I48" s="91"/>
      <c r="J48" s="28"/>
      <c r="K48" s="28"/>
      <c r="L48" s="28"/>
      <c r="M48" s="28"/>
      <c r="N48" s="28"/>
      <c r="O48" s="28"/>
      <c r="P48" s="28"/>
      <c r="Q48" s="28"/>
      <c r="R48" s="28"/>
      <c r="S48" s="28"/>
      <c r="T48" s="28"/>
      <c r="U48" s="28"/>
      <c r="V48" s="28"/>
      <c r="W48" s="28"/>
      <c r="X48" s="28"/>
      <c r="Y48" s="28"/>
      <c r="Z48" s="28"/>
    </row>
    <row r="49" ht="15.75" customHeight="1">
      <c r="A49" s="28"/>
      <c r="B49" s="61"/>
      <c r="C49" s="79"/>
      <c r="D49" s="38"/>
      <c r="E49" s="39"/>
      <c r="F49" s="38" t="s">
        <v>115</v>
      </c>
      <c r="G49" s="101">
        <f>E47</f>
        <v>29224.44444</v>
      </c>
      <c r="H49" s="75" t="s">
        <v>121</v>
      </c>
      <c r="I49" s="135">
        <f>((I46*I44+I45)+I43)/I46</f>
        <v>28.45075804</v>
      </c>
      <c r="J49" s="28"/>
      <c r="K49" s="28"/>
      <c r="L49" s="28"/>
      <c r="M49" s="28"/>
      <c r="N49" s="28"/>
      <c r="O49" s="28"/>
      <c r="P49" s="28"/>
      <c r="Q49" s="28"/>
      <c r="R49" s="28"/>
      <c r="S49" s="28"/>
      <c r="T49" s="28"/>
      <c r="U49" s="28"/>
      <c r="V49" s="28"/>
      <c r="W49" s="28"/>
      <c r="X49" s="28"/>
      <c r="Y49" s="28"/>
      <c r="Z49" s="28"/>
    </row>
    <row r="50" ht="15.75" customHeight="1">
      <c r="A50" s="28"/>
      <c r="B50" s="28"/>
      <c r="C50" s="28"/>
      <c r="D50" s="38"/>
      <c r="E50" s="39"/>
      <c r="F50" s="95" t="s">
        <v>123</v>
      </c>
      <c r="G50" s="98">
        <f>G48-G49</f>
        <v>40375.55556</v>
      </c>
      <c r="H50" s="28"/>
      <c r="I50" s="28"/>
      <c r="J50" s="28"/>
      <c r="K50" s="28"/>
      <c r="L50" s="28"/>
      <c r="M50" s="28"/>
      <c r="N50" s="28"/>
      <c r="O50" s="28"/>
      <c r="P50" s="28"/>
      <c r="Q50" s="28"/>
      <c r="R50" s="28"/>
      <c r="S50" s="28"/>
      <c r="T50" s="28"/>
      <c r="U50" s="28"/>
      <c r="V50" s="28"/>
      <c r="W50" s="28"/>
      <c r="X50" s="28"/>
      <c r="Y50" s="28"/>
      <c r="Z50" s="28"/>
    </row>
    <row r="51" ht="15.75" customHeight="1">
      <c r="A51" s="28"/>
      <c r="B51" s="28"/>
      <c r="C51" s="28"/>
      <c r="D51" s="61" t="s">
        <v>125</v>
      </c>
      <c r="E51" s="135">
        <f>E47*E43</f>
        <v>452978.8889</v>
      </c>
      <c r="F51" s="38"/>
      <c r="G51" s="39"/>
      <c r="H51" s="28"/>
      <c r="I51" s="28"/>
      <c r="J51" s="28"/>
      <c r="K51" s="28"/>
      <c r="L51" s="28"/>
      <c r="M51" s="28"/>
      <c r="N51" s="28"/>
      <c r="O51" s="28"/>
      <c r="P51" s="28"/>
      <c r="Q51" s="28"/>
      <c r="R51" s="28"/>
      <c r="S51" s="28"/>
      <c r="T51" s="28"/>
      <c r="U51" s="28"/>
      <c r="V51" s="28"/>
      <c r="W51" s="28"/>
      <c r="X51" s="28"/>
      <c r="Y51" s="28"/>
      <c r="Z51" s="28"/>
    </row>
    <row r="52" ht="15.75" customHeight="1">
      <c r="A52" s="28"/>
      <c r="B52" s="28"/>
      <c r="C52" s="28"/>
      <c r="D52" s="28"/>
      <c r="E52" s="28"/>
      <c r="F52" s="110" t="s">
        <v>207</v>
      </c>
      <c r="G52" s="101">
        <f>G50</f>
        <v>40375.55556</v>
      </c>
      <c r="H52" s="28"/>
      <c r="I52" s="28"/>
      <c r="J52" s="28"/>
      <c r="K52" s="28"/>
      <c r="L52" s="28"/>
      <c r="M52" s="28"/>
      <c r="N52" s="28"/>
      <c r="O52" s="28"/>
      <c r="P52" s="28"/>
      <c r="Q52" s="28"/>
      <c r="R52" s="28"/>
      <c r="S52" s="28"/>
      <c r="T52" s="28"/>
      <c r="U52" s="28"/>
      <c r="V52" s="28"/>
      <c r="W52" s="28"/>
      <c r="X52" s="28"/>
      <c r="Y52" s="28"/>
      <c r="Z52" s="28"/>
    </row>
    <row r="53" ht="15.75" customHeight="1">
      <c r="A53" s="28"/>
      <c r="B53" s="28"/>
      <c r="C53" s="28"/>
      <c r="D53" s="28"/>
      <c r="E53" s="28"/>
      <c r="F53" s="38" t="s">
        <v>200</v>
      </c>
      <c r="G53" s="101">
        <f>G48</f>
        <v>69600</v>
      </c>
      <c r="H53" s="28"/>
      <c r="I53" s="40"/>
      <c r="J53" s="28"/>
      <c r="K53" s="28"/>
      <c r="L53" s="28"/>
      <c r="M53" s="28"/>
      <c r="N53" s="28"/>
      <c r="O53" s="28"/>
      <c r="P53" s="28"/>
      <c r="Q53" s="28"/>
      <c r="R53" s="28"/>
      <c r="S53" s="28"/>
      <c r="T53" s="28"/>
      <c r="U53" s="28"/>
      <c r="V53" s="28"/>
      <c r="W53" s="28"/>
      <c r="X53" s="28"/>
      <c r="Y53" s="28"/>
      <c r="Z53" s="28"/>
    </row>
    <row r="54" ht="15.75" customHeight="1">
      <c r="A54" s="28"/>
      <c r="B54" s="28"/>
      <c r="C54" s="28"/>
      <c r="D54" s="28"/>
      <c r="E54" s="28"/>
      <c r="F54" s="95" t="s">
        <v>130</v>
      </c>
      <c r="G54" s="100">
        <f>G52/G53</f>
        <v>0.5801085568</v>
      </c>
      <c r="H54" s="28"/>
      <c r="I54" s="40"/>
      <c r="J54" s="28"/>
      <c r="K54" s="28"/>
      <c r="L54" s="28"/>
      <c r="M54" s="28"/>
      <c r="N54" s="28"/>
      <c r="O54" s="28"/>
      <c r="P54" s="28"/>
      <c r="Q54" s="28"/>
      <c r="R54" s="28"/>
      <c r="S54" s="28"/>
      <c r="T54" s="28"/>
      <c r="U54" s="28"/>
      <c r="V54" s="28"/>
      <c r="W54" s="28"/>
      <c r="X54" s="28"/>
      <c r="Y54" s="28"/>
      <c r="Z54" s="28"/>
    </row>
    <row r="55" ht="15.75" customHeight="1">
      <c r="A55" s="28"/>
      <c r="B55" s="28"/>
      <c r="C55" s="28"/>
      <c r="D55" s="28"/>
      <c r="E55" s="28"/>
      <c r="F55" s="61"/>
      <c r="G55" s="79"/>
      <c r="H55" s="112"/>
      <c r="I55" s="40"/>
      <c r="J55" s="28"/>
      <c r="K55" s="28"/>
      <c r="L55" s="28"/>
      <c r="M55" s="28"/>
      <c r="N55" s="28"/>
      <c r="O55" s="28"/>
      <c r="P55" s="28"/>
      <c r="Q55" s="28"/>
      <c r="R55" s="28"/>
      <c r="S55" s="28"/>
      <c r="T55" s="28"/>
      <c r="U55" s="28"/>
      <c r="V55" s="28"/>
      <c r="W55" s="28"/>
      <c r="X55" s="28"/>
      <c r="Y55" s="28"/>
      <c r="Z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5.75" customHeight="1">
      <c r="A58" s="72" t="s">
        <v>87</v>
      </c>
      <c r="J58" s="28"/>
      <c r="K58" s="28"/>
      <c r="L58" s="28"/>
      <c r="M58" s="28"/>
      <c r="N58" s="28"/>
      <c r="O58" s="28"/>
      <c r="P58" s="28"/>
      <c r="Q58" s="28"/>
      <c r="R58" s="28"/>
      <c r="S58" s="28"/>
      <c r="T58" s="28"/>
      <c r="U58" s="28"/>
      <c r="V58" s="28"/>
      <c r="W58" s="28"/>
      <c r="X58" s="28"/>
      <c r="Y58" s="28"/>
      <c r="Z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5.75" customHeight="1">
      <c r="A60" s="28"/>
      <c r="B60" s="64" t="s">
        <v>137</v>
      </c>
      <c r="C60" s="44"/>
      <c r="D60" s="28"/>
      <c r="E60" s="28"/>
      <c r="F60" s="28"/>
      <c r="G60" s="28"/>
      <c r="H60" s="28"/>
      <c r="I60" s="28"/>
      <c r="J60" s="28"/>
      <c r="K60" s="28"/>
      <c r="L60" s="28"/>
      <c r="M60" s="28"/>
      <c r="N60" s="28"/>
      <c r="O60" s="28"/>
      <c r="P60" s="28"/>
      <c r="Q60" s="28"/>
      <c r="R60" s="28"/>
      <c r="S60" s="28"/>
      <c r="T60" s="28"/>
      <c r="U60" s="28"/>
      <c r="V60" s="28"/>
      <c r="W60" s="28"/>
      <c r="X60" s="28"/>
      <c r="Y60" s="28"/>
      <c r="Z60" s="28"/>
    </row>
    <row r="61" ht="15.75" customHeight="1">
      <c r="A61" s="28"/>
      <c r="B61" s="38" t="s">
        <v>208</v>
      </c>
      <c r="C61" s="91">
        <f>Feuil2!E38+Feuil2!E39</f>
        <v>446000</v>
      </c>
      <c r="D61" s="28"/>
      <c r="E61" s="28"/>
      <c r="F61" s="28"/>
      <c r="G61" s="28"/>
      <c r="H61" s="28"/>
      <c r="I61" s="28"/>
      <c r="J61" s="28"/>
      <c r="K61" s="28"/>
      <c r="L61" s="28"/>
      <c r="M61" s="28"/>
      <c r="N61" s="28"/>
      <c r="O61" s="28"/>
      <c r="P61" s="28"/>
      <c r="Q61" s="28"/>
      <c r="R61" s="28"/>
      <c r="S61" s="28"/>
      <c r="T61" s="28"/>
      <c r="U61" s="28"/>
      <c r="V61" s="28"/>
      <c r="W61" s="28"/>
      <c r="X61" s="28"/>
      <c r="Y61" s="28"/>
      <c r="Z61" s="28"/>
    </row>
    <row r="62" ht="15.75" customHeight="1">
      <c r="A62" s="28"/>
      <c r="B62" s="38" t="s">
        <v>209</v>
      </c>
      <c r="C62" s="139">
        <f>Feuil2!E44</f>
        <v>0.09</v>
      </c>
      <c r="D62" s="28"/>
      <c r="E62" s="28"/>
      <c r="F62" s="28"/>
      <c r="G62" s="28"/>
      <c r="H62" s="28"/>
      <c r="I62" s="28"/>
      <c r="J62" s="28"/>
      <c r="K62" s="28"/>
      <c r="L62" s="28"/>
      <c r="M62" s="28"/>
      <c r="N62" s="28"/>
      <c r="O62" s="28"/>
      <c r="P62" s="28"/>
      <c r="Q62" s="28"/>
      <c r="R62" s="28"/>
      <c r="S62" s="28"/>
      <c r="T62" s="28"/>
      <c r="U62" s="28"/>
      <c r="V62" s="28"/>
      <c r="W62" s="28"/>
      <c r="X62" s="28"/>
      <c r="Y62" s="28"/>
      <c r="Z62" s="28"/>
    </row>
    <row r="63" ht="15.75" customHeight="1">
      <c r="A63" s="28"/>
      <c r="B63" s="38"/>
      <c r="C63" s="91"/>
      <c r="D63" s="28"/>
      <c r="E63" s="28"/>
      <c r="F63" s="28"/>
      <c r="G63" s="28"/>
      <c r="H63" s="28"/>
      <c r="I63" s="28"/>
      <c r="J63" s="28"/>
      <c r="K63" s="28"/>
      <c r="L63" s="28"/>
      <c r="M63" s="28"/>
      <c r="N63" s="28"/>
      <c r="O63" s="28"/>
      <c r="P63" s="28"/>
      <c r="Q63" s="28"/>
      <c r="R63" s="28"/>
      <c r="S63" s="28"/>
      <c r="T63" s="28"/>
      <c r="U63" s="28"/>
      <c r="V63" s="28"/>
      <c r="W63" s="28"/>
      <c r="X63" s="28"/>
      <c r="Y63" s="28"/>
      <c r="Z63" s="28"/>
    </row>
    <row r="64" ht="15.75" customHeight="1">
      <c r="A64" s="28"/>
      <c r="B64" s="38"/>
      <c r="C64" s="91"/>
      <c r="D64" s="28"/>
      <c r="E64" s="28"/>
      <c r="F64" s="28"/>
      <c r="G64" s="28"/>
      <c r="H64" s="28"/>
      <c r="I64" s="28"/>
      <c r="J64" s="28"/>
      <c r="K64" s="28"/>
      <c r="L64" s="28"/>
      <c r="M64" s="28"/>
      <c r="N64" s="28"/>
      <c r="O64" s="28"/>
      <c r="P64" s="28"/>
      <c r="Q64" s="28"/>
      <c r="R64" s="28"/>
      <c r="S64" s="28"/>
      <c r="T64" s="28"/>
      <c r="U64" s="28"/>
      <c r="V64" s="28"/>
      <c r="W64" s="28"/>
      <c r="X64" s="28"/>
      <c r="Y64" s="28"/>
      <c r="Z64" s="28"/>
    </row>
    <row r="65" ht="15.75" customHeight="1">
      <c r="A65" s="28"/>
      <c r="B65" s="75" t="s">
        <v>142</v>
      </c>
      <c r="C65" s="109">
        <f>C61*C62</f>
        <v>40140</v>
      </c>
      <c r="D65" s="28"/>
      <c r="E65" s="28"/>
      <c r="F65" s="28"/>
      <c r="G65" s="28"/>
      <c r="H65" s="28"/>
      <c r="I65" s="28"/>
      <c r="J65" s="28"/>
      <c r="K65" s="28"/>
      <c r="L65" s="28"/>
      <c r="M65" s="28"/>
      <c r="N65" s="28"/>
      <c r="O65" s="28"/>
      <c r="P65" s="28"/>
      <c r="Q65" s="28"/>
      <c r="R65" s="28"/>
      <c r="S65" s="28"/>
      <c r="T65" s="28"/>
      <c r="U65" s="28"/>
      <c r="V65" s="28"/>
      <c r="W65" s="28"/>
      <c r="X65" s="28"/>
      <c r="Y65" s="28"/>
      <c r="Z65" s="28"/>
    </row>
    <row r="66" ht="15.75" customHeight="1">
      <c r="A66" s="28"/>
      <c r="B66" s="28"/>
      <c r="C66" s="40"/>
      <c r="D66" s="28"/>
      <c r="E66" s="28"/>
      <c r="F66" s="28"/>
      <c r="G66" s="28"/>
      <c r="H66" s="28"/>
      <c r="I66" s="28"/>
      <c r="J66" s="28"/>
      <c r="K66" s="28"/>
      <c r="L66" s="28"/>
      <c r="M66" s="28"/>
      <c r="N66" s="28"/>
      <c r="O66" s="28"/>
      <c r="P66" s="28"/>
      <c r="Q66" s="28"/>
      <c r="R66" s="28"/>
      <c r="S66" s="28"/>
      <c r="T66" s="28"/>
      <c r="U66" s="28"/>
      <c r="V66" s="28"/>
      <c r="W66" s="28"/>
      <c r="X66" s="28"/>
      <c r="Y66" s="28"/>
      <c r="Z66" s="28"/>
    </row>
    <row r="67" ht="15.75" customHeight="1">
      <c r="A67" s="28"/>
      <c r="B67" s="28"/>
      <c r="C67" s="40"/>
      <c r="D67" s="28"/>
      <c r="E67" s="28"/>
      <c r="F67" s="28"/>
      <c r="G67" s="28"/>
      <c r="H67" s="28"/>
      <c r="I67" s="28"/>
      <c r="J67" s="28"/>
      <c r="K67" s="28"/>
      <c r="L67" s="28"/>
      <c r="M67" s="28"/>
      <c r="N67" s="28"/>
      <c r="O67" s="28"/>
      <c r="P67" s="28"/>
      <c r="Q67" s="28"/>
      <c r="R67" s="28"/>
      <c r="S67" s="28"/>
      <c r="T67" s="28"/>
      <c r="U67" s="28"/>
      <c r="V67" s="28"/>
      <c r="W67" s="28"/>
      <c r="X67" s="28"/>
      <c r="Y67" s="28"/>
      <c r="Z67" s="28"/>
    </row>
    <row r="68" ht="15.75" customHeight="1">
      <c r="A68" s="28"/>
      <c r="B68" s="64" t="s">
        <v>144</v>
      </c>
      <c r="C68" s="43"/>
      <c r="D68" s="44"/>
      <c r="E68" s="64" t="s">
        <v>145</v>
      </c>
      <c r="F68" s="43"/>
      <c r="G68" s="44"/>
      <c r="H68" s="28"/>
      <c r="I68" s="28"/>
      <c r="J68" s="28"/>
      <c r="K68" s="28"/>
      <c r="L68" s="28"/>
      <c r="M68" s="28"/>
      <c r="N68" s="28"/>
      <c r="O68" s="28"/>
      <c r="P68" s="28"/>
      <c r="Q68" s="28"/>
      <c r="R68" s="28"/>
      <c r="S68" s="28"/>
      <c r="T68" s="28"/>
      <c r="U68" s="28"/>
      <c r="V68" s="28"/>
      <c r="W68" s="28"/>
      <c r="X68" s="28"/>
      <c r="Y68" s="28"/>
      <c r="Z68" s="28"/>
    </row>
    <row r="69" ht="15.75" customHeight="1">
      <c r="A69" s="28"/>
      <c r="B69" s="38"/>
      <c r="C69" s="28" t="s">
        <v>210</v>
      </c>
      <c r="D69" s="39" t="s">
        <v>211</v>
      </c>
      <c r="E69" s="38"/>
      <c r="F69" s="28" t="s">
        <v>210</v>
      </c>
      <c r="G69" s="39" t="s">
        <v>211</v>
      </c>
      <c r="H69" s="28"/>
      <c r="I69" s="28"/>
      <c r="J69" s="28"/>
      <c r="K69" s="28"/>
      <c r="L69" s="28"/>
      <c r="M69" s="28"/>
      <c r="N69" s="28"/>
      <c r="O69" s="28"/>
      <c r="P69" s="28"/>
      <c r="Q69" s="28"/>
      <c r="R69" s="28"/>
      <c r="S69" s="28"/>
      <c r="T69" s="28"/>
      <c r="U69" s="28"/>
      <c r="V69" s="28"/>
      <c r="W69" s="28"/>
      <c r="X69" s="28"/>
      <c r="Y69" s="28"/>
      <c r="Z69" s="28"/>
    </row>
    <row r="70" ht="15.75" customHeight="1">
      <c r="A70" s="28"/>
      <c r="B70" s="38" t="s">
        <v>44</v>
      </c>
      <c r="C70" s="28"/>
      <c r="D70" s="60">
        <f>Feuil2!E36</f>
        <v>25</v>
      </c>
      <c r="E70" s="38" t="s">
        <v>44</v>
      </c>
      <c r="F70" s="28"/>
      <c r="G70" s="60">
        <f t="shared" ref="G70:G71" si="8">D70</f>
        <v>25</v>
      </c>
      <c r="H70" s="28"/>
      <c r="I70" s="28"/>
      <c r="J70" s="28"/>
      <c r="K70" s="28"/>
      <c r="L70" s="28"/>
      <c r="M70" s="28"/>
      <c r="N70" s="28"/>
      <c r="O70" s="28"/>
      <c r="P70" s="28"/>
      <c r="Q70" s="28"/>
      <c r="R70" s="28"/>
      <c r="S70" s="28"/>
      <c r="T70" s="28"/>
      <c r="U70" s="28"/>
      <c r="V70" s="28"/>
      <c r="W70" s="28"/>
      <c r="X70" s="28"/>
      <c r="Y70" s="28"/>
      <c r="Z70" s="28"/>
    </row>
    <row r="71" ht="15.75" customHeight="1">
      <c r="A71" s="28"/>
      <c r="B71" s="38" t="s">
        <v>212</v>
      </c>
      <c r="C71" s="28"/>
      <c r="D71" s="101">
        <f>Feuil2!E37</f>
        <v>258000</v>
      </c>
      <c r="E71" s="38" t="s">
        <v>212</v>
      </c>
      <c r="F71" s="28"/>
      <c r="G71" s="101">
        <f t="shared" si="8"/>
        <v>258000</v>
      </c>
      <c r="H71" s="28"/>
      <c r="I71" s="28"/>
      <c r="J71" s="28"/>
      <c r="K71" s="28"/>
      <c r="L71" s="28"/>
      <c r="M71" s="28"/>
      <c r="N71" s="28"/>
      <c r="O71" s="28"/>
      <c r="P71" s="28"/>
      <c r="Q71" s="28"/>
      <c r="R71" s="28"/>
      <c r="S71" s="28"/>
      <c r="T71" s="28"/>
      <c r="U71" s="28"/>
      <c r="V71" s="28"/>
      <c r="W71" s="28"/>
      <c r="X71" s="28"/>
      <c r="Y71" s="28"/>
      <c r="Z71" s="28"/>
    </row>
    <row r="72" ht="15.75" customHeight="1">
      <c r="A72" s="28"/>
      <c r="B72" s="38" t="s">
        <v>213</v>
      </c>
      <c r="C72" s="49">
        <f>G35</f>
        <v>766785</v>
      </c>
      <c r="D72" s="60">
        <f>D70*D71</f>
        <v>6450000</v>
      </c>
      <c r="E72" s="38" t="s">
        <v>213</v>
      </c>
      <c r="F72" s="49">
        <f>C72</f>
        <v>766785</v>
      </c>
      <c r="G72" s="60">
        <f>G70*G71</f>
        <v>6450000</v>
      </c>
      <c r="H72" s="28"/>
      <c r="I72" s="28"/>
      <c r="J72" s="28"/>
      <c r="K72" s="28"/>
      <c r="L72" s="28"/>
      <c r="M72" s="28"/>
      <c r="N72" s="28"/>
      <c r="O72" s="28"/>
      <c r="P72" s="28"/>
      <c r="Q72" s="28"/>
      <c r="R72" s="28"/>
      <c r="S72" s="28"/>
      <c r="T72" s="28"/>
      <c r="U72" s="28"/>
      <c r="V72" s="28"/>
      <c r="W72" s="28"/>
      <c r="X72" s="28"/>
      <c r="Y72" s="28"/>
      <c r="Z72" s="28"/>
    </row>
    <row r="73" ht="15.75" customHeight="1">
      <c r="A73" s="28"/>
      <c r="B73" s="38"/>
      <c r="C73" s="28"/>
      <c r="D73" s="60"/>
      <c r="E73" s="38"/>
      <c r="F73" s="28"/>
      <c r="G73" s="60"/>
      <c r="H73" s="28"/>
      <c r="I73" s="28"/>
      <c r="J73" s="28"/>
      <c r="K73" s="28"/>
      <c r="L73" s="28"/>
      <c r="M73" s="28"/>
      <c r="N73" s="28"/>
      <c r="O73" s="28"/>
      <c r="P73" s="28"/>
      <c r="Q73" s="28"/>
      <c r="R73" s="28"/>
      <c r="S73" s="28"/>
      <c r="T73" s="28"/>
      <c r="U73" s="28"/>
      <c r="V73" s="28"/>
      <c r="W73" s="28"/>
      <c r="X73" s="28"/>
      <c r="Y73" s="28"/>
      <c r="Z73" s="28"/>
    </row>
    <row r="74" ht="15.75" customHeight="1">
      <c r="A74" s="28"/>
      <c r="B74" s="61"/>
      <c r="C74" s="78"/>
      <c r="D74" s="135">
        <f>D72-C72</f>
        <v>5683215</v>
      </c>
      <c r="E74" s="61"/>
      <c r="F74" s="78"/>
      <c r="G74" s="135">
        <v>0.0</v>
      </c>
      <c r="H74" s="28"/>
      <c r="I74" s="28"/>
      <c r="J74" s="28"/>
      <c r="K74" s="28"/>
      <c r="L74" s="28"/>
      <c r="M74" s="28"/>
      <c r="N74" s="28"/>
      <c r="O74" s="28"/>
      <c r="P74" s="28"/>
      <c r="Q74" s="28"/>
      <c r="R74" s="28"/>
      <c r="S74" s="28"/>
      <c r="T74" s="28"/>
      <c r="U74" s="28"/>
      <c r="V74" s="28"/>
      <c r="W74" s="28"/>
      <c r="X74" s="28"/>
      <c r="Y74" s="28"/>
      <c r="Z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5.75" customHeight="1">
      <c r="A76" s="28"/>
      <c r="B76" s="64" t="s">
        <v>155</v>
      </c>
      <c r="C76" s="43"/>
      <c r="D76" s="43"/>
      <c r="E76" s="44"/>
      <c r="F76" s="28"/>
      <c r="G76" s="28"/>
      <c r="H76" s="28"/>
      <c r="I76" s="28"/>
      <c r="J76" s="28"/>
      <c r="K76" s="28"/>
      <c r="L76" s="28"/>
      <c r="M76" s="28"/>
      <c r="N76" s="28"/>
      <c r="O76" s="28"/>
      <c r="P76" s="28"/>
      <c r="Q76" s="28"/>
      <c r="R76" s="28"/>
      <c r="S76" s="28"/>
      <c r="T76" s="28"/>
      <c r="U76" s="28"/>
      <c r="V76" s="28"/>
      <c r="W76" s="28"/>
      <c r="X76" s="28"/>
      <c r="Y76" s="28"/>
      <c r="Z76" s="28"/>
    </row>
    <row r="77" ht="15.75" customHeight="1">
      <c r="A77" s="28"/>
      <c r="B77" s="38"/>
      <c r="C77" s="28" t="s">
        <v>210</v>
      </c>
      <c r="D77" s="28" t="s">
        <v>211</v>
      </c>
      <c r="E77" s="39"/>
      <c r="F77" s="28"/>
      <c r="G77" s="28"/>
      <c r="H77" s="28"/>
      <c r="I77" s="28"/>
      <c r="J77" s="28"/>
      <c r="K77" s="28"/>
      <c r="L77" s="28"/>
      <c r="M77" s="28"/>
      <c r="N77" s="28"/>
      <c r="O77" s="28"/>
      <c r="P77" s="28"/>
      <c r="Q77" s="28"/>
      <c r="R77" s="28"/>
      <c r="S77" s="28"/>
      <c r="T77" s="28"/>
      <c r="U77" s="28"/>
      <c r="V77" s="28"/>
      <c r="W77" s="28"/>
      <c r="X77" s="28"/>
      <c r="Y77" s="28"/>
      <c r="Z77" s="28"/>
    </row>
    <row r="78" ht="15.75" customHeight="1">
      <c r="A78" s="28"/>
      <c r="B78" s="38" t="s">
        <v>212</v>
      </c>
      <c r="C78" s="41">
        <f>C26</f>
        <v>49470</v>
      </c>
      <c r="D78" s="41">
        <f>D71</f>
        <v>258000</v>
      </c>
      <c r="E78" s="39"/>
      <c r="F78" s="28"/>
      <c r="G78" s="28"/>
      <c r="H78" s="28"/>
      <c r="I78" s="28"/>
      <c r="J78" s="28"/>
      <c r="K78" s="28"/>
      <c r="L78" s="28"/>
      <c r="M78" s="28"/>
      <c r="N78" s="28"/>
      <c r="O78" s="28"/>
      <c r="P78" s="28"/>
      <c r="Q78" s="28"/>
      <c r="R78" s="28"/>
      <c r="S78" s="28"/>
      <c r="T78" s="28"/>
      <c r="U78" s="28"/>
      <c r="V78" s="28"/>
      <c r="W78" s="28"/>
      <c r="X78" s="28"/>
      <c r="Y78" s="28"/>
      <c r="Z78" s="28"/>
    </row>
    <row r="79" ht="15.75" customHeight="1">
      <c r="A79" s="28"/>
      <c r="B79" s="38" t="s">
        <v>202</v>
      </c>
      <c r="C79" s="49">
        <f>C44</f>
        <v>10.1</v>
      </c>
      <c r="D79" s="49">
        <f>Feuil2!E31+Feuil2!E33+Feuil2!E35</f>
        <v>21.8</v>
      </c>
      <c r="E79" s="39"/>
      <c r="F79" s="28"/>
      <c r="G79" s="28"/>
      <c r="H79" s="28"/>
      <c r="I79" s="28"/>
      <c r="J79" s="28"/>
      <c r="K79" s="28"/>
      <c r="L79" s="28"/>
      <c r="M79" s="28"/>
      <c r="N79" s="28"/>
      <c r="O79" s="28"/>
      <c r="P79" s="28"/>
      <c r="Q79" s="28"/>
      <c r="R79" s="28"/>
      <c r="S79" s="28"/>
      <c r="T79" s="28"/>
      <c r="U79" s="28"/>
      <c r="V79" s="28"/>
      <c r="W79" s="28"/>
      <c r="X79" s="28"/>
      <c r="Y79" s="28"/>
      <c r="Z79" s="28"/>
    </row>
    <row r="80" ht="15.75" customHeight="1">
      <c r="A80" s="28"/>
      <c r="B80" s="38" t="s">
        <v>214</v>
      </c>
      <c r="C80" s="49">
        <f t="shared" ref="C80:D80" si="9">C78*C79</f>
        <v>499647</v>
      </c>
      <c r="D80" s="49">
        <f t="shared" si="9"/>
        <v>5624400</v>
      </c>
      <c r="E80" s="60">
        <f t="shared" ref="E80:E81" si="10">D80-C80</f>
        <v>5124753</v>
      </c>
      <c r="F80" s="28"/>
      <c r="G80" s="28"/>
      <c r="H80" s="28"/>
      <c r="I80" s="28"/>
      <c r="J80" s="28"/>
      <c r="K80" s="28"/>
      <c r="L80" s="28"/>
      <c r="M80" s="28"/>
      <c r="N80" s="28"/>
      <c r="O80" s="28"/>
      <c r="P80" s="28"/>
      <c r="Q80" s="28"/>
      <c r="R80" s="28"/>
      <c r="S80" s="28"/>
      <c r="T80" s="28"/>
      <c r="U80" s="28"/>
      <c r="V80" s="28"/>
      <c r="W80" s="28"/>
      <c r="X80" s="28"/>
      <c r="Y80" s="28"/>
      <c r="Z80" s="28"/>
    </row>
    <row r="81" ht="15.75" customHeight="1">
      <c r="A81" s="28"/>
      <c r="B81" s="38" t="s">
        <v>204</v>
      </c>
      <c r="C81" s="49">
        <f>E45</f>
        <v>157812</v>
      </c>
      <c r="D81" s="49">
        <f>Feuil2!E32+Feuil2!E34+Feuil2!E43+C65</f>
        <v>75640</v>
      </c>
      <c r="E81" s="60">
        <f t="shared" si="10"/>
        <v>-82172</v>
      </c>
      <c r="F81" s="28"/>
      <c r="G81" s="28"/>
      <c r="H81" s="28"/>
      <c r="I81" s="28"/>
      <c r="J81" s="28"/>
      <c r="K81" s="28"/>
      <c r="L81" s="28"/>
      <c r="M81" s="28"/>
      <c r="N81" s="28"/>
      <c r="O81" s="28"/>
      <c r="P81" s="28"/>
      <c r="Q81" s="28"/>
      <c r="R81" s="28"/>
      <c r="S81" s="28"/>
      <c r="T81" s="28"/>
      <c r="U81" s="28"/>
      <c r="V81" s="28"/>
      <c r="W81" s="28"/>
      <c r="X81" s="28"/>
      <c r="Y81" s="28"/>
      <c r="Z81" s="28"/>
    </row>
    <row r="82" ht="15.75" customHeight="1">
      <c r="A82" s="28"/>
      <c r="B82" s="61"/>
      <c r="C82" s="78"/>
      <c r="D82" s="67" t="s">
        <v>160</v>
      </c>
      <c r="E82" s="135">
        <f>-E81</f>
        <v>82172</v>
      </c>
      <c r="F82" s="28"/>
      <c r="G82" s="49"/>
      <c r="H82" s="28"/>
      <c r="I82" s="28"/>
      <c r="J82" s="28"/>
      <c r="K82" s="28"/>
      <c r="L82" s="28"/>
      <c r="M82" s="28"/>
      <c r="N82" s="28"/>
      <c r="O82" s="28"/>
      <c r="P82" s="28"/>
      <c r="Q82" s="28"/>
      <c r="R82" s="28"/>
      <c r="S82" s="28"/>
      <c r="T82" s="28"/>
      <c r="U82" s="28"/>
      <c r="V82" s="28"/>
      <c r="W82" s="28"/>
      <c r="X82" s="28"/>
      <c r="Y82" s="28"/>
      <c r="Z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5.75" customHeight="1">
      <c r="A84" s="28"/>
      <c r="B84" s="64" t="s">
        <v>161</v>
      </c>
      <c r="C84" s="43"/>
      <c r="D84" s="43"/>
      <c r="E84" s="44"/>
      <c r="F84" s="28"/>
      <c r="G84" s="28"/>
      <c r="H84" s="28"/>
      <c r="I84" s="28"/>
      <c r="J84" s="28"/>
      <c r="K84" s="28"/>
      <c r="L84" s="28"/>
      <c r="M84" s="28"/>
      <c r="N84" s="28"/>
      <c r="O84" s="28"/>
      <c r="P84" s="28"/>
      <c r="Q84" s="28"/>
      <c r="R84" s="28"/>
      <c r="S84" s="28"/>
      <c r="T84" s="28"/>
      <c r="U84" s="28"/>
      <c r="V84" s="28"/>
      <c r="W84" s="28"/>
      <c r="X84" s="28"/>
      <c r="Y84" s="28"/>
      <c r="Z84" s="28"/>
    </row>
    <row r="85" ht="15.75" customHeight="1">
      <c r="A85" s="28"/>
      <c r="B85" s="38"/>
      <c r="C85" s="28" t="s">
        <v>210</v>
      </c>
      <c r="D85" s="28" t="s">
        <v>211</v>
      </c>
      <c r="E85" s="39"/>
      <c r="F85" s="28"/>
      <c r="G85" s="28"/>
      <c r="H85" s="28"/>
      <c r="I85" s="28"/>
      <c r="J85" s="28"/>
      <c r="K85" s="28"/>
      <c r="L85" s="28"/>
      <c r="M85" s="28"/>
      <c r="N85" s="28"/>
      <c r="O85" s="28"/>
      <c r="P85" s="28"/>
      <c r="Q85" s="28"/>
      <c r="R85" s="28"/>
      <c r="S85" s="28"/>
      <c r="T85" s="28"/>
      <c r="U85" s="28"/>
      <c r="V85" s="28"/>
      <c r="W85" s="28"/>
      <c r="X85" s="28"/>
      <c r="Y85" s="28"/>
      <c r="Z85" s="28"/>
    </row>
    <row r="86" ht="15.75" customHeight="1">
      <c r="A86" s="28"/>
      <c r="B86" s="38" t="s">
        <v>212</v>
      </c>
      <c r="C86" s="41">
        <f t="shared" ref="C86:D86" si="11">C78</f>
        <v>49470</v>
      </c>
      <c r="D86" s="41">
        <f t="shared" si="11"/>
        <v>258000</v>
      </c>
      <c r="E86" s="39"/>
      <c r="F86" s="28"/>
      <c r="G86" s="28"/>
      <c r="H86" s="28"/>
      <c r="I86" s="28"/>
      <c r="J86" s="28"/>
      <c r="K86" s="28"/>
      <c r="L86" s="28"/>
      <c r="M86" s="28"/>
      <c r="N86" s="28"/>
      <c r="O86" s="28"/>
      <c r="P86" s="28"/>
      <c r="Q86" s="28"/>
      <c r="R86" s="28"/>
      <c r="S86" s="28"/>
      <c r="T86" s="28"/>
      <c r="U86" s="28"/>
      <c r="V86" s="28"/>
      <c r="W86" s="28"/>
      <c r="X86" s="28"/>
      <c r="Y86" s="28"/>
      <c r="Z86" s="28"/>
    </row>
    <row r="87" ht="15.75" customHeight="1">
      <c r="A87" s="28"/>
      <c r="B87" s="38" t="s">
        <v>202</v>
      </c>
      <c r="C87" s="49">
        <f t="shared" ref="C87:D87" si="12">C79</f>
        <v>10.1</v>
      </c>
      <c r="D87" s="49">
        <f t="shared" si="12"/>
        <v>21.8</v>
      </c>
      <c r="E87" s="39"/>
      <c r="F87" s="28"/>
      <c r="G87" s="28"/>
      <c r="H87" s="28"/>
      <c r="I87" s="28"/>
      <c r="J87" s="28"/>
      <c r="K87" s="28"/>
      <c r="L87" s="28"/>
      <c r="M87" s="28"/>
      <c r="N87" s="28"/>
      <c r="O87" s="28"/>
      <c r="P87" s="28"/>
      <c r="Q87" s="28"/>
      <c r="R87" s="28"/>
      <c r="S87" s="28"/>
      <c r="T87" s="28"/>
      <c r="U87" s="28"/>
      <c r="V87" s="28"/>
      <c r="W87" s="28"/>
      <c r="X87" s="28"/>
      <c r="Y87" s="28"/>
      <c r="Z87" s="28"/>
    </row>
    <row r="88" ht="15.75" customHeight="1">
      <c r="A88" s="28"/>
      <c r="B88" s="38" t="s">
        <v>214</v>
      </c>
      <c r="C88" s="49">
        <f t="shared" ref="C88:D88" si="13">C86*C87</f>
        <v>499647</v>
      </c>
      <c r="D88" s="49">
        <f t="shared" si="13"/>
        <v>5624400</v>
      </c>
      <c r="E88" s="60">
        <f t="shared" ref="E88:E89" si="15">D88-C88</f>
        <v>5124753</v>
      </c>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38" t="s">
        <v>204</v>
      </c>
      <c r="C89" s="51">
        <f t="shared" ref="C89:D89" si="14">C81</f>
        <v>157812</v>
      </c>
      <c r="D89" s="51">
        <f t="shared" si="14"/>
        <v>75640</v>
      </c>
      <c r="E89" s="60">
        <f t="shared" si="15"/>
        <v>-82172</v>
      </c>
      <c r="F89" s="28"/>
      <c r="G89" s="28"/>
      <c r="H89" s="28"/>
      <c r="I89" s="28"/>
      <c r="J89" s="28"/>
      <c r="K89" s="28"/>
      <c r="L89" s="28"/>
      <c r="M89" s="28"/>
      <c r="N89" s="28"/>
      <c r="O89" s="28"/>
      <c r="P89" s="28"/>
      <c r="Q89" s="28"/>
      <c r="R89" s="28"/>
      <c r="S89" s="28"/>
      <c r="T89" s="28"/>
      <c r="U89" s="28"/>
      <c r="V89" s="28"/>
      <c r="W89" s="28"/>
      <c r="X89" s="28"/>
      <c r="Y89" s="28"/>
      <c r="Z89" s="28"/>
    </row>
    <row r="90" ht="15.75" customHeight="1">
      <c r="A90" s="28"/>
      <c r="B90" s="61"/>
      <c r="C90" s="78"/>
      <c r="D90" s="67" t="s">
        <v>165</v>
      </c>
      <c r="E90" s="135">
        <f>E88</f>
        <v>5124753</v>
      </c>
      <c r="F90" s="28"/>
      <c r="G90" s="28"/>
      <c r="H90" s="28"/>
      <c r="I90" s="28"/>
      <c r="J90" s="28"/>
      <c r="K90" s="28"/>
      <c r="L90" s="28"/>
      <c r="M90" s="28"/>
      <c r="N90" s="28"/>
      <c r="O90" s="28"/>
      <c r="P90" s="28"/>
      <c r="Q90" s="28"/>
      <c r="R90" s="28"/>
      <c r="S90" s="28"/>
      <c r="T90" s="28"/>
      <c r="U90" s="28"/>
      <c r="V90" s="28"/>
      <c r="W90" s="28"/>
      <c r="X90" s="28"/>
      <c r="Y90" s="28"/>
      <c r="Z90" s="28"/>
    </row>
    <row r="91" ht="15.75" customHeight="1">
      <c r="A91" s="28"/>
      <c r="B91" s="118"/>
      <c r="C91" s="70"/>
      <c r="D91" s="28"/>
      <c r="E91" s="28"/>
      <c r="F91" s="28"/>
      <c r="G91" s="28"/>
      <c r="H91" s="28"/>
      <c r="I91" s="28"/>
      <c r="J91" s="28"/>
      <c r="K91" s="28"/>
      <c r="L91" s="28"/>
      <c r="M91" s="28"/>
      <c r="N91" s="28"/>
      <c r="O91" s="28"/>
      <c r="P91" s="28"/>
      <c r="Q91" s="28"/>
      <c r="R91" s="28"/>
      <c r="S91" s="28"/>
      <c r="T91" s="28"/>
      <c r="U91" s="28"/>
      <c r="V91" s="28"/>
      <c r="W91" s="28"/>
      <c r="X91" s="28"/>
      <c r="Y91" s="28"/>
      <c r="Z91" s="28"/>
    </row>
    <row r="92" ht="15.75" customHeight="1">
      <c r="A92" s="28"/>
      <c r="B92" s="64" t="s">
        <v>166</v>
      </c>
      <c r="C92" s="43"/>
      <c r="D92" s="43"/>
      <c r="E92" s="44"/>
      <c r="F92" s="28"/>
      <c r="G92" s="28"/>
      <c r="H92" s="28"/>
      <c r="I92" s="28"/>
      <c r="J92" s="28"/>
      <c r="K92" s="28"/>
      <c r="L92" s="28"/>
      <c r="M92" s="28"/>
      <c r="N92" s="28"/>
      <c r="O92" s="28"/>
      <c r="P92" s="28"/>
      <c r="Q92" s="28"/>
      <c r="R92" s="28"/>
      <c r="S92" s="28"/>
      <c r="T92" s="28"/>
      <c r="U92" s="28"/>
      <c r="V92" s="28"/>
      <c r="W92" s="28"/>
      <c r="X92" s="28"/>
      <c r="Y92" s="28"/>
      <c r="Z92" s="28"/>
    </row>
    <row r="93" ht="15.75" customHeight="1">
      <c r="A93" s="28"/>
      <c r="B93" s="38"/>
      <c r="C93" s="28"/>
      <c r="D93" s="28"/>
      <c r="E93" s="39"/>
      <c r="F93" s="28"/>
      <c r="G93" s="28"/>
      <c r="H93" s="28"/>
      <c r="I93" s="28"/>
      <c r="J93" s="28"/>
      <c r="K93" s="28"/>
      <c r="L93" s="28"/>
      <c r="M93" s="28"/>
      <c r="N93" s="28"/>
      <c r="O93" s="28"/>
      <c r="P93" s="28"/>
      <c r="Q93" s="28"/>
      <c r="R93" s="28"/>
      <c r="S93" s="28"/>
      <c r="T93" s="28"/>
      <c r="U93" s="28"/>
      <c r="V93" s="28"/>
      <c r="W93" s="28"/>
      <c r="X93" s="28"/>
      <c r="Y93" s="28"/>
      <c r="Z93" s="28"/>
    </row>
    <row r="94" ht="15.75" customHeight="1">
      <c r="A94" s="28"/>
      <c r="B94" s="38" t="s">
        <v>153</v>
      </c>
      <c r="C94" s="49">
        <f>D74</f>
        <v>5683215</v>
      </c>
      <c r="D94" s="41"/>
      <c r="E94" s="39"/>
      <c r="F94" s="28"/>
      <c r="G94" s="28"/>
      <c r="H94" s="28"/>
      <c r="I94" s="28"/>
      <c r="J94" s="28"/>
      <c r="K94" s="28"/>
      <c r="L94" s="28"/>
      <c r="M94" s="28"/>
      <c r="N94" s="28"/>
      <c r="O94" s="28"/>
      <c r="P94" s="28"/>
      <c r="Q94" s="28"/>
      <c r="R94" s="28"/>
      <c r="S94" s="28"/>
      <c r="T94" s="28"/>
      <c r="U94" s="28"/>
      <c r="V94" s="28"/>
      <c r="W94" s="28"/>
      <c r="X94" s="28"/>
      <c r="Y94" s="28"/>
      <c r="Z94" s="28"/>
    </row>
    <row r="95" ht="15.75" customHeight="1">
      <c r="A95" s="28"/>
      <c r="B95" s="38" t="s">
        <v>154</v>
      </c>
      <c r="C95" s="49">
        <f>G74</f>
        <v>0</v>
      </c>
      <c r="D95" s="49"/>
      <c r="E95" s="39"/>
      <c r="F95" s="28"/>
      <c r="G95" s="28"/>
      <c r="H95" s="28"/>
      <c r="I95" s="28"/>
      <c r="J95" s="28"/>
      <c r="K95" s="28"/>
      <c r="L95" s="28"/>
      <c r="M95" s="28"/>
      <c r="N95" s="28"/>
      <c r="O95" s="28"/>
      <c r="P95" s="28"/>
      <c r="Q95" s="28"/>
      <c r="R95" s="28"/>
      <c r="S95" s="28"/>
      <c r="T95" s="28"/>
      <c r="U95" s="28"/>
      <c r="V95" s="28"/>
      <c r="W95" s="28"/>
      <c r="X95" s="28"/>
      <c r="Y95" s="28"/>
      <c r="Z95" s="28"/>
    </row>
    <row r="96" ht="15.75" customHeight="1">
      <c r="A96" s="28"/>
      <c r="B96" s="38" t="s">
        <v>160</v>
      </c>
      <c r="C96" s="49">
        <f>E82</f>
        <v>82172</v>
      </c>
      <c r="D96" s="49"/>
      <c r="E96" s="60"/>
      <c r="F96" s="28"/>
      <c r="G96" s="28"/>
      <c r="H96" s="28"/>
      <c r="I96" s="28"/>
      <c r="J96" s="28"/>
      <c r="K96" s="28"/>
      <c r="L96" s="28"/>
      <c r="M96" s="28"/>
      <c r="N96" s="28"/>
      <c r="O96" s="28"/>
      <c r="P96" s="28"/>
      <c r="Q96" s="28"/>
      <c r="R96" s="28"/>
      <c r="S96" s="28"/>
      <c r="T96" s="28"/>
      <c r="U96" s="28"/>
      <c r="V96" s="28"/>
      <c r="W96" s="28"/>
      <c r="X96" s="28"/>
      <c r="Y96" s="28"/>
      <c r="Z96" s="28"/>
    </row>
    <row r="97" ht="15.75" customHeight="1">
      <c r="A97" s="28"/>
      <c r="B97" s="38" t="s">
        <v>215</v>
      </c>
      <c r="C97" s="49">
        <f>E90</f>
        <v>5124753</v>
      </c>
      <c r="D97" s="51"/>
      <c r="E97" s="60"/>
      <c r="F97" s="28"/>
      <c r="G97" s="28"/>
      <c r="H97" s="28"/>
      <c r="I97" s="28"/>
      <c r="J97" s="28"/>
      <c r="K97" s="28"/>
      <c r="L97" s="28"/>
      <c r="M97" s="28"/>
      <c r="N97" s="28"/>
      <c r="O97" s="28"/>
      <c r="P97" s="28"/>
      <c r="Q97" s="28"/>
      <c r="R97" s="28"/>
      <c r="S97" s="28"/>
      <c r="T97" s="28"/>
      <c r="U97" s="28"/>
      <c r="V97" s="28"/>
      <c r="W97" s="28"/>
      <c r="X97" s="28"/>
      <c r="Y97" s="28"/>
      <c r="Z97" s="28"/>
    </row>
    <row r="98" ht="15.75" customHeight="1">
      <c r="A98" s="28"/>
      <c r="B98" s="61"/>
      <c r="C98" s="78"/>
      <c r="D98" s="67"/>
      <c r="E98" s="135">
        <f>C94-C95+C96-C97</f>
        <v>640634</v>
      </c>
      <c r="F98" s="28"/>
      <c r="G98" s="28"/>
      <c r="H98" s="28"/>
      <c r="I98" s="28"/>
      <c r="J98" s="28"/>
      <c r="K98" s="28"/>
      <c r="L98" s="28"/>
      <c r="M98" s="28"/>
      <c r="N98" s="28"/>
      <c r="O98" s="28"/>
      <c r="P98" s="28"/>
      <c r="Q98" s="28"/>
      <c r="R98" s="28"/>
      <c r="S98" s="28"/>
      <c r="T98" s="28"/>
      <c r="U98" s="28"/>
      <c r="V98" s="28"/>
      <c r="W98" s="28"/>
      <c r="X98" s="28"/>
      <c r="Y98" s="28"/>
      <c r="Z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7">
    <mergeCell ref="B3:I3"/>
    <mergeCell ref="B5:E5"/>
    <mergeCell ref="C10:D10"/>
    <mergeCell ref="B12:I12"/>
    <mergeCell ref="B32:E32"/>
    <mergeCell ref="F32:I32"/>
    <mergeCell ref="B42:C42"/>
    <mergeCell ref="H42:I42"/>
    <mergeCell ref="B84:E84"/>
    <mergeCell ref="B92:E92"/>
    <mergeCell ref="D42:E42"/>
    <mergeCell ref="F42:G42"/>
    <mergeCell ref="A58:I58"/>
    <mergeCell ref="B60:C60"/>
    <mergeCell ref="B68:D68"/>
    <mergeCell ref="E68:G68"/>
    <mergeCell ref="B76:E7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5.71"/>
    <col customWidth="1" min="3" max="3" width="15.71"/>
    <col customWidth="1" min="4" max="4" width="18.0"/>
    <col customWidth="1" min="5" max="26" width="12.29"/>
  </cols>
  <sheetData>
    <row r="1" ht="14.25" customHeight="1">
      <c r="A1" s="28"/>
      <c r="B1" s="140" t="str">
        <f>'Enoncé'!Q1</f>
        <v/>
      </c>
      <c r="C1" s="28">
        <f>Feuil5!I24</f>
        <v>18.5</v>
      </c>
      <c r="D1" s="28"/>
      <c r="E1" s="28"/>
      <c r="F1" s="28"/>
      <c r="G1" s="28"/>
      <c r="H1" s="28"/>
      <c r="I1" s="28"/>
      <c r="J1" s="28"/>
      <c r="K1" s="28"/>
      <c r="L1" s="28"/>
      <c r="M1" s="28"/>
      <c r="N1" s="28"/>
      <c r="O1" s="28"/>
      <c r="P1" s="28"/>
      <c r="Q1" s="28"/>
      <c r="R1" s="28"/>
      <c r="S1" s="28"/>
      <c r="T1" s="28"/>
      <c r="U1" s="28"/>
      <c r="V1" s="28"/>
      <c r="W1" s="28"/>
      <c r="X1" s="28"/>
      <c r="Y1" s="28"/>
      <c r="Z1" s="28"/>
    </row>
    <row r="2" ht="14.25" customHeight="1">
      <c r="A2" s="28"/>
      <c r="B2" s="28"/>
      <c r="C2" s="28"/>
      <c r="D2" s="28"/>
      <c r="E2" s="28"/>
      <c r="F2" s="28"/>
      <c r="G2" s="28"/>
      <c r="H2" s="28"/>
      <c r="I2" s="28"/>
      <c r="J2" s="28"/>
      <c r="K2" s="28"/>
      <c r="L2" s="28"/>
      <c r="M2" s="28"/>
      <c r="N2" s="28"/>
      <c r="O2" s="28"/>
      <c r="P2" s="28"/>
      <c r="Q2" s="28"/>
      <c r="R2" s="28"/>
      <c r="S2" s="28"/>
      <c r="T2" s="28"/>
      <c r="U2" s="28"/>
      <c r="V2" s="28"/>
      <c r="W2" s="28"/>
      <c r="X2" s="28"/>
      <c r="Y2" s="28"/>
      <c r="Z2" s="28"/>
    </row>
    <row r="3" ht="14.25" customHeight="1">
      <c r="A3" s="28"/>
      <c r="B3" s="28"/>
      <c r="C3" s="28"/>
      <c r="D3" s="28"/>
      <c r="E3" s="28"/>
      <c r="F3" s="28"/>
      <c r="G3" s="28"/>
      <c r="H3" s="28"/>
      <c r="I3" s="28"/>
      <c r="J3" s="28"/>
      <c r="K3" s="28"/>
      <c r="L3" s="28"/>
      <c r="M3" s="28"/>
      <c r="N3" s="28"/>
      <c r="O3" s="28"/>
      <c r="P3" s="28"/>
      <c r="Q3" s="28"/>
      <c r="R3" s="28"/>
      <c r="S3" s="28"/>
      <c r="T3" s="28"/>
      <c r="U3" s="28"/>
      <c r="V3" s="28"/>
      <c r="W3" s="28"/>
      <c r="X3" s="28"/>
      <c r="Y3" s="28"/>
      <c r="Z3" s="28"/>
    </row>
    <row r="4" ht="14.25" customHeight="1">
      <c r="A4" s="28"/>
      <c r="B4" s="28"/>
      <c r="C4" s="28"/>
      <c r="D4" s="28"/>
      <c r="E4" s="28"/>
      <c r="F4" s="28"/>
      <c r="G4" s="28"/>
      <c r="H4" s="28"/>
      <c r="I4" s="28"/>
      <c r="J4" s="28"/>
      <c r="K4" s="28"/>
      <c r="L4" s="28"/>
      <c r="M4" s="28"/>
      <c r="N4" s="28"/>
      <c r="O4" s="28"/>
      <c r="P4" s="28"/>
      <c r="Q4" s="28"/>
      <c r="R4" s="28"/>
      <c r="S4" s="28"/>
      <c r="T4" s="28"/>
      <c r="U4" s="28"/>
      <c r="V4" s="28"/>
      <c r="W4" s="28"/>
      <c r="X4" s="28"/>
      <c r="Y4" s="28"/>
      <c r="Z4" s="28"/>
    </row>
    <row r="5" ht="14.25" customHeight="1">
      <c r="A5" s="28"/>
      <c r="B5" s="28"/>
      <c r="C5" s="28"/>
      <c r="D5" s="28"/>
      <c r="E5" s="28"/>
      <c r="F5" s="28"/>
      <c r="G5" s="28"/>
      <c r="H5" s="28"/>
      <c r="I5" s="28"/>
      <c r="J5" s="28"/>
      <c r="K5" s="28"/>
      <c r="L5" s="28"/>
      <c r="M5" s="28"/>
      <c r="N5" s="28"/>
      <c r="O5" s="28"/>
      <c r="P5" s="28"/>
      <c r="Q5" s="28"/>
      <c r="R5" s="28"/>
      <c r="S5" s="28"/>
      <c r="T5" s="28"/>
      <c r="U5" s="28"/>
      <c r="V5" s="28"/>
      <c r="W5" s="28"/>
      <c r="X5" s="28"/>
      <c r="Y5" s="28"/>
      <c r="Z5" s="28"/>
    </row>
    <row r="6" ht="14.25" customHeight="1">
      <c r="A6" s="28"/>
      <c r="B6" s="28"/>
      <c r="C6" s="28"/>
      <c r="D6" s="28"/>
      <c r="E6" s="28"/>
      <c r="F6" s="28"/>
      <c r="G6" s="28"/>
      <c r="H6" s="28"/>
      <c r="I6" s="28"/>
      <c r="J6" s="28"/>
      <c r="K6" s="28"/>
      <c r="L6" s="28"/>
      <c r="M6" s="28"/>
      <c r="N6" s="28"/>
      <c r="O6" s="28"/>
      <c r="P6" s="28"/>
      <c r="Q6" s="28"/>
      <c r="R6" s="28"/>
      <c r="S6" s="28"/>
      <c r="T6" s="28"/>
      <c r="U6" s="28"/>
      <c r="V6" s="28"/>
      <c r="W6" s="28"/>
      <c r="X6" s="28"/>
      <c r="Y6" s="28"/>
      <c r="Z6" s="28"/>
    </row>
    <row r="7" ht="14.25" customHeight="1">
      <c r="A7" s="28"/>
      <c r="B7" s="28"/>
      <c r="C7" s="28"/>
      <c r="D7" s="28"/>
      <c r="E7" s="28"/>
      <c r="F7" s="28"/>
      <c r="G7" s="28"/>
      <c r="H7" s="28"/>
      <c r="I7" s="28"/>
      <c r="J7" s="28"/>
      <c r="K7" s="28"/>
      <c r="L7" s="28"/>
      <c r="M7" s="28"/>
      <c r="N7" s="28"/>
      <c r="O7" s="28"/>
      <c r="P7" s="28"/>
      <c r="Q7" s="28"/>
      <c r="R7" s="28"/>
      <c r="S7" s="28"/>
      <c r="T7" s="28"/>
      <c r="U7" s="28"/>
      <c r="V7" s="28"/>
      <c r="W7" s="28"/>
      <c r="X7" s="28"/>
      <c r="Y7" s="28"/>
      <c r="Z7" s="28"/>
    </row>
    <row r="8" ht="14.2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4.25" customHeight="1">
      <c r="A9" s="28"/>
      <c r="B9" s="28"/>
      <c r="C9" s="28"/>
      <c r="D9" s="28"/>
      <c r="E9" s="28"/>
      <c r="F9" s="28"/>
      <c r="G9" s="28"/>
      <c r="H9" s="28"/>
      <c r="I9" s="28"/>
      <c r="J9" s="28"/>
      <c r="K9" s="28"/>
      <c r="L9" s="28"/>
      <c r="M9" s="28"/>
      <c r="N9" s="28"/>
      <c r="O9" s="28"/>
      <c r="P9" s="28"/>
      <c r="Q9" s="28"/>
      <c r="R9" s="28"/>
      <c r="S9" s="28"/>
      <c r="T9" s="28"/>
      <c r="U9" s="28"/>
      <c r="V9" s="28"/>
      <c r="W9" s="28"/>
      <c r="X9" s="28"/>
      <c r="Y9" s="28"/>
      <c r="Z9" s="28"/>
    </row>
    <row r="10" ht="14.2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4.2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4.2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4.2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4.2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4.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4.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4.2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4.2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4.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4.2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4.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4.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4.2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4.2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4.2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4.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4.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4.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4.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4.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4.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4.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4.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4.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4.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4.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4.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4.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4.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4.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4.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4.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4.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4.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4.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4.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4.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4.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4.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4.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4.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4.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4.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4.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4.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4.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4.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4.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4.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4.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4.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4.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4.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4.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4.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4.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4.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4.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4.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4.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4.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4.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4.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4.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4.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4.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4.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4.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4.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4.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4.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4.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4.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4.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4.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4.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4.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4.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4.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4.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4.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4.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4.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4.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4.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4.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4.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4.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4.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4.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4.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4.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4.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4.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4.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4.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4.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4.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4.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4.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4.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4.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4.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4.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4.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4.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4.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4.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4.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4.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4.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4.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4.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4.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4.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4.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4.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4.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4.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4.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4.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4.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4.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4.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4.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4.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4.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4.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4.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4.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4.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4.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4.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4.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4.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4.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4.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4.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4.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4.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4.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4.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4.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4.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4.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4.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4.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4.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4.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4.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4.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4.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4.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4.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4.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4.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4.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4.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4.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4.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4.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4.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4.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4.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4.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4.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4.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4.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4.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4.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4.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4.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4.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4.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4.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4.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4.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4.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4.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4.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4.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4.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4.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4.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4.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4.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4.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4.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4.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4.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4.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4.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4.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4.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4.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4.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4.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4.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4.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4.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4.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4.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4.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4.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4.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4.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4.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4.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4.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4.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4.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4.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4.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4.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4.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4.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4.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4.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4.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4.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4.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4.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4.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4.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4.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4.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4.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4.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4.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4.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4.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4.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4.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4.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4.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4.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4.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4.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4.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4.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4.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4.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4.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4.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4.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4.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4.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4.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4.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4.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4.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4.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4.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4.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4.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4.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4.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4.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4.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4.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4.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4.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4.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4.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4.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4.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4.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4.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4.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4.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4.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4.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4.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4.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4.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4.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4.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4.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4.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4.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4.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4.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4.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4.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4.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4.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4.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4.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4.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4.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4.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4.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4.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4.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4.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4.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4.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4.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4.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4.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4.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4.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4.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4.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4.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4.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4.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4.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4.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4.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4.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4.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4.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4.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4.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4.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4.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4.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4.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4.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4.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4.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4.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4.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4.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4.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4.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4.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4.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4.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4.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4.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4.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4.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4.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4.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4.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4.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4.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4.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4.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4.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4.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4.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4.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4.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4.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4.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4.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4.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4.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4.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4.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4.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4.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4.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4.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4.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4.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4.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4.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4.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4.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4.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4.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4.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4.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4.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4.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4.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4.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4.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4.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4.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4.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4.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4.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4.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4.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4.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4.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4.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4.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4.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4.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4.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4.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4.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4.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4.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4.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4.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4.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4.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4.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4.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4.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4.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4.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4.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4.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4.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4.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4.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4.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4.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4.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4.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4.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4.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4.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4.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4.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4.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4.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4.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4.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4.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4.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4.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4.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4.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4.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4.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4.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4.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4.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4.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4.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4.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4.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4.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4.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4.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4.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4.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4.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4.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4.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4.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4.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4.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4.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4.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4.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4.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4.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4.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4.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4.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4.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4.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4.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4.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4.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4.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4.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4.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4.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4.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4.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4.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4.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4.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4.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4.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4.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4.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4.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4.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4.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4.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4.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4.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4.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4.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4.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4.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4.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4.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4.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4.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4.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4.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4.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4.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4.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4.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4.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4.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4.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4.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4.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4.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4.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4.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4.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4.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4.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4.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4.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4.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4.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4.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4.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4.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4.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4.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4.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4.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4.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4.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4.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4.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4.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4.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4.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4.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4.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4.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4.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4.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4.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4.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4.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4.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4.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4.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4.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4.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4.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4.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4.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4.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4.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4.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4.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4.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4.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4.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4.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4.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4.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4.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4.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4.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4.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4.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4.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4.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4.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4.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4.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4.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4.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4.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4.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4.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4.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4.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4.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4.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4.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4.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4.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4.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4.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4.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4.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4.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4.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4.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4.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4.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4.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4.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4.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4.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4.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4.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4.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4.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4.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4.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4.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4.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4.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4.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4.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4.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4.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4.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4.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4.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4.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4.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4.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4.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4.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4.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4.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4.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4.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4.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4.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4.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4.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4.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4.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4.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4.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4.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4.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4.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4.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4.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4.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4.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4.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4.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4.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4.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4.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4.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4.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4.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4.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4.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4.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4.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4.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4.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4.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4.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4.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4.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4.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4.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4.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4.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4.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4.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4.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4.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4.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4.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4.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4.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4.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4.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4.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4.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4.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4.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4.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4.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4.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4.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4.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4.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4.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4.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4.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4.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4.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4.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4.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4.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4.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4.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4.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4.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4.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4.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4.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4.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4.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4.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4.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4.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4.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4.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4.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4.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4.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4.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4.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4.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4.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4.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4.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4.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4.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4.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4.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4.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4.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4.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4.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4.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4.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4.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4.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4.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4.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4.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4.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4.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4.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4.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4.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4.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4.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4.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4.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4.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4.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4.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4.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4.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4.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4.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4.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4.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4.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4.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4.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4.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4.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4.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4.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4.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4.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4.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4.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4.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4.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4.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4.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4.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4.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4.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4.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4.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4.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4.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4.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4.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4.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4.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4.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4.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4.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4.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4.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4.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4.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4.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4.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4.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4.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4.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4.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4.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4.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4.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4.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4.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4.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4.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4.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4.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4.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4.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4.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4.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4.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4.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4.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4.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4.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4.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4.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4.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4.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4.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4.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4.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4.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5.71"/>
    <col customWidth="1" min="3" max="3" width="15.71"/>
    <col customWidth="1" min="4" max="4" width="18.0"/>
    <col customWidth="1" min="5" max="26" width="12.29"/>
  </cols>
  <sheetData>
    <row r="1" ht="14.25" customHeight="1">
      <c r="A1" s="28"/>
      <c r="B1" s="28"/>
      <c r="C1" s="28" t="s">
        <v>216</v>
      </c>
      <c r="D1" s="28" t="s">
        <v>217</v>
      </c>
      <c r="E1" s="28"/>
      <c r="F1" s="28" t="s">
        <v>218</v>
      </c>
      <c r="G1" s="28">
        <v>0.1</v>
      </c>
      <c r="H1" s="28"/>
      <c r="I1" s="28"/>
      <c r="J1" s="28"/>
      <c r="K1" s="28"/>
      <c r="L1" s="28"/>
      <c r="M1" s="28"/>
      <c r="N1" s="28"/>
      <c r="O1" s="28"/>
      <c r="P1" s="28"/>
      <c r="Q1" s="28"/>
      <c r="R1" s="28"/>
      <c r="S1" s="28"/>
      <c r="T1" s="28"/>
      <c r="U1" s="28"/>
      <c r="V1" s="28"/>
      <c r="W1" s="28"/>
      <c r="X1" s="28"/>
      <c r="Y1" s="28"/>
      <c r="Z1" s="28"/>
    </row>
    <row r="2" ht="14.25" customHeight="1">
      <c r="A2" s="28" t="s">
        <v>219</v>
      </c>
      <c r="B2" s="28"/>
      <c r="C2" s="28"/>
      <c r="D2" s="28"/>
      <c r="E2" s="28"/>
      <c r="F2" s="28" t="s">
        <v>218</v>
      </c>
      <c r="G2" s="28">
        <v>0.3</v>
      </c>
      <c r="H2" s="72" t="s">
        <v>220</v>
      </c>
      <c r="I2" s="28"/>
      <c r="J2" s="28"/>
      <c r="K2" s="28" t="s">
        <v>221</v>
      </c>
      <c r="L2" s="28"/>
      <c r="M2" s="28"/>
      <c r="N2" s="28"/>
      <c r="O2" s="28"/>
      <c r="P2" s="28"/>
      <c r="Q2" s="28"/>
      <c r="R2" s="28"/>
      <c r="S2" s="28"/>
      <c r="T2" s="28"/>
      <c r="U2" s="28"/>
      <c r="V2" s="28"/>
      <c r="W2" s="28"/>
      <c r="X2" s="28"/>
      <c r="Y2" s="28"/>
      <c r="Z2" s="28"/>
    </row>
    <row r="3" ht="14.25" customHeight="1">
      <c r="A3" s="28">
        <v>1.0</v>
      </c>
      <c r="B3" s="28" t="s">
        <v>44</v>
      </c>
      <c r="C3" s="49">
        <f>'Enoncé'!M11</f>
        <v>15.5</v>
      </c>
      <c r="D3" s="49">
        <f>Feuil3!E10</f>
        <v>15.5</v>
      </c>
      <c r="E3" s="28">
        <f t="shared" ref="E3:E12" si="1">IF(C3/(D3+0.0000001)&gt;0.998,1,0)</f>
        <v>1</v>
      </c>
      <c r="F3" s="28">
        <f t="shared" ref="F3:F12" si="2">IF(C3/(D3+0.0000001)&lt;1.002,1,0)</f>
        <v>1</v>
      </c>
      <c r="G3" s="28">
        <f t="shared" ref="G3:G15" si="3">IF(E3+F3=2,1,0)</f>
        <v>1</v>
      </c>
      <c r="H3" s="28">
        <f>G3*$G$1</f>
        <v>0.1</v>
      </c>
      <c r="I3" s="28">
        <f t="shared" ref="I3:I15" si="4">IFERROR(H3,0)</f>
        <v>0.1</v>
      </c>
      <c r="J3" s="28"/>
      <c r="K3" s="28">
        <f>$G$1</f>
        <v>0.1</v>
      </c>
      <c r="L3" s="28"/>
      <c r="M3" s="28"/>
      <c r="N3" s="28"/>
      <c r="O3" s="28"/>
      <c r="P3" s="28"/>
      <c r="Q3" s="28"/>
      <c r="R3" s="28"/>
      <c r="S3" s="28"/>
      <c r="T3" s="28"/>
      <c r="U3" s="28"/>
      <c r="V3" s="28"/>
      <c r="W3" s="28"/>
      <c r="X3" s="28"/>
      <c r="Y3" s="28"/>
      <c r="Z3" s="28"/>
    </row>
    <row r="4" ht="14.25" customHeight="1">
      <c r="A4" s="28">
        <v>2.0</v>
      </c>
      <c r="B4" s="112" t="s">
        <v>70</v>
      </c>
      <c r="C4" s="49">
        <f>'Enoncé'!K31</f>
        <v>5.75</v>
      </c>
      <c r="D4" s="49">
        <f>Feuil3!C30</f>
        <v>5.75</v>
      </c>
      <c r="E4" s="28">
        <f t="shared" si="1"/>
        <v>1</v>
      </c>
      <c r="F4" s="28">
        <f t="shared" si="2"/>
        <v>1</v>
      </c>
      <c r="G4" s="28">
        <f t="shared" si="3"/>
        <v>1</v>
      </c>
      <c r="H4" s="28">
        <f t="shared" ref="H4:H15" si="5">G4*$G$2</f>
        <v>0.3</v>
      </c>
      <c r="I4" s="28">
        <f t="shared" si="4"/>
        <v>0.3</v>
      </c>
      <c r="J4" s="28"/>
      <c r="K4" s="28">
        <f t="shared" ref="K4:K15" si="6">$G$2</f>
        <v>0.3</v>
      </c>
      <c r="L4" s="28"/>
      <c r="M4" s="28"/>
      <c r="N4" s="28"/>
      <c r="O4" s="28"/>
      <c r="P4" s="28"/>
      <c r="Q4" s="28"/>
      <c r="R4" s="28"/>
      <c r="S4" s="28"/>
      <c r="T4" s="28"/>
      <c r="U4" s="28"/>
      <c r="V4" s="28"/>
      <c r="W4" s="28"/>
      <c r="X4" s="28"/>
      <c r="Y4" s="28"/>
      <c r="Z4" s="28"/>
    </row>
    <row r="5" ht="14.25" customHeight="1">
      <c r="A5" s="28"/>
      <c r="B5" s="112" t="s">
        <v>71</v>
      </c>
      <c r="C5" s="49">
        <f>'Enoncé'!M31</f>
        <v>67812</v>
      </c>
      <c r="D5" s="49">
        <f>Feuil3!E30</f>
        <v>67812</v>
      </c>
      <c r="E5" s="28">
        <f t="shared" si="1"/>
        <v>1</v>
      </c>
      <c r="F5" s="28">
        <f t="shared" si="2"/>
        <v>1</v>
      </c>
      <c r="G5" s="28">
        <f t="shared" si="3"/>
        <v>1</v>
      </c>
      <c r="H5" s="28">
        <f t="shared" si="5"/>
        <v>0.3</v>
      </c>
      <c r="I5" s="28">
        <f t="shared" si="4"/>
        <v>0.3</v>
      </c>
      <c r="J5" s="28"/>
      <c r="K5" s="28">
        <f t="shared" si="6"/>
        <v>0.3</v>
      </c>
      <c r="L5" s="28"/>
      <c r="M5" s="28"/>
      <c r="N5" s="28"/>
      <c r="O5" s="28"/>
      <c r="P5" s="28"/>
      <c r="Q5" s="28"/>
      <c r="R5" s="28"/>
      <c r="S5" s="28"/>
      <c r="T5" s="28"/>
      <c r="U5" s="28"/>
      <c r="V5" s="28"/>
      <c r="W5" s="28"/>
      <c r="X5" s="28"/>
      <c r="Y5" s="28"/>
      <c r="Z5" s="28"/>
    </row>
    <row r="6" ht="14.25" customHeight="1">
      <c r="A6" s="28">
        <v>3.0</v>
      </c>
      <c r="B6" s="112" t="s">
        <v>88</v>
      </c>
      <c r="C6" s="49">
        <f>'Enoncé'!M39</f>
        <v>4.35</v>
      </c>
      <c r="D6" s="49">
        <f>Feuil3!E38</f>
        <v>4.35</v>
      </c>
      <c r="E6" s="28">
        <f t="shared" si="1"/>
        <v>1</v>
      </c>
      <c r="F6" s="28">
        <f t="shared" si="2"/>
        <v>1</v>
      </c>
      <c r="G6" s="28">
        <f t="shared" si="3"/>
        <v>1</v>
      </c>
      <c r="H6" s="28">
        <f t="shared" si="5"/>
        <v>0.3</v>
      </c>
      <c r="I6" s="28">
        <f t="shared" si="4"/>
        <v>0.3</v>
      </c>
      <c r="J6" s="28"/>
      <c r="K6" s="28">
        <f t="shared" si="6"/>
        <v>0.3</v>
      </c>
      <c r="L6" s="28"/>
      <c r="M6" s="28"/>
      <c r="N6" s="28"/>
      <c r="O6" s="28"/>
      <c r="P6" s="28"/>
      <c r="Q6" s="28"/>
      <c r="R6" s="28"/>
      <c r="S6" s="28"/>
      <c r="T6" s="28"/>
      <c r="U6" s="28"/>
      <c r="V6" s="28"/>
      <c r="W6" s="28"/>
      <c r="X6" s="28"/>
      <c r="Y6" s="28"/>
      <c r="Z6" s="28"/>
    </row>
    <row r="7" ht="14.25" customHeight="1">
      <c r="A7" s="28">
        <v>4.0</v>
      </c>
      <c r="B7" s="28" t="s">
        <v>91</v>
      </c>
      <c r="C7" s="49">
        <f>'Enoncé'!O41</f>
        <v>89997.3</v>
      </c>
      <c r="D7" s="49">
        <f>-1*(Feuil3!G34*Feuil3!G36-Feuil3!G35+('Enoncé'!K31+'Enoncé'!M39)*Feuil3!G34+'Enoncé'!M31)</f>
        <v>90000</v>
      </c>
      <c r="E7" s="28">
        <f t="shared" si="1"/>
        <v>1</v>
      </c>
      <c r="F7" s="28">
        <f t="shared" si="2"/>
        <v>1</v>
      </c>
      <c r="G7" s="28">
        <f t="shared" si="3"/>
        <v>1</v>
      </c>
      <c r="H7" s="28">
        <f t="shared" si="5"/>
        <v>0.3</v>
      </c>
      <c r="I7" s="28">
        <f t="shared" si="4"/>
        <v>0.3</v>
      </c>
      <c r="J7" s="28"/>
      <c r="K7" s="28">
        <f t="shared" si="6"/>
        <v>0.3</v>
      </c>
      <c r="L7" s="28"/>
      <c r="M7" s="28"/>
      <c r="N7" s="28"/>
      <c r="O7" s="28"/>
      <c r="P7" s="28"/>
      <c r="Q7" s="28"/>
      <c r="R7" s="28"/>
      <c r="S7" s="28"/>
      <c r="T7" s="28"/>
      <c r="U7" s="28"/>
      <c r="V7" s="28"/>
      <c r="W7" s="28"/>
      <c r="X7" s="28"/>
      <c r="Y7" s="28"/>
      <c r="Z7" s="28"/>
    </row>
    <row r="8" ht="14.25" customHeight="1">
      <c r="A8" s="28">
        <v>5.0</v>
      </c>
      <c r="B8" s="112" t="s">
        <v>114</v>
      </c>
      <c r="C8" s="49">
        <f>'Enoncé'!K48</f>
        <v>5.4</v>
      </c>
      <c r="D8" s="49">
        <f>C3-C4-C6</f>
        <v>5.4</v>
      </c>
      <c r="E8" s="28">
        <f t="shared" si="1"/>
        <v>1</v>
      </c>
      <c r="F8" s="28">
        <f t="shared" si="2"/>
        <v>1</v>
      </c>
      <c r="G8" s="28">
        <f t="shared" si="3"/>
        <v>1</v>
      </c>
      <c r="H8" s="28">
        <f t="shared" si="5"/>
        <v>0.3</v>
      </c>
      <c r="I8" s="28">
        <f t="shared" si="4"/>
        <v>0.3</v>
      </c>
      <c r="J8" s="28"/>
      <c r="K8" s="28">
        <f t="shared" si="6"/>
        <v>0.3</v>
      </c>
      <c r="L8" s="28"/>
      <c r="M8" s="28"/>
      <c r="N8" s="28"/>
      <c r="O8" s="28"/>
      <c r="P8" s="28"/>
      <c r="Q8" s="28"/>
      <c r="R8" s="28"/>
      <c r="S8" s="28"/>
      <c r="T8" s="28"/>
      <c r="U8" s="28"/>
      <c r="V8" s="28"/>
      <c r="W8" s="28"/>
      <c r="X8" s="28"/>
      <c r="Y8" s="28"/>
      <c r="Z8" s="28"/>
    </row>
    <row r="9" ht="14.25" customHeight="1">
      <c r="A9" s="28"/>
      <c r="B9" s="112" t="s">
        <v>118</v>
      </c>
      <c r="C9" s="141">
        <f>'Enoncé'!K49</f>
        <v>0.3483870968</v>
      </c>
      <c r="D9" s="28">
        <f>C8/(C3)</f>
        <v>0.3483870968</v>
      </c>
      <c r="E9" s="28">
        <f t="shared" si="1"/>
        <v>1</v>
      </c>
      <c r="F9" s="28">
        <f t="shared" si="2"/>
        <v>1</v>
      </c>
      <c r="G9" s="28">
        <f t="shared" si="3"/>
        <v>1</v>
      </c>
      <c r="H9" s="28">
        <f t="shared" si="5"/>
        <v>0.3</v>
      </c>
      <c r="I9" s="28">
        <f t="shared" si="4"/>
        <v>0.3</v>
      </c>
      <c r="J9" s="28"/>
      <c r="K9" s="28">
        <f t="shared" si="6"/>
        <v>0.3</v>
      </c>
      <c r="L9" s="28"/>
      <c r="M9" s="28"/>
      <c r="N9" s="28"/>
      <c r="O9" s="28"/>
      <c r="P9" s="28"/>
      <c r="Q9" s="28"/>
      <c r="R9" s="28"/>
      <c r="S9" s="28"/>
      <c r="T9" s="28"/>
      <c r="U9" s="28"/>
      <c r="V9" s="28"/>
      <c r="W9" s="28"/>
      <c r="X9" s="28"/>
      <c r="Y9" s="28"/>
      <c r="Z9" s="28"/>
    </row>
    <row r="10" ht="14.25" customHeight="1">
      <c r="A10" s="28">
        <v>6.0</v>
      </c>
      <c r="B10" s="28" t="s">
        <v>115</v>
      </c>
      <c r="C10" s="40">
        <f>'Enoncé'!M48</f>
        <v>29223.94444</v>
      </c>
      <c r="D10" s="28">
        <f>(C5+C7)/(C3-C4-C6)</f>
        <v>29223.94444</v>
      </c>
      <c r="E10" s="28">
        <f t="shared" si="1"/>
        <v>1</v>
      </c>
      <c r="F10" s="28">
        <f t="shared" si="2"/>
        <v>1</v>
      </c>
      <c r="G10" s="28">
        <f t="shared" si="3"/>
        <v>1</v>
      </c>
      <c r="H10" s="28">
        <f t="shared" si="5"/>
        <v>0.3</v>
      </c>
      <c r="I10" s="28">
        <f t="shared" si="4"/>
        <v>0.3</v>
      </c>
      <c r="J10" s="28"/>
      <c r="K10" s="28">
        <f t="shared" si="6"/>
        <v>0.3</v>
      </c>
      <c r="L10" s="28"/>
      <c r="M10" s="28"/>
      <c r="N10" s="28"/>
      <c r="O10" s="28"/>
      <c r="P10" s="28"/>
      <c r="Q10" s="28"/>
      <c r="R10" s="28"/>
      <c r="S10" s="28"/>
      <c r="T10" s="28"/>
      <c r="U10" s="28"/>
      <c r="V10" s="28"/>
      <c r="W10" s="28"/>
      <c r="X10" s="28"/>
      <c r="Y10" s="28"/>
      <c r="Z10" s="28"/>
    </row>
    <row r="11" ht="14.25" customHeight="1">
      <c r="A11" s="28"/>
      <c r="B11" s="28" t="s">
        <v>125</v>
      </c>
      <c r="C11" s="51">
        <f>'Enoncé'!M52</f>
        <v>452971.1389</v>
      </c>
      <c r="D11" s="51">
        <f>C10*C3</f>
        <v>452971.1389</v>
      </c>
      <c r="E11" s="28">
        <f t="shared" si="1"/>
        <v>1</v>
      </c>
      <c r="F11" s="28">
        <f t="shared" si="2"/>
        <v>1</v>
      </c>
      <c r="G11" s="28">
        <f t="shared" si="3"/>
        <v>1</v>
      </c>
      <c r="H11" s="28">
        <f t="shared" si="5"/>
        <v>0.3</v>
      </c>
      <c r="I11" s="28">
        <f t="shared" si="4"/>
        <v>0.3</v>
      </c>
      <c r="J11" s="28"/>
      <c r="K11" s="28">
        <f t="shared" si="6"/>
        <v>0.3</v>
      </c>
      <c r="L11" s="28"/>
      <c r="M11" s="28"/>
      <c r="N11" s="28"/>
      <c r="O11" s="28"/>
      <c r="P11" s="28"/>
      <c r="Q11" s="28"/>
      <c r="R11" s="28"/>
      <c r="S11" s="28"/>
      <c r="T11" s="28"/>
      <c r="U11" s="28"/>
      <c r="V11" s="28"/>
      <c r="W11" s="28"/>
      <c r="X11" s="28"/>
      <c r="Y11" s="28"/>
      <c r="Z11" s="28"/>
    </row>
    <row r="12" ht="14.25" customHeight="1">
      <c r="A12" s="28">
        <v>7.0</v>
      </c>
      <c r="B12" s="112" t="s">
        <v>112</v>
      </c>
      <c r="C12" s="51">
        <f>'Enoncé'!O47</f>
        <v>625828.8611</v>
      </c>
      <c r="D12" s="51">
        <f>Feuil3!G43*Feuil5!C3-C11</f>
        <v>625828.8611</v>
      </c>
      <c r="E12" s="28">
        <f t="shared" si="1"/>
        <v>1</v>
      </c>
      <c r="F12" s="28">
        <f t="shared" si="2"/>
        <v>1</v>
      </c>
      <c r="G12" s="28">
        <f t="shared" si="3"/>
        <v>1</v>
      </c>
      <c r="H12" s="28">
        <f t="shared" si="5"/>
        <v>0.3</v>
      </c>
      <c r="I12" s="28">
        <f t="shared" si="4"/>
        <v>0.3</v>
      </c>
      <c r="J12" s="28"/>
      <c r="K12" s="28">
        <f t="shared" si="6"/>
        <v>0.3</v>
      </c>
      <c r="L12" s="28"/>
      <c r="M12" s="28"/>
      <c r="N12" s="28"/>
      <c r="O12" s="28"/>
      <c r="P12" s="28"/>
      <c r="Q12" s="28"/>
      <c r="R12" s="28"/>
      <c r="S12" s="28"/>
      <c r="T12" s="28"/>
      <c r="U12" s="28"/>
      <c r="V12" s="28"/>
      <c r="W12" s="28"/>
      <c r="X12" s="28"/>
      <c r="Y12" s="28"/>
      <c r="Z12" s="28"/>
    </row>
    <row r="13" ht="14.25" customHeight="1">
      <c r="A13" s="28"/>
      <c r="B13" s="112" t="s">
        <v>123</v>
      </c>
      <c r="C13" s="40">
        <f>'Enoncé'!O51</f>
        <v>40376.05556</v>
      </c>
      <c r="D13" s="40">
        <f>Feuil3!G43-C10</f>
        <v>40376.05556</v>
      </c>
      <c r="E13" s="28">
        <f>IF(C13/D13&gt;0.999,1,0)</f>
        <v>1</v>
      </c>
      <c r="F13" s="28">
        <f>IF(C13/(D13+0.0000001)&lt;1.001,1,0)</f>
        <v>1</v>
      </c>
      <c r="G13" s="28">
        <f t="shared" si="3"/>
        <v>1</v>
      </c>
      <c r="H13" s="28">
        <f t="shared" si="5"/>
        <v>0.3</v>
      </c>
      <c r="I13" s="28">
        <f t="shared" si="4"/>
        <v>0.3</v>
      </c>
      <c r="J13" s="28"/>
      <c r="K13" s="28">
        <f t="shared" si="6"/>
        <v>0.3</v>
      </c>
      <c r="L13" s="28"/>
      <c r="M13" s="28"/>
      <c r="N13" s="28"/>
      <c r="O13" s="28"/>
      <c r="P13" s="28"/>
      <c r="Q13" s="28"/>
      <c r="R13" s="28"/>
      <c r="S13" s="28"/>
      <c r="T13" s="28"/>
      <c r="U13" s="28"/>
      <c r="V13" s="28"/>
      <c r="W13" s="28"/>
      <c r="X13" s="28"/>
      <c r="Y13" s="28"/>
      <c r="Z13" s="28"/>
    </row>
    <row r="14" ht="14.25" customHeight="1">
      <c r="A14" s="28"/>
      <c r="B14" s="112" t="s">
        <v>130</v>
      </c>
      <c r="C14" s="141">
        <f>'Enoncé'!O55</f>
        <v>0.5801157407</v>
      </c>
      <c r="D14" s="141">
        <f>C13/Feuil3!G43</f>
        <v>0.5801157407</v>
      </c>
      <c r="E14" s="28">
        <f>IF(C14/(D14+0.0000001)&gt;0.9995,1,0)</f>
        <v>1</v>
      </c>
      <c r="F14" s="28">
        <f>IF(C14/(D14+0.0000001)&lt;1.0005,1,0)</f>
        <v>1</v>
      </c>
      <c r="G14" s="28">
        <f t="shared" si="3"/>
        <v>1</v>
      </c>
      <c r="H14" s="28">
        <f t="shared" si="5"/>
        <v>0.3</v>
      </c>
      <c r="I14" s="28">
        <f t="shared" si="4"/>
        <v>0.3</v>
      </c>
      <c r="J14" s="28"/>
      <c r="K14" s="28">
        <f t="shared" si="6"/>
        <v>0.3</v>
      </c>
      <c r="L14" s="28"/>
      <c r="M14" s="28"/>
      <c r="N14" s="28"/>
      <c r="O14" s="28"/>
      <c r="P14" s="28"/>
      <c r="Q14" s="28"/>
      <c r="R14" s="28"/>
      <c r="S14" s="28"/>
      <c r="T14" s="28"/>
      <c r="U14" s="28"/>
      <c r="V14" s="28"/>
      <c r="W14" s="28"/>
      <c r="X14" s="28"/>
      <c r="Y14" s="28"/>
      <c r="Z14" s="28"/>
    </row>
    <row r="15" ht="14.25" customHeight="1">
      <c r="A15" s="28">
        <v>8.0</v>
      </c>
      <c r="B15" s="112" t="s">
        <v>121</v>
      </c>
      <c r="C15" s="46">
        <f>'Enoncé'!Q50</f>
        <v>28.45070346</v>
      </c>
      <c r="D15" s="49">
        <f>(Feuil3!I46*(Feuil5!C4+Feuil5!C6)+Feuil5!C7+Feuil5!C5+Feuil3!I43)/Feuil3!I46</f>
        <v>28.45070346</v>
      </c>
      <c r="E15" s="28">
        <f>IF(C15/D15&gt;0.998,1,0)</f>
        <v>1</v>
      </c>
      <c r="F15" s="28">
        <f>IF(C15/(D15+0.0000001)&lt;1.002,1,0)</f>
        <v>1</v>
      </c>
      <c r="G15" s="28">
        <f t="shared" si="3"/>
        <v>1</v>
      </c>
      <c r="H15" s="28">
        <f t="shared" si="5"/>
        <v>0.3</v>
      </c>
      <c r="I15" s="28">
        <f t="shared" si="4"/>
        <v>0.3</v>
      </c>
      <c r="J15" s="28"/>
      <c r="K15" s="28">
        <f t="shared" si="6"/>
        <v>0.3</v>
      </c>
      <c r="L15" s="28"/>
      <c r="M15" s="28"/>
      <c r="N15" s="28"/>
      <c r="O15" s="28"/>
      <c r="P15" s="28"/>
      <c r="Q15" s="28"/>
      <c r="R15" s="28"/>
      <c r="S15" s="28"/>
      <c r="T15" s="28"/>
      <c r="U15" s="28"/>
      <c r="V15" s="28"/>
      <c r="W15" s="28"/>
      <c r="X15" s="28"/>
      <c r="Y15" s="28"/>
      <c r="Z15" s="28"/>
    </row>
    <row r="16" ht="14.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4.25" customHeight="1">
      <c r="A17" s="112" t="s">
        <v>222</v>
      </c>
      <c r="B17" s="112"/>
      <c r="C17" s="112"/>
      <c r="D17" s="28"/>
      <c r="E17" s="28"/>
      <c r="F17" s="28"/>
      <c r="G17" s="28"/>
      <c r="H17" s="28"/>
      <c r="I17" s="28"/>
      <c r="J17" s="28"/>
      <c r="K17" s="28"/>
      <c r="L17" s="28"/>
      <c r="M17" s="28"/>
      <c r="N17" s="28"/>
      <c r="O17" s="28"/>
      <c r="P17" s="28"/>
      <c r="Q17" s="28"/>
      <c r="R17" s="28"/>
      <c r="S17" s="28"/>
      <c r="T17" s="28"/>
      <c r="U17" s="28"/>
      <c r="V17" s="28"/>
      <c r="W17" s="28"/>
      <c r="X17" s="28"/>
      <c r="Y17" s="28"/>
      <c r="Z17" s="28"/>
    </row>
    <row r="18" ht="14.25" customHeight="1">
      <c r="A18" s="112">
        <v>1.0</v>
      </c>
      <c r="B18" s="112" t="s">
        <v>142</v>
      </c>
      <c r="C18" s="142">
        <f>'Enoncé'!K66</f>
        <v>33660</v>
      </c>
      <c r="D18" s="49">
        <f>Feuil3!C65</f>
        <v>40140</v>
      </c>
      <c r="E18" s="28">
        <f>IF(C18/(D18)=1,1,0)</f>
        <v>0</v>
      </c>
      <c r="F18" s="28">
        <f>IF(C18/(D18)&lt;=1,1,0)</f>
        <v>1</v>
      </c>
      <c r="G18" s="28">
        <f t="shared" ref="G18:G23" si="7">IF(E18+F18=2,1,0)</f>
        <v>0</v>
      </c>
      <c r="H18" s="28">
        <f t="shared" ref="H18:H23" si="8">G18*$G$2</f>
        <v>0</v>
      </c>
      <c r="I18" s="28">
        <f t="shared" ref="I18:I23" si="9">IFERROR(H18,0)</f>
        <v>0</v>
      </c>
      <c r="J18" s="28"/>
      <c r="K18" s="28">
        <f t="shared" ref="K18:K23" si="10">$G$2</f>
        <v>0.3</v>
      </c>
      <c r="L18" s="28"/>
      <c r="M18" s="28"/>
      <c r="N18" s="28"/>
      <c r="O18" s="28"/>
      <c r="P18" s="28"/>
      <c r="Q18" s="28"/>
      <c r="R18" s="28"/>
      <c r="S18" s="28"/>
      <c r="T18" s="28"/>
      <c r="U18" s="28"/>
      <c r="V18" s="28"/>
      <c r="W18" s="28"/>
      <c r="X18" s="28"/>
      <c r="Y18" s="28"/>
      <c r="Z18" s="28"/>
    </row>
    <row r="19" ht="14.25" customHeight="1">
      <c r="A19" s="112">
        <v>2.0</v>
      </c>
      <c r="B19" s="112" t="s">
        <v>153</v>
      </c>
      <c r="C19" s="142">
        <f>'Enoncé'!L75</f>
        <v>5683215</v>
      </c>
      <c r="D19" s="49">
        <f>Feuil3!D72-Feuil5!C3*Feuil3!C26</f>
        <v>5683215</v>
      </c>
      <c r="E19" s="28">
        <f>IF(C19/(D19)&gt;0.9998,1,0)</f>
        <v>1</v>
      </c>
      <c r="F19" s="28">
        <f>IF(C19/(D19)&lt;1.0002,1,0)</f>
        <v>1</v>
      </c>
      <c r="G19" s="28">
        <f t="shared" si="7"/>
        <v>1</v>
      </c>
      <c r="H19" s="28">
        <f t="shared" si="8"/>
        <v>0.3</v>
      </c>
      <c r="I19" s="28">
        <f t="shared" si="9"/>
        <v>0.3</v>
      </c>
      <c r="J19" s="28"/>
      <c r="K19" s="28">
        <f t="shared" si="10"/>
        <v>0.3</v>
      </c>
      <c r="L19" s="28"/>
      <c r="M19" s="28"/>
      <c r="N19" s="28"/>
      <c r="O19" s="28"/>
      <c r="P19" s="28"/>
      <c r="Q19" s="28"/>
      <c r="R19" s="28"/>
      <c r="S19" s="28"/>
      <c r="T19" s="28"/>
      <c r="U19" s="28"/>
      <c r="V19" s="28"/>
      <c r="W19" s="28"/>
      <c r="X19" s="28"/>
      <c r="Y19" s="28"/>
      <c r="Z19" s="28"/>
    </row>
    <row r="20" ht="14.25" customHeight="1">
      <c r="A20" s="112">
        <v>3.0</v>
      </c>
      <c r="B20" s="112" t="s">
        <v>154</v>
      </c>
      <c r="C20" s="142">
        <f>'Enoncé'!O75</f>
        <v>33660</v>
      </c>
      <c r="D20" s="49">
        <v>0.0</v>
      </c>
      <c r="E20" s="28">
        <f>IF(C20=D20,1,0)</f>
        <v>0</v>
      </c>
      <c r="F20" s="28">
        <f>IF(C20=D20,1,0)</f>
        <v>0</v>
      </c>
      <c r="G20" s="28">
        <f t="shared" si="7"/>
        <v>0</v>
      </c>
      <c r="H20" s="28">
        <f t="shared" si="8"/>
        <v>0</v>
      </c>
      <c r="I20" s="28">
        <f t="shared" si="9"/>
        <v>0</v>
      </c>
      <c r="J20" s="28"/>
      <c r="K20" s="28">
        <f t="shared" si="10"/>
        <v>0.3</v>
      </c>
      <c r="L20" s="28"/>
      <c r="M20" s="28"/>
      <c r="N20" s="28"/>
      <c r="O20" s="28"/>
      <c r="P20" s="28"/>
      <c r="Q20" s="28"/>
      <c r="R20" s="28"/>
      <c r="S20" s="28"/>
      <c r="T20" s="28"/>
      <c r="U20" s="28"/>
      <c r="V20" s="28"/>
      <c r="W20" s="28"/>
      <c r="X20" s="28"/>
      <c r="Y20" s="28"/>
      <c r="Z20" s="28"/>
    </row>
    <row r="21" ht="14.25" customHeight="1">
      <c r="A21" s="112">
        <v>4.0</v>
      </c>
      <c r="B21" s="112" t="s">
        <v>160</v>
      </c>
      <c r="C21" s="142">
        <f>'Enoncé'!M83</f>
        <v>122309.3</v>
      </c>
      <c r="D21" s="49">
        <f>-1*(Feuil3!D81-Feuil5!C5-Feuil5!C7)</f>
        <v>82169.3</v>
      </c>
      <c r="E21" s="28">
        <f t="shared" ref="E21:E23" si="11">IF(C21/(D21)&gt;0.9998,1,0)</f>
        <v>1</v>
      </c>
      <c r="F21" s="28">
        <f t="shared" ref="F21:F23" si="12">IF(C21/(D21)&lt;1.0002,1,0)</f>
        <v>0</v>
      </c>
      <c r="G21" s="28">
        <f t="shared" si="7"/>
        <v>0</v>
      </c>
      <c r="H21" s="28">
        <f t="shared" si="8"/>
        <v>0</v>
      </c>
      <c r="I21" s="28">
        <f t="shared" si="9"/>
        <v>0</v>
      </c>
      <c r="J21" s="28"/>
      <c r="K21" s="28">
        <f t="shared" si="10"/>
        <v>0.3</v>
      </c>
      <c r="L21" s="28"/>
      <c r="M21" s="28"/>
      <c r="N21" s="28"/>
      <c r="O21" s="28"/>
      <c r="P21" s="28"/>
      <c r="Q21" s="28"/>
      <c r="R21" s="28"/>
      <c r="S21" s="28"/>
      <c r="T21" s="28"/>
      <c r="U21" s="28"/>
      <c r="V21" s="28"/>
      <c r="W21" s="28"/>
      <c r="X21" s="28"/>
      <c r="Y21" s="28"/>
      <c r="Z21" s="28"/>
    </row>
    <row r="22" ht="14.25" customHeight="1">
      <c r="A22" s="112">
        <v>5.0</v>
      </c>
      <c r="B22" s="112" t="s">
        <v>165</v>
      </c>
      <c r="C22" s="142">
        <f>'Enoncé'!M91</f>
        <v>5570753</v>
      </c>
      <c r="D22" s="49">
        <f>Feuil3!D88-(Feuil3!C86*(Feuil5!C4+Feuil5!C6))</f>
        <v>5124753</v>
      </c>
      <c r="E22" s="28">
        <f t="shared" si="11"/>
        <v>1</v>
      </c>
      <c r="F22" s="28">
        <f t="shared" si="12"/>
        <v>0</v>
      </c>
      <c r="G22" s="28">
        <f t="shared" si="7"/>
        <v>0</v>
      </c>
      <c r="H22" s="28">
        <f t="shared" si="8"/>
        <v>0</v>
      </c>
      <c r="I22" s="28">
        <f t="shared" si="9"/>
        <v>0</v>
      </c>
      <c r="J22" s="28"/>
      <c r="K22" s="28">
        <f t="shared" si="10"/>
        <v>0.3</v>
      </c>
      <c r="L22" s="28"/>
      <c r="M22" s="28"/>
      <c r="N22" s="28"/>
      <c r="O22" s="28"/>
      <c r="P22" s="28"/>
      <c r="Q22" s="28"/>
      <c r="R22" s="28"/>
      <c r="S22" s="28"/>
      <c r="T22" s="28"/>
      <c r="U22" s="28"/>
      <c r="V22" s="28"/>
      <c r="W22" s="28"/>
      <c r="X22" s="28"/>
      <c r="Y22" s="28"/>
      <c r="Z22" s="28"/>
    </row>
    <row r="23" ht="14.25" customHeight="1">
      <c r="A23" s="112">
        <v>6.0</v>
      </c>
      <c r="B23" s="112" t="s">
        <v>169</v>
      </c>
      <c r="C23" s="142">
        <f>'Enoncé'!M99</f>
        <v>201111.3</v>
      </c>
      <c r="D23" s="49">
        <f>C19-C22+C21</f>
        <v>234771.3</v>
      </c>
      <c r="E23" s="28">
        <f t="shared" si="11"/>
        <v>0</v>
      </c>
      <c r="F23" s="28">
        <f t="shared" si="12"/>
        <v>1</v>
      </c>
      <c r="G23" s="28">
        <f t="shared" si="7"/>
        <v>0</v>
      </c>
      <c r="H23" s="28">
        <f t="shared" si="8"/>
        <v>0</v>
      </c>
      <c r="I23" s="28">
        <f t="shared" si="9"/>
        <v>0</v>
      </c>
      <c r="J23" s="28"/>
      <c r="K23" s="28">
        <f t="shared" si="10"/>
        <v>0.3</v>
      </c>
      <c r="L23" s="28"/>
      <c r="M23" s="28"/>
      <c r="N23" s="28"/>
      <c r="O23" s="28"/>
      <c r="P23" s="28"/>
      <c r="Q23" s="28"/>
      <c r="R23" s="28"/>
      <c r="S23" s="28"/>
      <c r="T23" s="28"/>
      <c r="U23" s="28"/>
      <c r="V23" s="28"/>
      <c r="W23" s="28"/>
      <c r="X23" s="28"/>
      <c r="Y23" s="28"/>
      <c r="Z23" s="28"/>
    </row>
    <row r="24" ht="14.25" customHeight="1">
      <c r="A24" s="28"/>
      <c r="B24" s="28"/>
      <c r="C24" s="28"/>
      <c r="D24" s="28"/>
      <c r="E24" s="28"/>
      <c r="F24" s="28"/>
      <c r="G24" s="118" t="s">
        <v>223</v>
      </c>
      <c r="H24" s="118">
        <f>K25+SUM(H3:H23)</f>
        <v>18.5</v>
      </c>
      <c r="I24" s="118">
        <f>K25+SUM(I3:I23)</f>
        <v>18.5</v>
      </c>
      <c r="J24" s="28"/>
      <c r="K24" s="28">
        <f>SUM(K3:K23)</f>
        <v>5.5</v>
      </c>
      <c r="L24" s="28"/>
      <c r="M24" s="28"/>
      <c r="N24" s="28"/>
      <c r="O24" s="28"/>
      <c r="P24" s="28"/>
      <c r="Q24" s="28"/>
      <c r="R24" s="28"/>
      <c r="S24" s="28"/>
      <c r="T24" s="28"/>
      <c r="U24" s="28"/>
      <c r="V24" s="28"/>
      <c r="W24" s="28"/>
      <c r="X24" s="28"/>
      <c r="Y24" s="28"/>
      <c r="Z24" s="28"/>
    </row>
    <row r="25" ht="14.25" customHeight="1">
      <c r="A25" s="28"/>
      <c r="B25" s="28"/>
      <c r="C25" s="28"/>
      <c r="D25" s="28"/>
      <c r="E25" s="28"/>
      <c r="F25" s="28"/>
      <c r="G25" s="28"/>
      <c r="H25" s="28"/>
      <c r="I25" s="28"/>
      <c r="J25" s="28"/>
      <c r="K25" s="28">
        <f>20-K24</f>
        <v>14.5</v>
      </c>
      <c r="L25" s="28"/>
      <c r="M25" s="28"/>
      <c r="N25" s="28"/>
      <c r="O25" s="28"/>
      <c r="P25" s="28"/>
      <c r="Q25" s="28"/>
      <c r="R25" s="28"/>
      <c r="S25" s="28"/>
      <c r="T25" s="28"/>
      <c r="U25" s="28"/>
      <c r="V25" s="28"/>
      <c r="W25" s="28"/>
      <c r="X25" s="28"/>
      <c r="Y25" s="28"/>
      <c r="Z25" s="28"/>
    </row>
    <row r="26" ht="14.2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4.2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4.2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4.2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4.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4.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4.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4.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4.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4.2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4.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4.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4.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4.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4.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4.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4.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4.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4.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4.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4.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4.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4.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4.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4.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4.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4.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4.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4.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4.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4.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4.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4.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4.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4.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4.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4.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4.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4.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4.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4.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4.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4.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4.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4.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4.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4.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4.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4.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4.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4.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4.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4.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4.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4.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4.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4.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4.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4.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4.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4.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4.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4.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4.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4.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4.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4.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4.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4.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4.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4.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4.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4.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4.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4.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4.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4.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4.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4.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4.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4.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4.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4.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4.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4.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4.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4.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4.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4.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4.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4.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4.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4.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4.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4.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4.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4.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4.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4.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4.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4.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4.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4.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4.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4.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4.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4.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4.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4.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4.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4.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4.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4.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4.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4.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4.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4.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4.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4.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4.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4.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4.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4.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4.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4.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4.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4.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4.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4.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4.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4.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4.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4.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4.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4.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4.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4.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4.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4.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4.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4.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4.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4.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4.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4.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4.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4.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4.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4.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4.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4.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4.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4.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4.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4.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4.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4.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4.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4.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4.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4.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4.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4.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4.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4.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4.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4.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4.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4.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4.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4.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4.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4.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4.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4.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4.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4.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4.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4.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4.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4.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4.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4.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4.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4.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4.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4.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4.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4.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4.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4.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4.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4.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4.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4.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4.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4.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4.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4.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4.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4.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4.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4.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4.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4.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4.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4.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4.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4.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4.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4.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4.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4.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4.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4.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4.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4.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4.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4.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4.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4.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4.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4.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4.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4.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4.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4.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4.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4.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4.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4.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4.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4.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4.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4.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4.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4.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4.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4.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4.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4.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4.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4.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4.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4.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4.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4.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4.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4.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4.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4.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4.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4.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4.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4.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4.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4.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4.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4.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4.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4.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4.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4.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4.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4.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4.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4.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4.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4.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4.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4.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4.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4.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4.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4.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4.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4.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4.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4.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4.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4.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4.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4.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4.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4.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4.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4.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4.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4.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4.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4.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4.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4.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4.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4.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4.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4.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4.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4.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4.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4.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4.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4.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4.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4.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4.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4.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4.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4.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4.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4.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4.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4.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4.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4.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4.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4.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4.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4.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4.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4.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4.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4.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4.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4.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4.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4.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4.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4.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4.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4.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4.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4.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4.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4.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4.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4.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4.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4.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4.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4.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4.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4.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4.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4.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4.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4.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4.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4.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4.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4.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4.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4.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4.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4.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4.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4.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4.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4.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4.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4.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4.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4.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4.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4.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4.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4.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4.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4.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4.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4.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4.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4.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4.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4.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4.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4.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4.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4.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4.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4.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4.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4.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4.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4.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4.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4.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4.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4.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4.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4.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4.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4.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4.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4.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4.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4.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4.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4.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4.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4.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4.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4.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4.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4.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4.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4.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4.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4.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4.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4.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4.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4.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4.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4.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4.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4.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4.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4.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4.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4.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4.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4.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4.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4.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4.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4.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4.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4.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4.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4.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4.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4.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4.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4.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4.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4.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4.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4.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4.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4.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4.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4.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4.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4.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4.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4.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4.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4.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4.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4.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4.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4.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4.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4.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4.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4.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4.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4.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4.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4.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4.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4.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4.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4.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4.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4.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4.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4.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4.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4.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4.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4.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4.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4.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4.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4.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4.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4.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4.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4.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4.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4.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4.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4.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4.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4.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4.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4.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4.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4.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4.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4.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4.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4.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4.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4.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4.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4.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4.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4.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4.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4.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4.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4.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4.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4.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4.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4.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4.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4.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4.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4.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4.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4.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4.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4.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4.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4.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4.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4.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4.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4.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4.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4.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4.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4.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4.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4.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4.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4.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4.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4.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4.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4.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4.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4.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4.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4.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4.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4.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4.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4.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4.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4.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4.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4.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4.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4.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4.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4.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4.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4.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4.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4.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4.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4.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4.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4.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4.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4.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4.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4.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4.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4.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4.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4.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4.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4.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4.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4.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4.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4.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4.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4.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4.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4.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4.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4.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4.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4.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4.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4.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4.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4.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4.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4.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4.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4.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4.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4.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4.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4.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4.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4.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4.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4.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4.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4.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4.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4.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4.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4.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4.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4.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4.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4.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4.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4.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4.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4.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4.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4.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4.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4.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4.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4.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4.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4.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4.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4.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4.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4.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4.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4.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4.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4.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4.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4.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4.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4.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4.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4.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4.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4.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4.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4.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4.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4.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4.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4.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4.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4.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4.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4.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4.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4.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4.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4.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4.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4.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4.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4.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4.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4.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4.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4.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4.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4.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4.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4.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4.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4.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4.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4.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4.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4.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4.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4.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4.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4.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4.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4.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4.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4.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4.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4.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4.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4.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4.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4.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4.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4.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4.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4.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4.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4.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4.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4.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4.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4.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4.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4.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4.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4.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4.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4.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4.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4.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4.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4.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4.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4.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4.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4.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4.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4.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4.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4.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4.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4.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4.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4.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4.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4.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4.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4.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4.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4.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4.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4.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4.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4.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4.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4.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4.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4.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4.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4.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4.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4.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4.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4.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4.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4.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4.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4.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4.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4.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4.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4.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4.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4.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4.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4.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4.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4.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4.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4.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4.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4.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4.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4.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4.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4.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4.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4.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4.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4.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4.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4.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4.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4.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4.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4.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4.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4.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4.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4.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4.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4.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4.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4.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4.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2020-01-04T16:15:50Z</dcterms:created>
  <dc:creator>Arman Y. Aksoy</dc:creator>
</cp:coreProperties>
</file>