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3"/>
  <workbookPr codeName="ThisWorkbook"/>
  <mc:AlternateContent xmlns:mc="http://schemas.openxmlformats.org/markup-compatibility/2006">
    <mc:Choice Requires="x15">
      <x15ac:absPath xmlns:x15ac="http://schemas.microsoft.com/office/spreadsheetml/2010/11/ac" url="/Users/christopherrose/Desktop/"/>
    </mc:Choice>
  </mc:AlternateContent>
  <xr:revisionPtr revIDLastSave="0" documentId="13_ncr:1_{6F1DC544-D316-6F48-8544-6972B7586EE2}" xr6:coauthVersionLast="45" xr6:coauthVersionMax="45" xr10:uidLastSave="{00000000-0000-0000-0000-000000000000}"/>
  <workbookProtection workbookAlgorithmName="SHA-512" workbookHashValue="Y2dQkXaItaQXcXxVzvrZ8ciJIwkmVRwt0St67dHfSVdgH+x6yte6SnOLwh2OoV4Oy8OY68H+SBKGvkIl+ADbIQ==" workbookSaltValue="b3kKyeQAo1kTei4yu/+PCw==" workbookSpinCount="100000" lockStructure="1"/>
  <bookViews>
    <workbookView xWindow="860" yWindow="460" windowWidth="23300" windowHeight="17540" activeTab="1" xr2:uid="{00000000-000D-0000-FFFF-FFFF00000000}"/>
  </bookViews>
  <sheets>
    <sheet name="Directives" sheetId="5" r:id="rId1"/>
    <sheet name="Ennocé" sheetId="1" r:id="rId2"/>
    <sheet name="Feuil2" sheetId="3" state="hidden" r:id="rId3"/>
    <sheet name="Feuil3" sheetId="2" state="hidden" r:id="rId4"/>
    <sheet name="Feuil4" sheetId="6"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3" i="1" l="1"/>
  <c r="L80" i="1"/>
  <c r="L79" i="1"/>
  <c r="K79" i="1"/>
  <c r="K66" i="1"/>
  <c r="K89" i="1"/>
  <c r="K88" i="1" s="1"/>
  <c r="L89" i="1"/>
  <c r="L88" i="1" s="1"/>
  <c r="O47" i="1" l="1"/>
  <c r="O55" i="1" s="1"/>
  <c r="O51" i="1"/>
  <c r="O49" i="1"/>
  <c r="O44" i="1"/>
  <c r="O45" i="1"/>
  <c r="O46" i="1"/>
  <c r="K49" i="1"/>
  <c r="K48" i="1"/>
  <c r="M48" i="1"/>
  <c r="M52" i="1"/>
  <c r="M51" i="1"/>
  <c r="M50" i="1"/>
  <c r="M49" i="1"/>
  <c r="M46" i="1"/>
  <c r="M45" i="1"/>
  <c r="M44" i="1"/>
  <c r="K46" i="1"/>
  <c r="K45" i="1"/>
  <c r="K44" i="1"/>
  <c r="L75" i="1"/>
  <c r="K73" i="1"/>
  <c r="K72" i="1"/>
  <c r="M91" i="1" l="1"/>
  <c r="M99" i="1" s="1"/>
  <c r="O35" i="1"/>
  <c r="E45" i="3" l="1"/>
  <c r="C95" i="2"/>
  <c r="D79" i="2"/>
  <c r="D87" i="2" s="1"/>
  <c r="D70" i="2"/>
  <c r="G70" i="2" s="1"/>
  <c r="G33" i="2"/>
  <c r="C43" i="2"/>
  <c r="C62" i="2"/>
  <c r="C61" i="2"/>
  <c r="H45" i="2"/>
  <c r="I43" i="2"/>
  <c r="G43" i="2"/>
  <c r="C65" i="2" l="1"/>
  <c r="D18" i="6" s="1"/>
  <c r="G48" i="2"/>
  <c r="D44" i="2" l="1"/>
  <c r="H44" i="2" s="1"/>
  <c r="D43" i="2"/>
  <c r="B7" i="2"/>
  <c r="B6" i="2"/>
  <c r="A37" i="1"/>
  <c r="A43" i="1"/>
  <c r="B24" i="1"/>
  <c r="E43" i="2" l="1"/>
  <c r="G44" i="2"/>
  <c r="E43" i="3"/>
  <c r="D81" i="2" s="1"/>
  <c r="E37" i="3"/>
  <c r="F61" i="1"/>
  <c r="F60" i="1"/>
  <c r="F59" i="1"/>
  <c r="F58" i="1"/>
  <c r="F57" i="1"/>
  <c r="K62" i="1" s="1"/>
  <c r="F56" i="1"/>
  <c r="K71" i="1" s="1"/>
  <c r="F55" i="1"/>
  <c r="K70" i="1" s="1"/>
  <c r="F54" i="1"/>
  <c r="F53" i="1"/>
  <c r="F52" i="1"/>
  <c r="F51" i="1"/>
  <c r="F50" i="1"/>
  <c r="C18" i="6" l="1"/>
  <c r="D71" i="2"/>
  <c r="E46" i="3"/>
  <c r="D89" i="2"/>
  <c r="D78" i="2"/>
  <c r="G71" i="2"/>
  <c r="G72" i="2" s="1"/>
  <c r="D72" i="2"/>
  <c r="E18" i="6" l="1"/>
  <c r="F18" i="6"/>
  <c r="C22" i="6"/>
  <c r="C19" i="6"/>
  <c r="D86" i="2"/>
  <c r="D88" i="2" s="1"/>
  <c r="D80" i="2"/>
  <c r="G18" i="6" l="1"/>
  <c r="H18" i="6" s="1"/>
  <c r="E3" i="3"/>
  <c r="D19" i="3"/>
  <c r="C15" i="3"/>
  <c r="F21" i="3"/>
  <c r="D3" i="3"/>
  <c r="F3" i="3"/>
  <c r="E4" i="3"/>
  <c r="E5" i="3"/>
  <c r="E6" i="3"/>
  <c r="E7" i="3"/>
  <c r="E8" i="3"/>
  <c r="E9" i="3"/>
  <c r="E10" i="3"/>
  <c r="E11" i="3"/>
  <c r="E12" i="3"/>
  <c r="E13" i="3"/>
  <c r="E14" i="3"/>
  <c r="G14" i="3"/>
  <c r="G4" i="3"/>
  <c r="G5" i="3"/>
  <c r="G6" i="3"/>
  <c r="G7" i="3"/>
  <c r="G8" i="3"/>
  <c r="G9" i="3"/>
  <c r="G10" i="3"/>
  <c r="G11" i="3"/>
  <c r="G12" i="3"/>
  <c r="G13" i="3"/>
  <c r="G3" i="3"/>
  <c r="D21" i="3"/>
  <c r="C11" i="1"/>
  <c r="K16" i="1" s="1"/>
  <c r="N16" i="1" s="1"/>
  <c r="C12" i="1"/>
  <c r="K17" i="1" s="1"/>
  <c r="N17" i="1" s="1"/>
  <c r="C13" i="1"/>
  <c r="K18" i="1" s="1"/>
  <c r="N18" i="1" s="1"/>
  <c r="C14" i="1"/>
  <c r="C15" i="1"/>
  <c r="K20" i="1" s="1"/>
  <c r="N20" i="1" s="1"/>
  <c r="C16" i="1"/>
  <c r="K21" i="1" s="1"/>
  <c r="N21" i="1" s="1"/>
  <c r="C17" i="1"/>
  <c r="K22" i="1" s="1"/>
  <c r="N22" i="1" s="1"/>
  <c r="C18" i="1"/>
  <c r="K23" i="1" s="1"/>
  <c r="N23" i="1" s="1"/>
  <c r="C19" i="1"/>
  <c r="K24" i="1" s="1"/>
  <c r="N24" i="1" s="1"/>
  <c r="C20" i="1"/>
  <c r="K25" i="1" s="1"/>
  <c r="N25" i="1" s="1"/>
  <c r="C21" i="1"/>
  <c r="D4" i="3"/>
  <c r="D5" i="3"/>
  <c r="D6" i="3"/>
  <c r="D7" i="3"/>
  <c r="D8" i="3"/>
  <c r="D9" i="3"/>
  <c r="D10" i="3"/>
  <c r="D11" i="3"/>
  <c r="D12" i="3"/>
  <c r="D13" i="3"/>
  <c r="D14" i="3"/>
  <c r="D11" i="1"/>
  <c r="D12" i="1"/>
  <c r="D13" i="1"/>
  <c r="D14" i="1"/>
  <c r="D15" i="1"/>
  <c r="D16" i="1"/>
  <c r="D17" i="1"/>
  <c r="D18" i="1"/>
  <c r="D19" i="1"/>
  <c r="D20" i="1"/>
  <c r="D21" i="1"/>
  <c r="D10" i="1"/>
  <c r="K7" i="1" s="1"/>
  <c r="F4" i="3"/>
  <c r="F5" i="3"/>
  <c r="F6" i="3"/>
  <c r="F7" i="3"/>
  <c r="F8" i="3"/>
  <c r="F9" i="3"/>
  <c r="F10" i="3"/>
  <c r="F11" i="3"/>
  <c r="F12" i="3"/>
  <c r="F13" i="3"/>
  <c r="F14" i="3"/>
  <c r="C34" i="2" l="1"/>
  <c r="K35" i="1"/>
  <c r="K19" i="1"/>
  <c r="N19" i="1" s="1"/>
  <c r="C35" i="2"/>
  <c r="K34" i="1"/>
  <c r="K26" i="1"/>
  <c r="N26" i="1" s="1"/>
  <c r="C6" i="2"/>
  <c r="G15" i="3"/>
  <c r="E15" i="3"/>
  <c r="H15" i="3" s="1"/>
  <c r="I15" i="3" s="1"/>
  <c r="H14" i="3"/>
  <c r="I14" i="3" s="1"/>
  <c r="F15" i="3"/>
  <c r="D15" i="3"/>
  <c r="H3" i="3"/>
  <c r="I3" i="3" s="1"/>
  <c r="H10" i="3"/>
  <c r="I10" i="3" s="1"/>
  <c r="H13" i="3"/>
  <c r="I13" i="3" s="1"/>
  <c r="H11" i="3"/>
  <c r="I11" i="3" s="1"/>
  <c r="H9" i="3"/>
  <c r="I9" i="3" s="1"/>
  <c r="H5" i="3"/>
  <c r="I5" i="3" s="1"/>
  <c r="H12" i="3"/>
  <c r="I12" i="3" s="1"/>
  <c r="H8" i="3"/>
  <c r="I8" i="3" s="1"/>
  <c r="H4" i="3"/>
  <c r="I4" i="3" s="1"/>
  <c r="B23" i="1" l="1"/>
  <c r="C22" i="3"/>
  <c r="G36" i="2" s="1"/>
  <c r="E21" i="3"/>
  <c r="E22" i="3" s="1"/>
  <c r="F10" i="1" l="1"/>
  <c r="F20" i="1" l="1"/>
  <c r="F19" i="1"/>
  <c r="F17" i="1"/>
  <c r="F16" i="1"/>
  <c r="F12" i="1"/>
  <c r="F11" i="1"/>
  <c r="D25" i="2"/>
  <c r="D24" i="2"/>
  <c r="D23" i="2"/>
  <c r="D22" i="2"/>
  <c r="E17" i="1"/>
  <c r="L22" i="1" s="1"/>
  <c r="D20" i="2"/>
  <c r="E15" i="1"/>
  <c r="L20" i="1" s="1"/>
  <c r="D16" i="2"/>
  <c r="D15" i="2"/>
  <c r="D14" i="2"/>
  <c r="C25" i="2"/>
  <c r="C24" i="2"/>
  <c r="C23" i="2"/>
  <c r="C22" i="2"/>
  <c r="D21" i="2"/>
  <c r="C21" i="2"/>
  <c r="C20" i="2"/>
  <c r="C19" i="2"/>
  <c r="C18" i="2"/>
  <c r="C17" i="2"/>
  <c r="C16" i="2"/>
  <c r="C15" i="2"/>
  <c r="C14" i="2"/>
  <c r="F21" i="1"/>
  <c r="F18" i="1"/>
  <c r="F15" i="1"/>
  <c r="F14" i="1"/>
  <c r="F13" i="1"/>
  <c r="C10" i="1"/>
  <c r="K8" i="1" s="1"/>
  <c r="M11" i="1" s="1"/>
  <c r="O34" i="1" l="1"/>
  <c r="O36" i="1"/>
  <c r="D34" i="2"/>
  <c r="L35" i="1"/>
  <c r="C7" i="2"/>
  <c r="E10" i="2" s="1"/>
  <c r="D3" i="6" s="1"/>
  <c r="K15" i="1"/>
  <c r="N15" i="1" s="1"/>
  <c r="N28" i="1" s="1"/>
  <c r="M22" i="1"/>
  <c r="M20" i="1"/>
  <c r="D35" i="2"/>
  <c r="L34" i="1"/>
  <c r="K37" i="1" s="1"/>
  <c r="M39" i="1" s="1"/>
  <c r="F22" i="2"/>
  <c r="F14" i="2"/>
  <c r="E21" i="1"/>
  <c r="L26" i="1" s="1"/>
  <c r="F25" i="2"/>
  <c r="D19" i="2"/>
  <c r="F19" i="2" s="1"/>
  <c r="E11" i="1"/>
  <c r="L16" i="1" s="1"/>
  <c r="F21" i="2"/>
  <c r="E19" i="1"/>
  <c r="L24" i="1" s="1"/>
  <c r="F15" i="2"/>
  <c r="F20" i="2"/>
  <c r="F23" i="2"/>
  <c r="F16" i="2"/>
  <c r="F24" i="2"/>
  <c r="E14" i="2"/>
  <c r="E15" i="2"/>
  <c r="E16" i="2"/>
  <c r="E17" i="2"/>
  <c r="E18" i="2"/>
  <c r="E19" i="2"/>
  <c r="E20" i="2"/>
  <c r="E21" i="2"/>
  <c r="E22" i="2"/>
  <c r="E23" i="2"/>
  <c r="E24" i="2"/>
  <c r="E25" i="2"/>
  <c r="C26" i="2"/>
  <c r="E10" i="1"/>
  <c r="E12" i="1"/>
  <c r="L17" i="1" s="1"/>
  <c r="E16" i="1"/>
  <c r="L21" i="1" s="1"/>
  <c r="E18" i="1"/>
  <c r="L23" i="1" s="1"/>
  <c r="E20" i="1"/>
  <c r="L25" i="1" s="1"/>
  <c r="E38" i="2" l="1"/>
  <c r="D6" i="6" s="1"/>
  <c r="E6" i="6" s="1"/>
  <c r="C6" i="6"/>
  <c r="O37" i="1"/>
  <c r="M23" i="1"/>
  <c r="M21" i="1"/>
  <c r="M17" i="1"/>
  <c r="M24" i="1"/>
  <c r="K28" i="1"/>
  <c r="M25" i="1"/>
  <c r="C3" i="6"/>
  <c r="F3" i="6" s="1"/>
  <c r="L15" i="1"/>
  <c r="M26" i="1"/>
  <c r="M16" i="1"/>
  <c r="C78" i="2"/>
  <c r="G34" i="2"/>
  <c r="I46" i="2"/>
  <c r="G38" i="2"/>
  <c r="E26" i="2"/>
  <c r="G53" i="2"/>
  <c r="Q47" i="1" l="1"/>
  <c r="F6" i="6"/>
  <c r="D19" i="6"/>
  <c r="F19" i="6" s="1"/>
  <c r="E3" i="6"/>
  <c r="G3" i="6" s="1"/>
  <c r="H3" i="6" s="1"/>
  <c r="M15" i="1"/>
  <c r="G6" i="6"/>
  <c r="H6" i="6" s="1"/>
  <c r="G35" i="2"/>
  <c r="C86" i="2"/>
  <c r="E13" i="1"/>
  <c r="L18" i="1" s="1"/>
  <c r="H7" i="3"/>
  <c r="I7" i="3" s="1"/>
  <c r="E14" i="1"/>
  <c r="L19" i="1" s="1"/>
  <c r="D18" i="2"/>
  <c r="F18" i="2" s="1"/>
  <c r="H6" i="3"/>
  <c r="D17" i="2"/>
  <c r="F17" i="2" s="1"/>
  <c r="C20" i="6" l="1"/>
  <c r="E19" i="6"/>
  <c r="G19" i="6" s="1"/>
  <c r="H19" i="6" s="1"/>
  <c r="M19" i="1"/>
  <c r="L28" i="1"/>
  <c r="M18" i="1"/>
  <c r="F26" i="2"/>
  <c r="C72" i="2"/>
  <c r="D26" i="2"/>
  <c r="E30" i="2" s="1"/>
  <c r="D5" i="6" s="1"/>
  <c r="I6" i="3"/>
  <c r="G21" i="3"/>
  <c r="E20" i="6" l="1"/>
  <c r="G20" i="6" s="1"/>
  <c r="H20" i="6" s="1"/>
  <c r="F20" i="6"/>
  <c r="M28" i="1"/>
  <c r="P15" i="1" s="1"/>
  <c r="P18" i="1" s="1"/>
  <c r="M31" i="1" s="1"/>
  <c r="D74" i="2"/>
  <c r="C94" i="2" s="1"/>
  <c r="F72" i="2"/>
  <c r="F5" i="6"/>
  <c r="E5" i="6"/>
  <c r="C30" i="2"/>
  <c r="G39" i="2"/>
  <c r="K31" i="1" l="1"/>
  <c r="Q38" i="1"/>
  <c r="G5" i="6"/>
  <c r="H5" i="6" s="1"/>
  <c r="D4" i="6"/>
  <c r="G37" i="2"/>
  <c r="G40" i="2" s="1"/>
  <c r="E45" i="2" s="1"/>
  <c r="C44" i="2"/>
  <c r="C79" i="2" s="1"/>
  <c r="C80" i="2" s="1"/>
  <c r="E80" i="2" s="1"/>
  <c r="Q46" i="1" l="1"/>
  <c r="O38" i="1"/>
  <c r="O39" i="1" s="1"/>
  <c r="Q39" i="1" s="1"/>
  <c r="O41" i="1" s="1"/>
  <c r="C4" i="6"/>
  <c r="E4" i="6" s="1"/>
  <c r="D7" i="6"/>
  <c r="E44" i="2"/>
  <c r="E47" i="2" s="1"/>
  <c r="E51" i="2" s="1"/>
  <c r="C47" i="2"/>
  <c r="C48" i="2" s="1"/>
  <c r="C87" i="2"/>
  <c r="C88" i="2" s="1"/>
  <c r="E88" i="2" s="1"/>
  <c r="E90" i="2" s="1"/>
  <c r="C97" i="2" s="1"/>
  <c r="I45" i="2"/>
  <c r="C81" i="2"/>
  <c r="Q45" i="1" l="1"/>
  <c r="Q50" i="1" s="1"/>
  <c r="C9" i="6"/>
  <c r="C8" i="6"/>
  <c r="D9" i="6" s="1"/>
  <c r="C7" i="6"/>
  <c r="D21" i="6" s="1"/>
  <c r="F4" i="6"/>
  <c r="G4" i="6" s="1"/>
  <c r="H4" i="6" s="1"/>
  <c r="I44" i="2"/>
  <c r="I49" i="2" s="1"/>
  <c r="D8" i="6"/>
  <c r="D22" i="6"/>
  <c r="G45" i="2"/>
  <c r="G46" i="2" s="1"/>
  <c r="G49" i="2"/>
  <c r="G50" i="2" s="1"/>
  <c r="G52" i="2" s="1"/>
  <c r="G54" i="2" s="1"/>
  <c r="C89" i="2"/>
  <c r="E89" i="2" s="1"/>
  <c r="E81" i="2"/>
  <c r="E82" i="2" s="1"/>
  <c r="C96" i="2" s="1"/>
  <c r="E98" i="2" s="1"/>
  <c r="F9" i="6" l="1"/>
  <c r="F7" i="6"/>
  <c r="D15" i="6"/>
  <c r="E7" i="6"/>
  <c r="D10" i="6"/>
  <c r="C13" i="6"/>
  <c r="C10" i="6"/>
  <c r="E9" i="6"/>
  <c r="F8" i="6"/>
  <c r="E8" i="6"/>
  <c r="F22" i="6"/>
  <c r="E22" i="6"/>
  <c r="G9" i="6" l="1"/>
  <c r="H9" i="6" s="1"/>
  <c r="G7" i="6"/>
  <c r="H7" i="6" s="1"/>
  <c r="C15" i="6"/>
  <c r="E15" i="6" s="1"/>
  <c r="C11" i="6"/>
  <c r="D12" i="6" s="1"/>
  <c r="C23" i="6"/>
  <c r="C21" i="6"/>
  <c r="D13" i="6"/>
  <c r="F13" i="6" s="1"/>
  <c r="D11" i="6"/>
  <c r="F10" i="6"/>
  <c r="C14" i="6"/>
  <c r="C12" i="6"/>
  <c r="E10" i="6"/>
  <c r="D14" i="6"/>
  <c r="G8" i="6"/>
  <c r="H8" i="6" s="1"/>
  <c r="G22" i="6"/>
  <c r="H22" i="6" s="1"/>
  <c r="F15" i="6" l="1"/>
  <c r="G15" i="6" s="1"/>
  <c r="H15" i="6" s="1"/>
  <c r="E11" i="6"/>
  <c r="F11" i="6"/>
  <c r="E12" i="6"/>
  <c r="E13" i="6"/>
  <c r="G13" i="6" s="1"/>
  <c r="H13" i="6" s="1"/>
  <c r="G10" i="6"/>
  <c r="H10" i="6" s="1"/>
  <c r="D23" i="6"/>
  <c r="F23" i="6" s="1"/>
  <c r="E21" i="6"/>
  <c r="F21" i="6"/>
  <c r="E14" i="6"/>
  <c r="F14" i="6"/>
  <c r="F12" i="6"/>
  <c r="G12" i="6" l="1"/>
  <c r="H12" i="6" s="1"/>
  <c r="G11" i="6"/>
  <c r="H11" i="6" s="1"/>
  <c r="E23" i="6"/>
  <c r="G23" i="6" s="1"/>
  <c r="H23" i="6" s="1"/>
  <c r="G21" i="6"/>
  <c r="H21" i="6" s="1"/>
  <c r="G14" i="6"/>
  <c r="H14" i="6" s="1"/>
  <c r="H24" i="6" l="1"/>
</calcChain>
</file>

<file path=xl/sharedStrings.xml><?xml version="1.0" encoding="utf-8"?>
<sst xmlns="http://schemas.openxmlformats.org/spreadsheetml/2006/main" count="347" uniqueCount="200">
  <si>
    <t>Janvier</t>
  </si>
  <si>
    <t>Fevrier</t>
  </si>
  <si>
    <t>Partie 1</t>
  </si>
  <si>
    <t>Mars</t>
  </si>
  <si>
    <t>Total</t>
  </si>
  <si>
    <t>Avril</t>
  </si>
  <si>
    <t>Mai</t>
  </si>
  <si>
    <t>Juin</t>
  </si>
  <si>
    <t>Juillet</t>
  </si>
  <si>
    <t>Aout</t>
  </si>
  <si>
    <t>Unités</t>
  </si>
  <si>
    <t>Septembre</t>
  </si>
  <si>
    <t>Coût total</t>
  </si>
  <si>
    <t>Q2</t>
  </si>
  <si>
    <t>Q*CT</t>
  </si>
  <si>
    <t>Octobre</t>
  </si>
  <si>
    <t>Novembre</t>
  </si>
  <si>
    <t>Unités vendues</t>
  </si>
  <si>
    <t>Decembre</t>
  </si>
  <si>
    <t>Coût MO</t>
  </si>
  <si>
    <t>Coût MP</t>
  </si>
  <si>
    <t>Partie 2</t>
  </si>
  <si>
    <t>Février</t>
  </si>
  <si>
    <t>MO variable</t>
  </si>
  <si>
    <t>MP variable</t>
  </si>
  <si>
    <t>Août</t>
  </si>
  <si>
    <t>MO fixe</t>
  </si>
  <si>
    <t>MP Variable</t>
  </si>
  <si>
    <t>Partie 1:</t>
  </si>
  <si>
    <t>Partie 2:</t>
  </si>
  <si>
    <t>MO var</t>
  </si>
  <si>
    <t>MP var</t>
  </si>
  <si>
    <t>Frais de gestion total</t>
  </si>
  <si>
    <t>Point mort</t>
  </si>
  <si>
    <t>MS$</t>
  </si>
  <si>
    <t>MS%</t>
  </si>
  <si>
    <t>Amortissement</t>
  </si>
  <si>
    <t xml:space="preserve">Nom : </t>
  </si>
  <si>
    <t xml:space="preserve">Prénom : </t>
  </si>
  <si>
    <t xml:space="preserve">Matricule : </t>
  </si>
  <si>
    <t xml:space="preserve">Groupe : </t>
  </si>
  <si>
    <t>CM%</t>
  </si>
  <si>
    <t>Revenus</t>
  </si>
  <si>
    <t>Tableau des revenus et des coûts pour l'année 2019</t>
  </si>
  <si>
    <t>Prix de vente unitaire</t>
  </si>
  <si>
    <t>MO fixe par mois</t>
  </si>
  <si>
    <t>Coût fixes</t>
  </si>
  <si>
    <t>Bénéfices</t>
  </si>
  <si>
    <t>Autres frais fixes par mois</t>
  </si>
  <si>
    <t>Bénéfices moyen</t>
  </si>
  <si>
    <t>Bénéfices moyens</t>
  </si>
  <si>
    <t>Capacité maximum mensuelle</t>
  </si>
  <si>
    <t>Bénéfice net annuel possible</t>
  </si>
  <si>
    <t>E 2020</t>
  </si>
  <si>
    <t>Autres coûts fixes de production</t>
  </si>
  <si>
    <t>Frais de vente unitaires</t>
  </si>
  <si>
    <t>Prévision des ventes en unités</t>
  </si>
  <si>
    <t>Coût d'achat l'équipemement</t>
  </si>
  <si>
    <t>Frais d'installation</t>
  </si>
  <si>
    <t>Date d'achat</t>
  </si>
  <si>
    <t>Vie utile (nombre d'années)</t>
  </si>
  <si>
    <t>Valeur résiduelle en fin de vie</t>
  </si>
  <si>
    <t>MO directe unitaire</t>
  </si>
  <si>
    <t>MO indirecte</t>
  </si>
  <si>
    <t>MP unitaire</t>
  </si>
  <si>
    <t>Revenus unitaire</t>
  </si>
  <si>
    <t>Évaluation des coûts et des revenus annuels du nouveau produit pour 2021</t>
  </si>
  <si>
    <t>Placement - coût opportunité</t>
  </si>
  <si>
    <t>DIRECTIVES IMPORTANTES</t>
  </si>
  <si>
    <t>1- Télécharger sur votre ordinateur le fichier Excel</t>
  </si>
  <si>
    <t>2- Renomer le fichier avec votre numéro de matricule - TP3 - Gr.lab</t>
  </si>
  <si>
    <t>Dans le doute, copier/coller l'exemple et modifer le.</t>
  </si>
  <si>
    <t xml:space="preserve">exemple: </t>
  </si>
  <si>
    <t>Étapes du TP</t>
  </si>
  <si>
    <t>3- Effectuer et compléter le TP</t>
  </si>
  <si>
    <t>4- Déposer le dans la BONNE boite de dépôt; bon groupe, bon TP.</t>
  </si>
  <si>
    <t>Amusez vous bien !!!!</t>
  </si>
  <si>
    <t>2.5) Quels sont les coûts supplémentaires (en valeur absolue) ?</t>
  </si>
  <si>
    <t>En regroupant les différents coûts en coûts fixes et en coûts variables :</t>
  </si>
  <si>
    <t>En considérant que la production de 2021 est identique à celle de 2019, répondre aux questions suivantes.</t>
  </si>
  <si>
    <t>L’entreprise Covida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</si>
  <si>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</si>
  <si>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</si>
  <si>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2.2) Quels sont les revenus supplémentaires (en valeur absolue) ?</t>
  </si>
  <si>
    <t>2.3) Quels sont les revenus perdus (en valeur absolue) ?</t>
  </si>
  <si>
    <t>Frais variables totaux</t>
  </si>
  <si>
    <t>1.1) Quel est le prix de vente unitaire ?</t>
  </si>
  <si>
    <t>2.4) Quels sont les coûts évités (en valeur absolue) ?</t>
  </si>
  <si>
    <t>1.2) Utiliser la méthode des moindres carrée pour calculer les coûts fixes annuels et variables unitaires de main-d'œuvre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</si>
  <si>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</si>
  <si>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</si>
  <si>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</si>
  <si>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</si>
  <si>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1.7) En fonction de la capacité maximum de production, établir la marge de sécurité en $, en % et en nombre d’unités.</t>
  </si>
  <si>
    <t>1.1 Prix de vente unitaire</t>
  </si>
  <si>
    <t xml:space="preserve"> 1.2 Moindre carrée MO</t>
  </si>
  <si>
    <t>1.3 Point extreme MP</t>
  </si>
  <si>
    <t>1.4 Autres frais fixes annuels</t>
  </si>
  <si>
    <t>Min</t>
  </si>
  <si>
    <t>Max</t>
  </si>
  <si>
    <t>MO Variable</t>
  </si>
  <si>
    <t>MO Fixe</t>
  </si>
  <si>
    <t>Frais fixes totaux</t>
  </si>
  <si>
    <t>Seuil de rentabilité unitaires</t>
  </si>
  <si>
    <t>Seuil de rentabilité en $</t>
  </si>
  <si>
    <t>Revenus totaux</t>
  </si>
  <si>
    <t>Revenus maximum</t>
  </si>
  <si>
    <t>Production maximum</t>
  </si>
  <si>
    <t>Marge de securité unitaire</t>
  </si>
  <si>
    <t>1.6 seuil de rentabilité</t>
  </si>
  <si>
    <t>1.7 Marge de securité</t>
  </si>
  <si>
    <t>1.8 Nouveau prix de vente</t>
  </si>
  <si>
    <t>Bénéfice voulu</t>
  </si>
  <si>
    <t>Quantité produite</t>
  </si>
  <si>
    <t>Nouveau prix de vente</t>
  </si>
  <si>
    <t>1.5 Contribution marginale</t>
  </si>
  <si>
    <t>Pour la partie 2, ne pas considérer le nouveau prix de vente calculer à la question 1.8.</t>
  </si>
  <si>
    <t>2.1 Coût d'opportunité</t>
  </si>
  <si>
    <t>Coût de l'équipement</t>
  </si>
  <si>
    <t>Taux d'intérêt</t>
  </si>
  <si>
    <t>Coût d'opportunité annuel</t>
  </si>
  <si>
    <t>2.1) Quel est le coût d'opportunité annuel ?</t>
  </si>
  <si>
    <t>Unités produites</t>
  </si>
  <si>
    <t>Actuel</t>
  </si>
  <si>
    <t>Option</t>
  </si>
  <si>
    <t>Quantité vendu</t>
  </si>
  <si>
    <t>Revenu totaux</t>
  </si>
  <si>
    <t>En considérant le remplacement de la solution actuelle, répondre aux questions suivantes.</t>
  </si>
  <si>
    <t>Frais variables unitaire totaux</t>
  </si>
  <si>
    <t>Coûts évités</t>
  </si>
  <si>
    <t>Coûts supplémentaires</t>
  </si>
  <si>
    <t>2.2 Revenus supplémentaires</t>
  </si>
  <si>
    <t>2.3 Revenus perdus</t>
  </si>
  <si>
    <t xml:space="preserve">2.5 Coûts supplémentaires </t>
  </si>
  <si>
    <t>2.6) Quel est le résultat net différentiel ?</t>
  </si>
  <si>
    <t>2.4 Coûts évités</t>
  </si>
  <si>
    <t>Revenus supplémentaires</t>
  </si>
  <si>
    <t>2.6 Résultat net différentiel</t>
  </si>
  <si>
    <t>Revenus perdus</t>
  </si>
  <si>
    <t xml:space="preserve">Coûts supplémentaires </t>
  </si>
  <si>
    <t>Bénéfice moyen</t>
  </si>
  <si>
    <t>CMu</t>
  </si>
  <si>
    <t>MSu</t>
  </si>
  <si>
    <t>Résultat net différentiel</t>
  </si>
  <si>
    <t>Étudiant</t>
  </si>
  <si>
    <t>Réponse simulée</t>
  </si>
  <si>
    <t>Fixes et/ou variables</t>
  </si>
  <si>
    <t>points</t>
  </si>
  <si>
    <t>Pointage</t>
  </si>
  <si>
    <t>Note finale</t>
  </si>
  <si>
    <t>3 points sur 20 sont donnés pour suivre la démarche parfaitement</t>
  </si>
  <si>
    <t>Ne pas vous tromper pas dans votre matricule, espaces, caractères, numéro de groupe, etc.</t>
  </si>
  <si>
    <t>NE PAS MODIFIER LE FICHIER (ajouter des lignes ou des colonnes, fusionner, etc.)</t>
  </si>
  <si>
    <t>Par contre, vous pouvez changer le format de la réponse</t>
  </si>
  <si>
    <t>Effectuer vos calculs à l'aide d'Excel seulement, pas de calculatrice. Excel garde toutes les décimales même si elles ne sont pas montrées.</t>
  </si>
  <si>
    <t>Mètre les réponses dans les cases en jaunes seulement</t>
  </si>
  <si>
    <t>C'est possible que pour certaines questions, il n'y ai pas de réponse. Dans ce cas, mètre 0 dans la cellule en jaune.</t>
  </si>
  <si>
    <t>1827096 - TP4 - Gr.5.xlsx</t>
  </si>
  <si>
    <t>SSH-3201 - Économique de l’ingénieur (TP 4)</t>
  </si>
  <si>
    <t>Rose</t>
  </si>
  <si>
    <t>Christopher</t>
  </si>
  <si>
    <t>1888593</t>
  </si>
  <si>
    <t>Profit</t>
  </si>
  <si>
    <t>Somme</t>
  </si>
  <si>
    <t>xy</t>
  </si>
  <si>
    <t>x^2</t>
  </si>
  <si>
    <t>a</t>
  </si>
  <si>
    <t>b</t>
  </si>
  <si>
    <t>Coût Variable unitaire</t>
  </si>
  <si>
    <t>Frais total unitaire</t>
  </si>
  <si>
    <t>Bénifice unitaire</t>
  </si>
  <si>
    <t>Frais MP unitaire</t>
  </si>
  <si>
    <t>Frais MO unitaire</t>
  </si>
  <si>
    <t>Frais fixe MO</t>
  </si>
  <si>
    <t>Total frais restant</t>
  </si>
  <si>
    <t>Total frais unitaire restant</t>
  </si>
  <si>
    <t>Cout total</t>
  </si>
  <si>
    <t>Facteur #1</t>
  </si>
  <si>
    <t>Revenu unitaire 2</t>
  </si>
  <si>
    <t>Revenu unitaire 1</t>
  </si>
  <si>
    <t>Variable</t>
  </si>
  <si>
    <t>Volume d'activité (x)</t>
  </si>
  <si>
    <t>Coût MO (y)</t>
  </si>
  <si>
    <t>Coût fixe</t>
  </si>
  <si>
    <t>Coût varible</t>
  </si>
  <si>
    <t>Unité</t>
  </si>
  <si>
    <t>Prévision de vente2</t>
  </si>
  <si>
    <t>Prévision de vente1</t>
  </si>
  <si>
    <t>Aucun revenus perdus</t>
  </si>
  <si>
    <t>Vente</t>
  </si>
  <si>
    <t>Cmu</t>
  </si>
  <si>
    <t>Frais gestion</t>
  </si>
  <si>
    <t>Quantité</t>
  </si>
  <si>
    <t>Seuil rentabilité</t>
  </si>
  <si>
    <t>Prix unitaire</t>
  </si>
  <si>
    <t>Seuil rentabilité unit</t>
  </si>
  <si>
    <t>Nbr mois</t>
  </si>
  <si>
    <t>Frais fix</t>
  </si>
  <si>
    <t>Coûts fixes</t>
  </si>
  <si>
    <t>Coûts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</si>
</sst>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 #,##0.00_)\ &quot;$&quot;_ ;_ * \(#,##0.00\)\ &quot;$&quot;_ ;_ * &quot;-&quot;??_)\ &quot;$&quot;_ ;_ @_ "/>
    <numFmt numFmtId="164" formatCode="_-&quot;$&quot;* #,##0.00_-;\-&quot;$&quot;* #,##0.00_-;_-&quot;$&quot;* &quot;-&quot;??_-;_-@_-"/>
    <numFmt numFmtId="165" formatCode="_-&quot;$&quot;* #,##0.00_-;\-&quot;$&quot;* #,##0.00_-;_-&quot;$&quot;* &quot;-&quot;??_-;_-@"/>
    <numFmt numFmtId="166" formatCode="_ * #,##0_)\ &quot;$&quot;_ ;_ * \(#,##0\)\ &quot;$&quot;_ ;_ * &quot;-&quot;??_)\ &quot;$&quot;_ ;_ @_ "/>
    <numFmt numFmtId="167" formatCode="#,##0&quot; unités&quot;"/>
    <numFmt numFmtId="168" formatCode="#,##0&quot; u.&quot;"/>
    <numFmt numFmtId="169" formatCode="_ * #,##0.000000_)\ &quot;$&quot;_ ;_ * \(#,##0.000000\)\ &quot;$&quot;_ ;_ * &quot;-&quot;??_)\ &quot;$&quot;_ ;_ @_ "/>
    <numFmt numFmtId="170" formatCode="_-* #,##0.00\ &quot;$&quot;_-;_-* #,##0.00\ &quot;$&quot;\-;_-* &quot;-&quot;??\ &quot;$&quot;_-;_-@_-"/>
    <numFmt numFmtId="171" formatCode="#,##0&quot; $/u&quot;"/>
    <numFmt numFmtId="172" formatCode="_-* #,##0\ &quot;$&quot;_-;_-* #,##0\ &quot;$&quot;\-;_-* &quot;-&quot;??\ &quot;$&quot;_-;_-@_-"/>
    <numFmt numFmtId="173" formatCode="0&quot; années&quot;"/>
    <numFmt numFmtId="174" formatCode="#,##0.0&quot; $/u&quot;"/>
    <numFmt numFmtId="175" formatCode="#,##0.00&quot; $/u&quot;"/>
    <numFmt numFmtId="176" formatCode="#,##0.00&quot; $/u.&quot;"/>
  </numFmts>
  <fonts count="18">
    <font>
      <sz val="11"/>
      <color theme="1"/>
      <name val="Arial"/>
    </font>
    <font>
      <sz val="12"/>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sz val="12"/>
      <color theme="1"/>
      <name val="Calibri"/>
      <family val="2"/>
    </font>
    <font>
      <sz val="11"/>
      <color theme="1"/>
      <name val="Calibri (Corps)_x0000_"/>
    </font>
    <font>
      <b/>
      <sz val="11"/>
      <name val="Arial"/>
      <family val="2"/>
    </font>
    <font>
      <sz val="11"/>
      <name val="Arial"/>
      <family val="2"/>
    </font>
    <font>
      <b/>
      <sz val="22"/>
      <color theme="1"/>
      <name val="Arial"/>
      <family val="2"/>
    </font>
    <font>
      <b/>
      <sz val="11"/>
      <color rgb="FF000000"/>
      <name val="Calibri"/>
      <family val="2"/>
    </font>
    <font>
      <b/>
      <sz val="24"/>
      <color theme="1"/>
      <name val="Arial"/>
      <family val="2"/>
    </font>
    <font>
      <b/>
      <u/>
      <sz val="11"/>
      <color theme="1"/>
      <name val="Arial"/>
      <family val="2"/>
    </font>
    <font>
      <b/>
      <sz val="11"/>
      <color theme="1"/>
      <name val="Arial"/>
      <family val="2"/>
    </font>
    <font>
      <sz val="11"/>
      <color theme="3"/>
      <name val="Calibri"/>
      <family val="2"/>
      <scheme val="minor"/>
    </font>
  </fonts>
  <fills count="7">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s>
  <borders count="29">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medium">
        <color indexed="64"/>
      </left>
      <right/>
      <top style="medium">
        <color indexed="64"/>
      </top>
      <bottom style="thin">
        <color rgb="FF000000"/>
      </bottom>
      <diagonal/>
    </border>
    <border>
      <left style="thin">
        <color rgb="FF000000"/>
      </left>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s>
  <cellStyleXfs count="4">
    <xf numFmtId="0" fontId="0" fillId="0" borderId="0"/>
    <xf numFmtId="0" fontId="4" fillId="0" borderId="2"/>
    <xf numFmtId="44" fontId="6" fillId="0" borderId="0" applyFont="0" applyFill="0" applyBorder="0" applyAlignment="0" applyProtection="0"/>
    <xf numFmtId="9" fontId="6" fillId="0" borderId="0" applyFont="0" applyFill="0" applyBorder="0" applyAlignment="0" applyProtection="0"/>
  </cellStyleXfs>
  <cellXfs count="254">
    <xf numFmtId="0" fontId="0" fillId="0" borderId="0" xfId="0" applyFont="1" applyAlignment="1"/>
    <xf numFmtId="49" fontId="5" fillId="0" borderId="0" xfId="0" applyNumberFormat="1" applyFont="1" applyAlignment="1">
      <alignment horizontal="right"/>
    </xf>
    <xf numFmtId="49" fontId="5" fillId="0" borderId="0" xfId="0" applyNumberFormat="1" applyFont="1" applyAlignment="1" applyProtection="1">
      <alignment horizontal="right"/>
      <protection locked="0"/>
    </xf>
    <xf numFmtId="49" fontId="3" fillId="0" borderId="2" xfId="0" applyNumberFormat="1" applyFont="1" applyBorder="1" applyAlignment="1"/>
    <xf numFmtId="49" fontId="5" fillId="0" borderId="0" xfId="0" applyNumberFormat="1" applyFont="1" applyAlignment="1"/>
    <xf numFmtId="0" fontId="2" fillId="0" borderId="3" xfId="0" applyFont="1" applyBorder="1"/>
    <xf numFmtId="0" fontId="3" fillId="0" borderId="0" xfId="0" applyFont="1" applyAlignment="1">
      <alignment horizontal="right" vertical="center"/>
    </xf>
    <xf numFmtId="0" fontId="2" fillId="0" borderId="0" xfId="0" applyFont="1" applyAlignment="1"/>
    <xf numFmtId="0" fontId="3" fillId="0" borderId="0" xfId="0" applyFont="1" applyAlignment="1">
      <alignment horizontal="center" vertical="center"/>
    </xf>
    <xf numFmtId="0" fontId="3" fillId="0" borderId="0" xfId="0" applyFont="1" applyAlignment="1">
      <alignment vertical="center"/>
    </xf>
    <xf numFmtId="0" fontId="2" fillId="0" borderId="2" xfId="0" applyFont="1" applyBorder="1"/>
    <xf numFmtId="165" fontId="2" fillId="0" borderId="2" xfId="0" applyNumberFormat="1" applyFont="1" applyBorder="1"/>
    <xf numFmtId="0" fontId="7"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center"/>
    </xf>
    <xf numFmtId="168" fontId="2" fillId="0" borderId="2" xfId="0" applyNumberFormat="1" applyFont="1" applyBorder="1"/>
    <xf numFmtId="44" fontId="2" fillId="0" borderId="2" xfId="2" applyFont="1" applyBorder="1"/>
    <xf numFmtId="44" fontId="2" fillId="0" borderId="0" xfId="2" applyFont="1" applyAlignment="1"/>
    <xf numFmtId="44" fontId="2" fillId="0" borderId="0" xfId="0" applyNumberFormat="1" applyFont="1" applyAlignment="1"/>
    <xf numFmtId="0" fontId="2" fillId="0" borderId="0" xfId="0" applyFont="1"/>
    <xf numFmtId="44" fontId="2" fillId="0" borderId="2" xfId="0" applyNumberFormat="1" applyFont="1" applyBorder="1" applyAlignment="1"/>
    <xf numFmtId="166" fontId="2" fillId="0" borderId="0" xfId="2" applyNumberFormat="1" applyFont="1" applyAlignment="1"/>
    <xf numFmtId="166" fontId="2" fillId="0" borderId="2" xfId="2" applyNumberFormat="1" applyFont="1" applyBorder="1"/>
    <xf numFmtId="168" fontId="2" fillId="0" borderId="1" xfId="0" applyNumberFormat="1" applyFont="1" applyBorder="1"/>
    <xf numFmtId="169" fontId="2" fillId="0" borderId="2" xfId="0" applyNumberFormat="1" applyFont="1" applyBorder="1" applyAlignment="1"/>
    <xf numFmtId="0" fontId="2" fillId="0" borderId="4" xfId="0" applyFont="1" applyBorder="1"/>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1" xfId="0" applyFont="1" applyBorder="1"/>
    <xf numFmtId="168" fontId="2" fillId="0" borderId="12" xfId="0" applyNumberFormat="1" applyFont="1" applyBorder="1"/>
    <xf numFmtId="0" fontId="9" fillId="0" borderId="0" xfId="0" applyFont="1" applyAlignment="1"/>
    <xf numFmtId="44" fontId="2" fillId="0" borderId="1" xfId="0" applyNumberFormat="1" applyFont="1" applyBorder="1"/>
    <xf numFmtId="44" fontId="2" fillId="0" borderId="10" xfId="0" applyNumberFormat="1" applyFont="1" applyBorder="1"/>
    <xf numFmtId="44" fontId="2" fillId="0" borderId="13" xfId="0" applyNumberFormat="1" applyFont="1" applyBorder="1" applyAlignment="1"/>
    <xf numFmtId="44" fontId="2" fillId="0" borderId="12" xfId="0" applyNumberFormat="1" applyFont="1" applyBorder="1"/>
    <xf numFmtId="44" fontId="2" fillId="0" borderId="14" xfId="0" applyNumberFormat="1" applyFont="1" applyBorder="1"/>
    <xf numFmtId="0" fontId="2" fillId="0" borderId="0" xfId="0" applyFont="1" applyAlignment="1">
      <alignment wrapText="1"/>
    </xf>
    <xf numFmtId="0" fontId="9" fillId="0" borderId="0" xfId="0" applyFont="1" applyAlignment="1">
      <alignment horizontal="left"/>
    </xf>
    <xf numFmtId="0" fontId="11" fillId="0" borderId="18" xfId="0" applyFont="1" applyBorder="1"/>
    <xf numFmtId="0" fontId="11" fillId="0" borderId="19" xfId="0" applyFont="1" applyBorder="1"/>
    <xf numFmtId="171" fontId="11" fillId="0" borderId="20" xfId="2" applyNumberFormat="1" applyFont="1" applyBorder="1" applyAlignment="1"/>
    <xf numFmtId="0" fontId="11" fillId="0" borderId="3" xfId="0" applyFont="1" applyBorder="1"/>
    <xf numFmtId="0" fontId="11" fillId="0" borderId="2" xfId="0" applyFont="1" applyBorder="1"/>
    <xf numFmtId="172" fontId="11" fillId="0" borderId="20" xfId="2" applyNumberFormat="1" applyFont="1" applyBorder="1" applyAlignment="1"/>
    <xf numFmtId="167" fontId="11" fillId="0" borderId="21" xfId="0" applyNumberFormat="1" applyFont="1" applyBorder="1" applyAlignment="1">
      <alignment horizontal="right" vertical="center"/>
    </xf>
    <xf numFmtId="0" fontId="11" fillId="0" borderId="22" xfId="0" applyFont="1" applyBorder="1"/>
    <xf numFmtId="0" fontId="11" fillId="0" borderId="23" xfId="0" applyFont="1" applyBorder="1"/>
    <xf numFmtId="172" fontId="11" fillId="0" borderId="24" xfId="2" applyNumberFormat="1" applyFont="1" applyBorder="1" applyAlignment="1"/>
    <xf numFmtId="1" fontId="11" fillId="0" borderId="20" xfId="0" applyNumberFormat="1" applyFont="1" applyBorder="1" applyAlignment="1"/>
    <xf numFmtId="173" fontId="11" fillId="0" borderId="20" xfId="0" applyNumberFormat="1" applyFont="1" applyBorder="1" applyAlignment="1"/>
    <xf numFmtId="0" fontId="11" fillId="0" borderId="11" xfId="0" applyFont="1" applyFill="1" applyBorder="1"/>
    <xf numFmtId="0" fontId="0" fillId="0" borderId="13" xfId="0" applyBorder="1"/>
    <xf numFmtId="172" fontId="11" fillId="0" borderId="21" xfId="2" applyNumberFormat="1" applyFont="1" applyBorder="1" applyAlignment="1"/>
    <xf numFmtId="174" fontId="11" fillId="0" borderId="20" xfId="2" applyNumberFormat="1" applyFont="1" applyBorder="1" applyAlignment="1"/>
    <xf numFmtId="175" fontId="11" fillId="0" borderId="20" xfId="2" applyNumberFormat="1" applyFont="1" applyBorder="1" applyAlignment="1"/>
    <xf numFmtId="170" fontId="11" fillId="0" borderId="20" xfId="2" applyNumberFormat="1" applyFont="1" applyBorder="1" applyAlignment="1"/>
    <xf numFmtId="0" fontId="8" fillId="0" borderId="0" xfId="0" applyFont="1" applyAlignment="1">
      <alignment vertical="center"/>
    </xf>
    <xf numFmtId="9" fontId="2" fillId="0" borderId="0" xfId="0" applyNumberFormat="1" applyFont="1" applyAlignment="1"/>
    <xf numFmtId="0" fontId="6" fillId="0" borderId="0" xfId="0" applyFont="1" applyAlignment="1"/>
    <xf numFmtId="0" fontId="0" fillId="4" borderId="0" xfId="0" applyFont="1" applyFill="1" applyAlignment="1"/>
    <xf numFmtId="0" fontId="6" fillId="0" borderId="0" xfId="0" applyFont="1" applyAlignment="1">
      <alignment horizontal="left" indent="1"/>
    </xf>
    <xf numFmtId="44" fontId="2" fillId="0" borderId="2" xfId="0" applyNumberFormat="1" applyFont="1" applyBorder="1"/>
    <xf numFmtId="0" fontId="2" fillId="0" borderId="10" xfId="0" applyFont="1" applyBorder="1"/>
    <xf numFmtId="171" fontId="2" fillId="0" borderId="2" xfId="0" applyNumberFormat="1" applyFont="1" applyBorder="1"/>
    <xf numFmtId="0" fontId="2" fillId="0" borderId="2" xfId="0" applyFont="1" applyFill="1" applyBorder="1"/>
    <xf numFmtId="0" fontId="2" fillId="0" borderId="13" xfId="0" applyFont="1" applyBorder="1"/>
    <xf numFmtId="3" fontId="2" fillId="0" borderId="2" xfId="0" applyNumberFormat="1" applyFont="1" applyBorder="1"/>
    <xf numFmtId="0" fontId="2" fillId="0" borderId="3" xfId="0" applyFont="1" applyBorder="1" applyAlignment="1"/>
    <xf numFmtId="0" fontId="2" fillId="0" borderId="2" xfId="0" applyFont="1" applyBorder="1" applyAlignment="1"/>
    <xf numFmtId="0" fontId="2" fillId="0" borderId="3" xfId="0" applyFont="1" applyFill="1" applyBorder="1"/>
    <xf numFmtId="44" fontId="2" fillId="0" borderId="2" xfId="2" applyFont="1" applyFill="1" applyBorder="1"/>
    <xf numFmtId="0" fontId="2" fillId="0" borderId="10" xfId="0" applyFont="1" applyFill="1" applyBorder="1"/>
    <xf numFmtId="0" fontId="2" fillId="0" borderId="11" xfId="0" applyFont="1" applyBorder="1" applyAlignment="1">
      <alignment horizontal="right"/>
    </xf>
    <xf numFmtId="44" fontId="2" fillId="3" borderId="13" xfId="2" applyFont="1" applyFill="1" applyBorder="1"/>
    <xf numFmtId="0" fontId="2" fillId="0" borderId="13" xfId="0" applyFont="1" applyBorder="1" applyAlignment="1">
      <alignment horizontal="right"/>
    </xf>
    <xf numFmtId="0" fontId="2" fillId="0" borderId="13" xfId="0" applyFont="1" applyFill="1" applyBorder="1"/>
    <xf numFmtId="0" fontId="2" fillId="0" borderId="14" xfId="0" applyFont="1" applyFill="1" applyBorder="1"/>
    <xf numFmtId="0" fontId="2" fillId="0" borderId="2" xfId="0" applyFont="1" applyBorder="1" applyAlignment="1">
      <alignment horizontal="right"/>
    </xf>
    <xf numFmtId="0" fontId="2" fillId="0" borderId="14" xfId="0" applyFont="1" applyBorder="1"/>
    <xf numFmtId="166" fontId="2" fillId="0" borderId="10" xfId="0" applyNumberFormat="1" applyFont="1" applyBorder="1"/>
    <xf numFmtId="167" fontId="2" fillId="3" borderId="10" xfId="0" applyNumberFormat="1" applyFont="1" applyFill="1" applyBorder="1"/>
    <xf numFmtId="44" fontId="2" fillId="3" borderId="14" xfId="2" applyFont="1" applyFill="1" applyBorder="1"/>
    <xf numFmtId="166" fontId="2" fillId="0" borderId="2" xfId="0" applyNumberFormat="1" applyFont="1" applyBorder="1"/>
    <xf numFmtId="167" fontId="2" fillId="0" borderId="2" xfId="2" applyNumberFormat="1" applyFont="1" applyBorder="1"/>
    <xf numFmtId="166" fontId="2" fillId="0" borderId="2" xfId="2" applyNumberFormat="1" applyFont="1" applyBorder="1" applyAlignment="1"/>
    <xf numFmtId="0" fontId="2" fillId="0" borderId="10" xfId="0" applyFont="1" applyBorder="1" applyAlignment="1"/>
    <xf numFmtId="0" fontId="2" fillId="0" borderId="3" xfId="0" applyFont="1" applyBorder="1" applyAlignment="1">
      <alignment horizontal="right"/>
    </xf>
    <xf numFmtId="0" fontId="2" fillId="0" borderId="3" xfId="0" applyFont="1" applyBorder="1" applyAlignment="1">
      <alignment horizontal="left"/>
    </xf>
    <xf numFmtId="0" fontId="2" fillId="0" borderId="2" xfId="0" applyFont="1" applyFill="1" applyBorder="1" applyAlignment="1"/>
    <xf numFmtId="44" fontId="2" fillId="0" borderId="10" xfId="0" applyNumberFormat="1" applyFont="1" applyBorder="1" applyAlignment="1"/>
    <xf numFmtId="44" fontId="2" fillId="4" borderId="10" xfId="0" applyNumberFormat="1" applyFont="1" applyFill="1" applyBorder="1"/>
    <xf numFmtId="10" fontId="2" fillId="4" borderId="10" xfId="3" applyNumberFormat="1" applyFont="1" applyFill="1" applyBorder="1"/>
    <xf numFmtId="167" fontId="2" fillId="0" borderId="10" xfId="2" applyNumberFormat="1" applyFont="1" applyBorder="1"/>
    <xf numFmtId="166" fontId="2" fillId="0" borderId="10" xfId="2" applyNumberFormat="1" applyFont="1" applyBorder="1" applyAlignment="1"/>
    <xf numFmtId="166" fontId="2" fillId="0" borderId="10" xfId="2" applyNumberFormat="1" applyFont="1" applyBorder="1"/>
    <xf numFmtId="166" fontId="2" fillId="3" borderId="10" xfId="2" applyNumberFormat="1" applyFont="1" applyFill="1" applyBorder="1"/>
    <xf numFmtId="10" fontId="2" fillId="3" borderId="10" xfId="0" applyNumberFormat="1" applyFont="1" applyFill="1" applyBorder="1"/>
    <xf numFmtId="167" fontId="2" fillId="0" borderId="10" xfId="0" applyNumberFormat="1" applyFont="1" applyFill="1" applyBorder="1"/>
    <xf numFmtId="166" fontId="2" fillId="0" borderId="0" xfId="0" applyNumberFormat="1" applyFont="1" applyAlignment="1"/>
    <xf numFmtId="44" fontId="2" fillId="0" borderId="10" xfId="2" applyNumberFormat="1" applyFont="1" applyBorder="1" applyAlignment="1"/>
    <xf numFmtId="167" fontId="2" fillId="0" borderId="2" xfId="2" applyNumberFormat="1" applyFont="1" applyFill="1" applyBorder="1"/>
    <xf numFmtId="0" fontId="2" fillId="0" borderId="2" xfId="0" applyFont="1" applyFill="1" applyBorder="1" applyAlignment="1">
      <alignment horizontal="right"/>
    </xf>
    <xf numFmtId="167" fontId="2" fillId="0" borderId="2" xfId="0" applyNumberFormat="1" applyFont="1" applyFill="1" applyBorder="1"/>
    <xf numFmtId="166" fontId="2" fillId="0" borderId="10" xfId="0" applyNumberFormat="1" applyFont="1" applyBorder="1" applyAlignment="1"/>
    <xf numFmtId="168" fontId="2" fillId="0" borderId="10" xfId="0" applyNumberFormat="1" applyFont="1" applyBorder="1" applyAlignment="1"/>
    <xf numFmtId="44" fontId="2" fillId="3" borderId="14" xfId="2" applyNumberFormat="1" applyFont="1" applyFill="1" applyBorder="1"/>
    <xf numFmtId="44" fontId="2" fillId="0" borderId="10" xfId="2" applyFont="1" applyBorder="1"/>
    <xf numFmtId="9" fontId="2" fillId="0" borderId="10" xfId="3" applyFont="1" applyBorder="1" applyAlignment="1"/>
    <xf numFmtId="0" fontId="2" fillId="0" borderId="3" xfId="0" applyNumberFormat="1" applyFont="1" applyBorder="1"/>
    <xf numFmtId="0" fontId="2" fillId="0" borderId="2" xfId="0" applyNumberFormat="1" applyFont="1" applyBorder="1"/>
    <xf numFmtId="0" fontId="2" fillId="0" borderId="2" xfId="0" applyNumberFormat="1" applyFont="1" applyBorder="1" applyAlignment="1">
      <alignment horizontal="right"/>
    </xf>
    <xf numFmtId="0" fontId="2" fillId="0" borderId="11" xfId="0" applyNumberFormat="1" applyFont="1" applyBorder="1"/>
    <xf numFmtId="0" fontId="2" fillId="0" borderId="13" xfId="0" applyNumberFormat="1" applyFont="1" applyBorder="1"/>
    <xf numFmtId="0" fontId="2" fillId="0" borderId="10" xfId="0" applyNumberFormat="1" applyFont="1" applyBorder="1"/>
    <xf numFmtId="44" fontId="2" fillId="0" borderId="10" xfId="2" applyFont="1" applyFill="1" applyBorder="1"/>
    <xf numFmtId="44" fontId="2" fillId="4" borderId="14" xfId="0" applyNumberFormat="1" applyFont="1" applyFill="1" applyBorder="1"/>
    <xf numFmtId="168" fontId="2" fillId="0" borderId="2" xfId="0" applyNumberFormat="1" applyFont="1" applyBorder="1" applyAlignment="1"/>
    <xf numFmtId="0" fontId="2" fillId="0" borderId="3" xfId="0" applyNumberFormat="1" applyFont="1" applyFill="1" applyBorder="1"/>
    <xf numFmtId="0" fontId="2" fillId="0" borderId="13" xfId="0" applyNumberFormat="1" applyFont="1" applyFill="1" applyBorder="1"/>
    <xf numFmtId="0" fontId="2" fillId="0" borderId="11" xfId="0" applyNumberFormat="1" applyFont="1" applyFill="1" applyBorder="1"/>
    <xf numFmtId="0" fontId="2" fillId="0" borderId="2" xfId="0" applyNumberFormat="1" applyFont="1" applyFill="1" applyBorder="1"/>
    <xf numFmtId="44" fontId="2" fillId="0" borderId="2" xfId="0" applyNumberFormat="1" applyFont="1" applyFill="1" applyBorder="1"/>
    <xf numFmtId="166" fontId="2" fillId="0" borderId="2" xfId="2" applyNumberFormat="1" applyFont="1" applyFill="1" applyBorder="1"/>
    <xf numFmtId="44" fontId="2" fillId="0" borderId="13" xfId="0" applyNumberFormat="1" applyFont="1" applyFill="1" applyBorder="1"/>
    <xf numFmtId="0" fontId="2" fillId="0" borderId="10" xfId="0" applyNumberFormat="1" applyFont="1" applyFill="1" applyBorder="1"/>
    <xf numFmtId="0" fontId="7" fillId="0" borderId="2" xfId="0" applyFont="1" applyFill="1" applyBorder="1"/>
    <xf numFmtId="164" fontId="2" fillId="0" borderId="2" xfId="0" applyNumberFormat="1" applyFont="1" applyFill="1" applyBorder="1"/>
    <xf numFmtId="44" fontId="2" fillId="0" borderId="2" xfId="2" applyFont="1" applyBorder="1" applyAlignment="1"/>
    <xf numFmtId="44" fontId="2" fillId="0" borderId="2" xfId="2" applyNumberFormat="1" applyFont="1" applyFill="1" applyBorder="1"/>
    <xf numFmtId="0" fontId="2" fillId="0" borderId="18" xfId="0" applyFont="1" applyBorder="1"/>
    <xf numFmtId="44" fontId="2" fillId="0" borderId="19" xfId="2" applyFont="1" applyBorder="1"/>
    <xf numFmtId="0" fontId="2" fillId="0" borderId="19" xfId="0" applyFont="1" applyBorder="1"/>
    <xf numFmtId="0" fontId="2" fillId="0" borderId="28" xfId="0" applyFont="1" applyBorder="1"/>
    <xf numFmtId="0" fontId="2" fillId="0" borderId="10" xfId="2" applyNumberFormat="1" applyFont="1" applyFill="1" applyBorder="1"/>
    <xf numFmtId="0" fontId="2" fillId="0" borderId="2" xfId="0" applyNumberFormat="1" applyFont="1" applyBorder="1" applyAlignment="1"/>
    <xf numFmtId="166" fontId="2" fillId="3" borderId="14" xfId="2" applyNumberFormat="1" applyFont="1" applyFill="1" applyBorder="1"/>
    <xf numFmtId="0" fontId="2" fillId="0" borderId="0" xfId="0" applyNumberFormat="1" applyFont="1" applyAlignment="1"/>
    <xf numFmtId="0" fontId="2" fillId="0" borderId="0" xfId="0" applyNumberFormat="1" applyFont="1" applyAlignment="1">
      <alignment wrapText="1"/>
    </xf>
    <xf numFmtId="0" fontId="2" fillId="0" borderId="2" xfId="2" applyNumberFormat="1" applyFont="1" applyBorder="1"/>
    <xf numFmtId="0" fontId="2" fillId="0" borderId="3" xfId="0" applyNumberFormat="1" applyFont="1" applyBorder="1" applyAlignment="1"/>
    <xf numFmtId="0" fontId="2" fillId="0" borderId="2" xfId="2" applyNumberFormat="1" applyFont="1" applyFill="1" applyBorder="1"/>
    <xf numFmtId="0" fontId="2" fillId="0" borderId="11" xfId="0" applyNumberFormat="1" applyFont="1" applyBorder="1" applyAlignment="1">
      <alignment horizontal="right"/>
    </xf>
    <xf numFmtId="0" fontId="2" fillId="0" borderId="13" xfId="0" applyNumberFormat="1" applyFont="1" applyBorder="1" applyAlignment="1">
      <alignment horizontal="right"/>
    </xf>
    <xf numFmtId="0" fontId="2" fillId="0" borderId="14" xfId="0" applyNumberFormat="1" applyFont="1" applyFill="1" applyBorder="1"/>
    <xf numFmtId="0" fontId="2" fillId="0" borderId="18" xfId="0" applyNumberFormat="1" applyFont="1" applyBorder="1"/>
    <xf numFmtId="0" fontId="2" fillId="0" borderId="19" xfId="0" applyNumberFormat="1" applyFont="1" applyBorder="1"/>
    <xf numFmtId="0" fontId="2" fillId="0" borderId="28" xfId="0" applyNumberFormat="1" applyFont="1" applyBorder="1"/>
    <xf numFmtId="0" fontId="2" fillId="0" borderId="10" xfId="0" applyNumberFormat="1" applyFont="1" applyBorder="1" applyAlignment="1"/>
    <xf numFmtId="0" fontId="2" fillId="0" borderId="14" xfId="0" applyNumberFormat="1" applyFont="1" applyBorder="1"/>
    <xf numFmtId="0" fontId="2" fillId="0" borderId="10" xfId="2" applyNumberFormat="1" applyFont="1" applyBorder="1"/>
    <xf numFmtId="0" fontId="2" fillId="0" borderId="3" xfId="0" applyNumberFormat="1" applyFont="1" applyBorder="1" applyAlignment="1">
      <alignment horizontal="right"/>
    </xf>
    <xf numFmtId="0" fontId="2" fillId="0" borderId="3" xfId="0" applyNumberFormat="1" applyFont="1" applyBorder="1" applyAlignment="1">
      <alignment horizontal="left"/>
    </xf>
    <xf numFmtId="0" fontId="2" fillId="0" borderId="2" xfId="0" applyNumberFormat="1" applyFont="1" applyFill="1" applyBorder="1" applyAlignment="1">
      <alignment horizontal="right"/>
    </xf>
    <xf numFmtId="0" fontId="2" fillId="0" borderId="0" xfId="0" applyNumberFormat="1" applyFont="1"/>
    <xf numFmtId="0" fontId="2" fillId="0" borderId="2" xfId="0" applyNumberFormat="1" applyFont="1" applyFill="1" applyBorder="1" applyAlignment="1"/>
    <xf numFmtId="0" fontId="7" fillId="0" borderId="2" xfId="0" applyNumberFormat="1" applyFont="1" applyFill="1" applyBorder="1"/>
    <xf numFmtId="0" fontId="2" fillId="0" borderId="3" xfId="0" applyNumberFormat="1" applyFont="1" applyFill="1" applyBorder="1" applyAlignment="1">
      <alignment horizontal="right"/>
    </xf>
    <xf numFmtId="0" fontId="2" fillId="0" borderId="13" xfId="0" applyNumberFormat="1" applyFont="1" applyFill="1" applyBorder="1" applyAlignment="1">
      <alignment horizontal="right"/>
    </xf>
    <xf numFmtId="0" fontId="7" fillId="0" borderId="2" xfId="0" applyFont="1" applyBorder="1" applyAlignment="1"/>
    <xf numFmtId="10" fontId="2" fillId="0" borderId="2" xfId="3" applyNumberFormat="1" applyFont="1" applyBorder="1" applyAlignment="1"/>
    <xf numFmtId="167" fontId="2" fillId="0" borderId="2" xfId="0" applyNumberFormat="1" applyFont="1" applyBorder="1" applyAlignment="1"/>
    <xf numFmtId="10" fontId="2" fillId="0" borderId="0" xfId="3" applyNumberFormat="1" applyFont="1" applyAlignment="1"/>
    <xf numFmtId="44" fontId="2" fillId="0" borderId="2" xfId="2" applyFont="1" applyBorder="1" applyAlignment="1">
      <alignment horizontal="right"/>
    </xf>
    <xf numFmtId="0" fontId="7" fillId="0" borderId="0" xfId="0" applyFont="1" applyAlignment="1"/>
    <xf numFmtId="0" fontId="2" fillId="0" borderId="11" xfId="0" applyNumberFormat="1" applyFont="1" applyBorder="1" applyAlignment="1">
      <alignment horizontal="right"/>
    </xf>
    <xf numFmtId="0" fontId="16" fillId="0" borderId="0" xfId="0" applyFont="1"/>
    <xf numFmtId="176" fontId="7" fillId="3" borderId="14" xfId="2" applyNumberFormat="1" applyFont="1" applyFill="1" applyBorder="1"/>
    <xf numFmtId="44" fontId="2" fillId="0" borderId="2" xfId="2" applyNumberFormat="1" applyFont="1" applyBorder="1"/>
    <xf numFmtId="0" fontId="7" fillId="0" borderId="2" xfId="0" applyNumberFormat="1" applyFont="1" applyBorder="1"/>
    <xf numFmtId="0" fontId="7" fillId="0" borderId="3" xfId="0" applyNumberFormat="1" applyFont="1" applyBorder="1"/>
    <xf numFmtId="176" fontId="7" fillId="3" borderId="13" xfId="2" applyNumberFormat="1" applyFont="1" applyFill="1" applyBorder="1"/>
    <xf numFmtId="166" fontId="7" fillId="3" borderId="13" xfId="2" applyNumberFormat="1" applyFont="1" applyFill="1" applyBorder="1"/>
    <xf numFmtId="4" fontId="2" fillId="0" borderId="3" xfId="0" applyNumberFormat="1" applyFont="1" applyBorder="1"/>
    <xf numFmtId="176" fontId="2" fillId="0" borderId="19" xfId="2" applyNumberFormat="1" applyFont="1" applyBorder="1"/>
    <xf numFmtId="176" fontId="2" fillId="0" borderId="2" xfId="2" applyNumberFormat="1" applyFont="1" applyBorder="1"/>
    <xf numFmtId="176" fontId="2" fillId="0" borderId="2" xfId="2" applyNumberFormat="1" applyFont="1" applyBorder="1" applyAlignment="1"/>
    <xf numFmtId="176" fontId="7" fillId="3" borderId="10" xfId="2" applyNumberFormat="1" applyFont="1" applyFill="1" applyBorder="1"/>
    <xf numFmtId="10" fontId="7" fillId="4" borderId="10" xfId="3" applyNumberFormat="1" applyFont="1" applyFill="1" applyBorder="1"/>
    <xf numFmtId="167" fontId="7" fillId="3" borderId="10" xfId="0" applyNumberFormat="1" applyFont="1" applyFill="1" applyBorder="1"/>
    <xf numFmtId="166" fontId="7" fillId="3" borderId="14" xfId="2" applyNumberFormat="1" applyFont="1" applyFill="1" applyBorder="1"/>
    <xf numFmtId="166" fontId="7" fillId="3" borderId="10" xfId="2" applyNumberFormat="1" applyFont="1" applyFill="1" applyBorder="1"/>
    <xf numFmtId="10" fontId="7" fillId="3" borderId="10" xfId="3" applyNumberFormat="1" applyFont="1" applyFill="1" applyBorder="1"/>
    <xf numFmtId="168" fontId="2" fillId="0" borderId="3" xfId="0" applyNumberFormat="1" applyFont="1" applyBorder="1" applyAlignment="1"/>
    <xf numFmtId="166" fontId="2" fillId="0" borderId="3" xfId="0" applyNumberFormat="1" applyFont="1" applyBorder="1" applyAlignment="1"/>
    <xf numFmtId="166" fontId="2" fillId="0" borderId="10" xfId="3" applyNumberFormat="1" applyFont="1" applyBorder="1" applyAlignment="1"/>
    <xf numFmtId="172" fontId="2" fillId="0" borderId="10" xfId="2" applyNumberFormat="1" applyFont="1" applyBorder="1"/>
    <xf numFmtId="176" fontId="2" fillId="0" borderId="2" xfId="0" applyNumberFormat="1" applyFont="1" applyBorder="1" applyAlignment="1"/>
    <xf numFmtId="166" fontId="7" fillId="4" borderId="14" xfId="2" applyNumberFormat="1" applyFont="1" applyFill="1" applyBorder="1"/>
    <xf numFmtId="166" fontId="7" fillId="4" borderId="14" xfId="0" applyNumberFormat="1" applyFont="1" applyFill="1" applyBorder="1"/>
    <xf numFmtId="172" fontId="2" fillId="0" borderId="2" xfId="0" applyNumberFormat="1" applyFont="1" applyBorder="1" applyAlignment="1"/>
    <xf numFmtId="166" fontId="2" fillId="0" borderId="2" xfId="0" applyNumberFormat="1" applyFont="1" applyBorder="1" applyAlignment="1"/>
    <xf numFmtId="0" fontId="17" fillId="0" borderId="2" xfId="0" applyNumberFormat="1" applyFont="1" applyBorder="1"/>
    <xf numFmtId="166" fontId="17" fillId="0" borderId="10" xfId="0" applyNumberFormat="1" applyFont="1" applyBorder="1"/>
    <xf numFmtId="0" fontId="2" fillId="0" borderId="10" xfId="3" applyNumberFormat="1" applyFont="1" applyBorder="1" applyAlignment="1"/>
    <xf numFmtId="167" fontId="2" fillId="0" borderId="2" xfId="0" applyNumberFormat="1" applyFont="1" applyBorder="1"/>
    <xf numFmtId="176" fontId="2" fillId="0" borderId="10" xfId="0" applyNumberFormat="1" applyFont="1" applyBorder="1" applyAlignment="1"/>
    <xf numFmtId="176" fontId="2" fillId="0" borderId="10" xfId="0" applyNumberFormat="1" applyFont="1" applyBorder="1"/>
    <xf numFmtId="10" fontId="2" fillId="0" borderId="10" xfId="0" applyNumberFormat="1" applyFont="1" applyBorder="1"/>
    <xf numFmtId="166" fontId="2" fillId="0" borderId="10" xfId="0" applyNumberFormat="1" applyFont="1" applyFill="1" applyBorder="1"/>
    <xf numFmtId="176" fontId="2" fillId="0" borderId="10" xfId="2" applyNumberFormat="1" applyFont="1" applyBorder="1"/>
    <xf numFmtId="166" fontId="2" fillId="0" borderId="2" xfId="0" applyNumberFormat="1" applyFont="1" applyBorder="1" applyAlignment="1">
      <alignment horizontal="center"/>
    </xf>
    <xf numFmtId="0" fontId="7" fillId="0" borderId="11" xfId="0" applyNumberFormat="1" applyFont="1" applyFill="1" applyBorder="1"/>
    <xf numFmtId="0" fontId="14" fillId="0" borderId="0" xfId="0" applyFont="1" applyAlignment="1">
      <alignment horizontal="center" vertical="center"/>
    </xf>
    <xf numFmtId="0" fontId="15" fillId="6" borderId="0" xfId="0" applyFont="1" applyFill="1" applyAlignment="1">
      <alignment horizontal="center"/>
    </xf>
    <xf numFmtId="0" fontId="6" fillId="0" borderId="2" xfId="0" applyFont="1" applyBorder="1" applyAlignment="1">
      <alignment horizontal="center" vertical="center"/>
    </xf>
    <xf numFmtId="0" fontId="12" fillId="0" borderId="0" xfId="0" applyFont="1" applyAlignment="1">
      <alignment horizontal="center"/>
    </xf>
    <xf numFmtId="0" fontId="12" fillId="4" borderId="2" xfId="0" applyFont="1" applyFill="1" applyBorder="1" applyAlignment="1">
      <alignment horizontal="center"/>
    </xf>
    <xf numFmtId="0" fontId="6" fillId="0" borderId="0" xfId="0" applyFont="1" applyAlignment="1">
      <alignment vertical="center"/>
    </xf>
    <xf numFmtId="0" fontId="3" fillId="0" borderId="0" xfId="0" applyFont="1" applyAlignment="1">
      <alignment horizontal="center" vertical="center"/>
    </xf>
    <xf numFmtId="0" fontId="2" fillId="0" borderId="0" xfId="0" applyFont="1" applyAlignment="1"/>
    <xf numFmtId="0" fontId="7" fillId="0" borderId="0" xfId="0" applyFont="1" applyAlignment="1">
      <alignment horizontal="center"/>
    </xf>
    <xf numFmtId="0" fontId="9" fillId="0" borderId="0" xfId="0" applyFont="1" applyAlignment="1">
      <alignment horizontal="left" wrapText="1"/>
    </xf>
    <xf numFmtId="0" fontId="9" fillId="0" borderId="0" xfId="0" applyFont="1" applyAlignment="1"/>
    <xf numFmtId="0" fontId="2" fillId="0" borderId="2" xfId="0" applyFont="1" applyBorder="1" applyAlignment="1">
      <alignment horizontal="center"/>
    </xf>
    <xf numFmtId="0" fontId="9" fillId="0" borderId="0" xfId="0" applyFont="1" applyAlignment="1">
      <alignment horizontal="left"/>
    </xf>
    <xf numFmtId="0" fontId="8" fillId="0" borderId="0" xfId="0" applyFont="1" applyAlignment="1">
      <alignment horizontal="left" vertical="center"/>
    </xf>
    <xf numFmtId="0" fontId="2" fillId="2" borderId="15" xfId="0" applyNumberFormat="1" applyFont="1" applyFill="1" applyBorder="1" applyAlignment="1">
      <alignment horizontal="center"/>
    </xf>
    <xf numFmtId="0" fontId="2" fillId="2" borderId="16" xfId="0" applyNumberFormat="1" applyFont="1" applyFill="1" applyBorder="1" applyAlignment="1">
      <alignment horizontal="center"/>
    </xf>
    <xf numFmtId="0" fontId="2" fillId="2" borderId="17" xfId="0" applyNumberFormat="1" applyFont="1" applyFill="1" applyBorder="1" applyAlignment="1">
      <alignment horizontal="center"/>
    </xf>
    <xf numFmtId="0" fontId="13" fillId="5" borderId="0" xfId="0" applyFont="1" applyFill="1" applyAlignment="1">
      <alignment horizontal="center"/>
    </xf>
    <xf numFmtId="0" fontId="2" fillId="2" borderId="25" xfId="0" applyNumberFormat="1" applyFont="1" applyFill="1" applyBorder="1" applyAlignment="1">
      <alignment horizontal="center"/>
    </xf>
    <xf numFmtId="0" fontId="2" fillId="2" borderId="26" xfId="0" applyNumberFormat="1" applyFont="1" applyFill="1" applyBorder="1" applyAlignment="1">
      <alignment horizontal="center"/>
    </xf>
    <xf numFmtId="0" fontId="2" fillId="2" borderId="27" xfId="0" applyNumberFormat="1" applyFont="1" applyFill="1" applyBorder="1" applyAlignment="1">
      <alignment horizontal="center"/>
    </xf>
    <xf numFmtId="0" fontId="2" fillId="0" borderId="13" xfId="0" applyNumberFormat="1" applyFont="1" applyBorder="1" applyAlignment="1">
      <alignment horizontal="right"/>
    </xf>
    <xf numFmtId="0" fontId="10" fillId="0" borderId="2" xfId="0" applyFont="1" applyBorder="1" applyAlignment="1">
      <alignment horizontal="center" vertical="center" wrapText="1"/>
    </xf>
    <xf numFmtId="0" fontId="10" fillId="0" borderId="13" xfId="0" applyFont="1" applyBorder="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2" fillId="0" borderId="0" xfId="0" applyFont="1" applyAlignment="1">
      <alignment horizontal="left"/>
    </xf>
    <xf numFmtId="0" fontId="2" fillId="0" borderId="0" xfId="0" applyFont="1" applyAlignment="1">
      <alignment horizontal="left" vertical="center"/>
    </xf>
    <xf numFmtId="0" fontId="2" fillId="0" borderId="11" xfId="0" applyNumberFormat="1" applyFont="1" applyBorder="1" applyAlignment="1">
      <alignment horizontal="right"/>
    </xf>
    <xf numFmtId="0" fontId="7" fillId="5" borderId="2" xfId="0" applyFont="1" applyFill="1" applyBorder="1" applyAlignment="1">
      <alignment horizontal="center"/>
    </xf>
    <xf numFmtId="49" fontId="5" fillId="0" borderId="0" xfId="0" applyNumberFormat="1" applyFont="1" applyAlignment="1">
      <alignment horizontal="center"/>
    </xf>
    <xf numFmtId="0" fontId="2" fillId="2" borderId="18" xfId="0" applyNumberFormat="1" applyFont="1" applyFill="1" applyBorder="1" applyAlignment="1">
      <alignment horizontal="center"/>
    </xf>
    <xf numFmtId="0" fontId="2" fillId="2" borderId="19" xfId="0" applyNumberFormat="1" applyFont="1" applyFill="1" applyBorder="1" applyAlignment="1">
      <alignment horizontal="center"/>
    </xf>
    <xf numFmtId="0" fontId="2" fillId="2" borderId="28" xfId="0" applyNumberFormat="1" applyFont="1" applyFill="1" applyBorder="1" applyAlignment="1">
      <alignment horizontal="center"/>
    </xf>
    <xf numFmtId="0" fontId="13" fillId="0" borderId="0" xfId="0" applyFont="1" applyAlignment="1">
      <alignment horizontal="center"/>
    </xf>
    <xf numFmtId="0" fontId="2" fillId="2" borderId="25" xfId="0" applyFont="1" applyFill="1" applyBorder="1" applyAlignment="1">
      <alignment horizontal="center"/>
    </xf>
    <xf numFmtId="0" fontId="2" fillId="2" borderId="2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8" xfId="0" applyFont="1" applyFill="1" applyBorder="1" applyAlignment="1">
      <alignment horizontal="center"/>
    </xf>
    <xf numFmtId="0" fontId="2" fillId="2" borderId="26"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2" fillId="2" borderId="25" xfId="0" applyFont="1" applyFill="1" applyBorder="1" applyAlignment="1"/>
    <xf numFmtId="0" fontId="2" fillId="2" borderId="26" xfId="0" applyFont="1" applyFill="1" applyBorder="1" applyAlignment="1"/>
    <xf numFmtId="0" fontId="2" fillId="2" borderId="27" xfId="0" applyFont="1" applyFill="1" applyBorder="1" applyAlignment="1"/>
    <xf numFmtId="0" fontId="7" fillId="0" borderId="2" xfId="0" applyFont="1" applyBorder="1" applyAlignment="1">
      <alignment horizontal="center"/>
    </xf>
    <xf numFmtId="0" fontId="2" fillId="0" borderId="13" xfId="0" applyFont="1" applyBorder="1" applyAlignment="1">
      <alignment horizontal="right"/>
    </xf>
  </cellXfs>
  <cellStyles count="4">
    <cellStyle name="Monétaire" xfId="2" builtinId="4"/>
    <cellStyle name="Normal" xfId="0" builtinId="0"/>
    <cellStyle name="Normal 2" xfId="1" xr:uid="{59F004E8-D32D-3342-B795-0700449F4FE1}"/>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6A0-4517-B04B-B07A-1E9215923ED6}">
  <sheetPr codeName="Feuil1"/>
  <dimension ref="A1:O23"/>
  <sheetViews>
    <sheetView workbookViewId="0">
      <selection activeCell="E26" sqref="E26"/>
    </sheetView>
  </sheetViews>
  <sheetFormatPr baseColWidth="10" defaultRowHeight="14"/>
  <sheetData>
    <row r="1" spans="1:15" ht="30" customHeight="1">
      <c r="A1" s="205" t="s">
        <v>68</v>
      </c>
      <c r="B1" s="205"/>
      <c r="C1" s="205"/>
      <c r="D1" s="205"/>
      <c r="E1" s="205"/>
      <c r="F1" s="205"/>
      <c r="G1" s="205"/>
    </row>
    <row r="2" spans="1:15" ht="30" customHeight="1">
      <c r="A2" s="205"/>
      <c r="B2" s="205"/>
      <c r="C2" s="205"/>
      <c r="D2" s="205"/>
      <c r="E2" s="205"/>
      <c r="F2" s="205"/>
      <c r="G2" s="205"/>
    </row>
    <row r="4" spans="1:15">
      <c r="A4" s="61" t="s">
        <v>73</v>
      </c>
    </row>
    <row r="5" spans="1:15">
      <c r="A5" s="61" t="s">
        <v>69</v>
      </c>
    </row>
    <row r="6" spans="1:15">
      <c r="A6" s="61" t="s">
        <v>70</v>
      </c>
    </row>
    <row r="7" spans="1:15">
      <c r="A7" s="210" t="s">
        <v>72</v>
      </c>
      <c r="B7" s="209" t="s">
        <v>157</v>
      </c>
      <c r="C7" s="209"/>
      <c r="D7" s="209"/>
      <c r="E7" s="209"/>
      <c r="G7" s="207" t="s">
        <v>71</v>
      </c>
      <c r="H7" s="207"/>
      <c r="I7" s="207"/>
      <c r="J7" s="207"/>
    </row>
    <row r="8" spans="1:15">
      <c r="A8" s="210"/>
      <c r="B8" s="209"/>
      <c r="C8" s="209"/>
      <c r="D8" s="209"/>
      <c r="E8" s="209"/>
      <c r="G8" s="207"/>
      <c r="H8" s="207"/>
      <c r="I8" s="207"/>
      <c r="J8" s="207"/>
    </row>
    <row r="9" spans="1:15" ht="14" customHeight="1">
      <c r="A9" s="208" t="s">
        <v>151</v>
      </c>
      <c r="B9" s="208"/>
      <c r="C9" s="208"/>
      <c r="D9" s="208"/>
      <c r="E9" s="208"/>
      <c r="F9" s="208"/>
      <c r="G9" s="208"/>
      <c r="H9" s="208"/>
      <c r="I9" s="208"/>
      <c r="J9" s="208"/>
      <c r="K9" s="208"/>
      <c r="L9" s="208"/>
      <c r="M9" s="208"/>
      <c r="N9" s="208"/>
      <c r="O9" s="208"/>
    </row>
    <row r="10" spans="1:15" ht="14" customHeight="1">
      <c r="A10" s="208"/>
      <c r="B10" s="208"/>
      <c r="C10" s="208"/>
      <c r="D10" s="208"/>
      <c r="E10" s="208"/>
      <c r="F10" s="208"/>
      <c r="G10" s="208"/>
      <c r="H10" s="208"/>
      <c r="I10" s="208"/>
      <c r="J10" s="208"/>
      <c r="K10" s="208"/>
      <c r="L10" s="208"/>
      <c r="M10" s="208"/>
      <c r="N10" s="208"/>
      <c r="O10" s="208"/>
    </row>
    <row r="12" spans="1:15">
      <c r="A12" s="61" t="s">
        <v>74</v>
      </c>
    </row>
    <row r="13" spans="1:15">
      <c r="A13" s="63" t="s">
        <v>154</v>
      </c>
    </row>
    <row r="14" spans="1:15">
      <c r="A14" s="63" t="s">
        <v>155</v>
      </c>
      <c r="F14" s="62"/>
    </row>
    <row r="15" spans="1:15">
      <c r="A15" s="63" t="s">
        <v>156</v>
      </c>
    </row>
    <row r="16" spans="1:15">
      <c r="A16" s="63" t="s">
        <v>152</v>
      </c>
    </row>
    <row r="17" spans="1:6">
      <c r="A17" s="63" t="s">
        <v>153</v>
      </c>
    </row>
    <row r="19" spans="1:6">
      <c r="A19" s="61" t="s">
        <v>75</v>
      </c>
    </row>
    <row r="20" spans="1:6">
      <c r="A20" s="61"/>
    </row>
    <row r="21" spans="1:6">
      <c r="A21" s="206" t="s">
        <v>150</v>
      </c>
      <c r="B21" s="206"/>
      <c r="C21" s="206"/>
      <c r="D21" s="206"/>
      <c r="E21" s="206"/>
      <c r="F21" s="206"/>
    </row>
    <row r="23" spans="1:6">
      <c r="A23" s="61" t="s">
        <v>76</v>
      </c>
    </row>
  </sheetData>
  <mergeCells count="6">
    <mergeCell ref="A1:G2"/>
    <mergeCell ref="A21:F21"/>
    <mergeCell ref="G7:J8"/>
    <mergeCell ref="A9:O10"/>
    <mergeCell ref="B7:E8"/>
    <mergeCell ref="A7: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T1023"/>
  <sheetViews>
    <sheetView tabSelected="1" topLeftCell="H60" workbookViewId="0">
      <selection activeCell="H55" sqref="H55"/>
    </sheetView>
  </sheetViews>
  <sheetFormatPr baseColWidth="10" defaultColWidth="12.6640625" defaultRowHeight="15" customHeight="1"/>
  <cols>
    <col min="1" max="2" width="10" style="7" customWidth="1"/>
    <col min="3" max="3" width="12" style="7" customWidth="1"/>
    <col min="4" max="4" width="12.5" style="7" bestFit="1" customWidth="1"/>
    <col min="5" max="6" width="13.1640625" style="7" bestFit="1" customWidth="1"/>
    <col min="7" max="7" width="7.83203125" style="7" customWidth="1"/>
    <col min="8" max="8" width="15.1640625" style="7" customWidth="1"/>
    <col min="9" max="9" width="10" style="7" customWidth="1"/>
    <col min="10" max="10" width="22.83203125" style="7" customWidth="1"/>
    <col min="11" max="11" width="17" style="7" customWidth="1"/>
    <col min="12" max="12" width="22.5" style="7" bestFit="1" customWidth="1"/>
    <col min="13" max="13" width="18.33203125" style="7" bestFit="1" customWidth="1"/>
    <col min="14" max="14" width="19.33203125" style="7" bestFit="1" customWidth="1"/>
    <col min="15" max="15" width="14.83203125" style="7" bestFit="1" customWidth="1"/>
    <col min="16" max="16" width="18" style="7" bestFit="1" customWidth="1"/>
    <col min="17" max="17" width="15" style="7" bestFit="1" customWidth="1"/>
    <col min="18" max="26" width="10" style="7" customWidth="1"/>
    <col min="27" max="16384" width="12.6640625" style="7"/>
  </cols>
  <sheetData>
    <row r="1" spans="1:20" ht="14.25" customHeight="1">
      <c r="A1" s="211" t="s">
        <v>158</v>
      </c>
      <c r="B1" s="212"/>
      <c r="C1" s="212"/>
      <c r="D1" s="212"/>
      <c r="E1" s="212"/>
      <c r="F1" s="212"/>
      <c r="G1" s="212"/>
      <c r="H1" s="6" t="s">
        <v>53</v>
      </c>
      <c r="J1" s="1" t="s">
        <v>37</v>
      </c>
      <c r="K1" s="235" t="s">
        <v>159</v>
      </c>
      <c r="L1" s="235"/>
      <c r="M1" s="2" t="s">
        <v>38</v>
      </c>
      <c r="N1" s="235" t="s">
        <v>160</v>
      </c>
      <c r="O1" s="235"/>
      <c r="P1" s="3" t="s">
        <v>39</v>
      </c>
      <c r="Q1" s="235" t="s">
        <v>161</v>
      </c>
      <c r="R1" s="235"/>
      <c r="S1" s="4" t="s">
        <v>40</v>
      </c>
      <c r="T1" s="168">
        <v>5</v>
      </c>
    </row>
    <row r="2" spans="1:20" ht="14.25" customHeight="1">
      <c r="A2" s="8"/>
      <c r="B2" s="8"/>
      <c r="C2" s="8"/>
      <c r="D2" s="8"/>
      <c r="E2" s="8"/>
      <c r="F2" s="8"/>
      <c r="G2" s="9"/>
    </row>
    <row r="3" spans="1:20" ht="14.25" customHeight="1">
      <c r="A3" s="229" t="s">
        <v>80</v>
      </c>
      <c r="B3" s="229"/>
      <c r="C3" s="229"/>
      <c r="D3" s="229"/>
      <c r="E3" s="229"/>
      <c r="F3" s="229"/>
      <c r="G3" s="229"/>
      <c r="H3" s="229"/>
    </row>
    <row r="4" spans="1:20" ht="16" customHeight="1">
      <c r="A4" s="229"/>
      <c r="B4" s="229"/>
      <c r="C4" s="229"/>
      <c r="D4" s="229"/>
      <c r="E4" s="229"/>
      <c r="F4" s="229"/>
      <c r="G4" s="229"/>
      <c r="H4" s="229"/>
      <c r="J4" s="222" t="s">
        <v>28</v>
      </c>
      <c r="K4" s="222"/>
      <c r="L4" s="222"/>
      <c r="M4" s="222"/>
      <c r="N4" s="222"/>
      <c r="O4" s="222"/>
      <c r="P4" s="222"/>
      <c r="Q4" s="222"/>
    </row>
    <row r="5" spans="1:20" ht="16" customHeight="1" thickBot="1">
      <c r="A5" s="229"/>
      <c r="B5" s="229"/>
      <c r="C5" s="229"/>
      <c r="D5" s="229"/>
      <c r="E5" s="229"/>
      <c r="F5" s="229"/>
      <c r="G5" s="229"/>
      <c r="H5" s="229"/>
    </row>
    <row r="6" spans="1:20" ht="16" customHeight="1" thickBot="1">
      <c r="A6" s="229"/>
      <c r="B6" s="229"/>
      <c r="C6" s="229"/>
      <c r="D6" s="229"/>
      <c r="E6" s="229"/>
      <c r="F6" s="229"/>
      <c r="G6" s="229"/>
      <c r="H6" s="229"/>
      <c r="J6" s="223" t="s">
        <v>94</v>
      </c>
      <c r="K6" s="224"/>
      <c r="L6" s="224"/>
      <c r="M6" s="225"/>
      <c r="N6" s="139"/>
      <c r="O6" s="139"/>
      <c r="P6" s="139"/>
      <c r="Q6" s="139"/>
      <c r="R6" s="139"/>
    </row>
    <row r="7" spans="1:20">
      <c r="A7" s="39"/>
      <c r="J7" s="153" t="s">
        <v>42</v>
      </c>
      <c r="K7" s="64">
        <f>SUM(D10:D21)</f>
        <v>4566965</v>
      </c>
      <c r="L7" s="112"/>
      <c r="M7" s="116"/>
      <c r="N7" s="139"/>
      <c r="O7" s="139"/>
      <c r="P7" s="139"/>
      <c r="Q7" s="139"/>
      <c r="R7" s="139"/>
    </row>
    <row r="8" spans="1:20" ht="14.25" customHeight="1" thickBot="1">
      <c r="B8" s="216" t="s">
        <v>43</v>
      </c>
      <c r="C8" s="216"/>
      <c r="D8" s="216"/>
      <c r="E8" s="216"/>
      <c r="F8" s="216"/>
      <c r="J8" s="153" t="s">
        <v>17</v>
      </c>
      <c r="K8" s="15">
        <f>SUM(C10:C21)</f>
        <v>351305</v>
      </c>
      <c r="L8" s="112"/>
      <c r="M8" s="116"/>
      <c r="N8" s="139"/>
      <c r="O8" s="139"/>
      <c r="P8" s="139"/>
      <c r="Q8" s="139"/>
      <c r="R8" s="139"/>
    </row>
    <row r="9" spans="1:20" ht="14.25" customHeight="1">
      <c r="B9" s="25"/>
      <c r="C9" s="26" t="s">
        <v>17</v>
      </c>
      <c r="D9" s="27" t="s">
        <v>42</v>
      </c>
      <c r="E9" s="28" t="s">
        <v>19</v>
      </c>
      <c r="F9" s="29" t="s">
        <v>20</v>
      </c>
      <c r="J9" s="153"/>
      <c r="K9" s="15"/>
      <c r="L9" s="112"/>
      <c r="M9" s="116"/>
      <c r="N9" s="139"/>
      <c r="O9" s="139"/>
      <c r="P9" s="139"/>
      <c r="Q9" s="139"/>
      <c r="R9" s="140"/>
    </row>
    <row r="10" spans="1:20" ht="14.25" customHeight="1">
      <c r="B10" s="30" t="s">
        <v>0</v>
      </c>
      <c r="C10" s="23">
        <f>Feuil2!C3</f>
        <v>34605</v>
      </c>
      <c r="D10" s="20">
        <f>Feuil2!C3*Feuil2!$C$17</f>
        <v>449865</v>
      </c>
      <c r="E10" s="34">
        <f>Feuil2!E3</f>
        <v>271537.5</v>
      </c>
      <c r="F10" s="35">
        <f>Feuil2!F3</f>
        <v>69210</v>
      </c>
      <c r="J10" s="153"/>
      <c r="K10" s="112"/>
      <c r="L10" s="112"/>
      <c r="M10" s="116"/>
      <c r="N10" s="139"/>
      <c r="O10" s="139"/>
      <c r="P10" s="139"/>
      <c r="Q10" s="139"/>
      <c r="R10" s="140"/>
    </row>
    <row r="11" spans="1:20" ht="14.25" customHeight="1" thickBot="1">
      <c r="B11" s="5" t="s">
        <v>22</v>
      </c>
      <c r="C11" s="23">
        <f>Feuil2!C4</f>
        <v>33200</v>
      </c>
      <c r="D11" s="20">
        <f>Feuil2!C4*Feuil2!$C$17</f>
        <v>431600</v>
      </c>
      <c r="E11" s="34">
        <f>Feuil2!E4</f>
        <v>261000</v>
      </c>
      <c r="F11" s="35">
        <f>Feuil2!F4</f>
        <v>66400</v>
      </c>
      <c r="J11" s="167"/>
      <c r="K11" s="226" t="s">
        <v>44</v>
      </c>
      <c r="L11" s="226"/>
      <c r="M11" s="169">
        <f>K7/K8</f>
        <v>13</v>
      </c>
      <c r="N11" s="139"/>
      <c r="O11" s="139"/>
      <c r="P11" s="139"/>
      <c r="Q11" s="139"/>
      <c r="R11" s="140"/>
    </row>
    <row r="12" spans="1:20" ht="14.25" customHeight="1" thickBot="1">
      <c r="B12" s="5" t="s">
        <v>3</v>
      </c>
      <c r="C12" s="23">
        <f>Feuil2!C5</f>
        <v>25400</v>
      </c>
      <c r="D12" s="20">
        <f>Feuil2!C5*Feuil2!$C$17</f>
        <v>330200</v>
      </c>
      <c r="E12" s="34">
        <f>Feuil2!E5</f>
        <v>202500</v>
      </c>
      <c r="F12" s="35">
        <f>Feuil2!F5</f>
        <v>50800</v>
      </c>
      <c r="J12" s="139"/>
      <c r="K12" s="139"/>
      <c r="L12" s="139"/>
      <c r="M12" s="139"/>
      <c r="N12" s="139"/>
      <c r="O12" s="139"/>
      <c r="P12" s="139"/>
      <c r="Q12" s="139"/>
      <c r="R12" s="139"/>
    </row>
    <row r="13" spans="1:20" ht="14.25" customHeight="1" thickBot="1">
      <c r="B13" s="5" t="s">
        <v>5</v>
      </c>
      <c r="C13" s="23">
        <f>Feuil2!C6</f>
        <v>21900</v>
      </c>
      <c r="D13" s="20">
        <f>Feuil2!C6*Feuil2!$C$17</f>
        <v>284700</v>
      </c>
      <c r="E13" s="34">
        <f>Feuil2!E6</f>
        <v>176250</v>
      </c>
      <c r="F13" s="35">
        <f>Feuil2!F6</f>
        <v>43800</v>
      </c>
      <c r="J13" s="223" t="s">
        <v>95</v>
      </c>
      <c r="K13" s="224"/>
      <c r="L13" s="224"/>
      <c r="M13" s="224"/>
      <c r="N13" s="224"/>
      <c r="O13" s="224"/>
      <c r="P13" s="224"/>
      <c r="Q13" s="225"/>
      <c r="R13" s="139"/>
    </row>
    <row r="14" spans="1:20" ht="14.25" customHeight="1">
      <c r="B14" s="5" t="s">
        <v>6</v>
      </c>
      <c r="C14" s="23">
        <f>Feuil2!C7</f>
        <v>18000</v>
      </c>
      <c r="D14" s="20">
        <f>Feuil2!C7*Feuil2!$C$17</f>
        <v>234000</v>
      </c>
      <c r="E14" s="34">
        <f>Feuil2!E7</f>
        <v>147000</v>
      </c>
      <c r="F14" s="35">
        <f>Feuil2!F7</f>
        <v>36000</v>
      </c>
      <c r="J14" s="111"/>
      <c r="K14" s="171" t="s">
        <v>181</v>
      </c>
      <c r="L14" s="171" t="s">
        <v>182</v>
      </c>
      <c r="M14" s="171" t="s">
        <v>164</v>
      </c>
      <c r="N14" s="171" t="s">
        <v>165</v>
      </c>
      <c r="O14" s="112"/>
      <c r="P14" s="171" t="s">
        <v>166</v>
      </c>
      <c r="Q14" s="116"/>
      <c r="R14" s="139"/>
    </row>
    <row r="15" spans="1:20" ht="14.25" customHeight="1">
      <c r="B15" s="5" t="s">
        <v>7</v>
      </c>
      <c r="C15" s="23">
        <f>Feuil2!C8</f>
        <v>21400</v>
      </c>
      <c r="D15" s="20">
        <f>Feuil2!C8*Feuil2!$C$17</f>
        <v>278200</v>
      </c>
      <c r="E15" s="34">
        <f>Feuil2!E8</f>
        <v>172500</v>
      </c>
      <c r="F15" s="35">
        <f>Feuil2!F8</f>
        <v>42800</v>
      </c>
      <c r="J15" s="111" t="s">
        <v>0</v>
      </c>
      <c r="K15" s="15">
        <f>C10</f>
        <v>34605</v>
      </c>
      <c r="L15" s="170">
        <f>E10</f>
        <v>271537.5</v>
      </c>
      <c r="M15" s="64">
        <f>K15*L15</f>
        <v>9396555187.5</v>
      </c>
      <c r="N15" s="64">
        <f>K15^2</f>
        <v>1197506025</v>
      </c>
      <c r="O15" s="112"/>
      <c r="P15" s="112">
        <f>((12*M28)-(K28*L28))/((12*N28)-(K28^2))</f>
        <v>7.5</v>
      </c>
      <c r="Q15" s="116"/>
      <c r="R15" s="139"/>
    </row>
    <row r="16" spans="1:20" ht="14.25" customHeight="1">
      <c r="B16" s="5" t="s">
        <v>8</v>
      </c>
      <c r="C16" s="23">
        <f>Feuil2!C9</f>
        <v>22100</v>
      </c>
      <c r="D16" s="20">
        <f>Feuil2!C9*Feuil2!$C$17</f>
        <v>287300</v>
      </c>
      <c r="E16" s="34">
        <f>Feuil2!E9</f>
        <v>177750</v>
      </c>
      <c r="F16" s="35">
        <f>Feuil2!F9</f>
        <v>44200</v>
      </c>
      <c r="J16" s="111" t="s">
        <v>22</v>
      </c>
      <c r="K16" s="15">
        <f t="shared" ref="K16:K26" si="0">C11</f>
        <v>33200</v>
      </c>
      <c r="L16" s="170">
        <f t="shared" ref="L16:L26" si="1">E11</f>
        <v>261000</v>
      </c>
      <c r="M16" s="64">
        <f t="shared" ref="M16:M26" si="2">K16*L16</f>
        <v>8665200000</v>
      </c>
      <c r="N16" s="64">
        <f t="shared" ref="N16:N26" si="3">K16^2</f>
        <v>1102240000</v>
      </c>
      <c r="O16" s="112"/>
      <c r="P16" s="112"/>
      <c r="Q16" s="116"/>
      <c r="R16" s="139"/>
    </row>
    <row r="17" spans="1:18" ht="14.25" customHeight="1">
      <c r="B17" s="5" t="s">
        <v>25</v>
      </c>
      <c r="C17" s="23">
        <f>Feuil2!C10</f>
        <v>21900</v>
      </c>
      <c r="D17" s="20">
        <f>Feuil2!C10*Feuil2!$C$17</f>
        <v>284700</v>
      </c>
      <c r="E17" s="34">
        <f>Feuil2!E10</f>
        <v>176250</v>
      </c>
      <c r="F17" s="35">
        <f>Feuil2!F10</f>
        <v>43800</v>
      </c>
      <c r="J17" s="111" t="s">
        <v>3</v>
      </c>
      <c r="K17" s="15">
        <f t="shared" si="0"/>
        <v>25400</v>
      </c>
      <c r="L17" s="170">
        <f t="shared" si="1"/>
        <v>202500</v>
      </c>
      <c r="M17" s="64">
        <f t="shared" si="2"/>
        <v>5143500000</v>
      </c>
      <c r="N17" s="64">
        <f t="shared" si="3"/>
        <v>645160000</v>
      </c>
      <c r="O17" s="112"/>
      <c r="P17" s="171" t="s">
        <v>167</v>
      </c>
      <c r="Q17" s="116"/>
      <c r="R17" s="139"/>
    </row>
    <row r="18" spans="1:18" ht="14.25" customHeight="1">
      <c r="B18" s="5" t="s">
        <v>11</v>
      </c>
      <c r="C18" s="23">
        <f>Feuil2!C11</f>
        <v>26500</v>
      </c>
      <c r="D18" s="20">
        <f>Feuil2!C11*Feuil2!$C$17</f>
        <v>344500</v>
      </c>
      <c r="E18" s="34">
        <f>Feuil2!E11</f>
        <v>210750</v>
      </c>
      <c r="F18" s="35">
        <f>Feuil2!F11</f>
        <v>53000</v>
      </c>
      <c r="J18" s="111" t="s">
        <v>5</v>
      </c>
      <c r="K18" s="15">
        <f t="shared" si="0"/>
        <v>21900</v>
      </c>
      <c r="L18" s="170">
        <f t="shared" si="1"/>
        <v>176250</v>
      </c>
      <c r="M18" s="64">
        <f t="shared" si="2"/>
        <v>3859875000</v>
      </c>
      <c r="N18" s="64">
        <f t="shared" si="3"/>
        <v>479610000</v>
      </c>
      <c r="O18" s="112"/>
      <c r="P18" s="64">
        <f>(L28/12)-((P15*((K28)/12)))</f>
        <v>12000</v>
      </c>
      <c r="Q18" s="116"/>
      <c r="R18" s="139"/>
    </row>
    <row r="19" spans="1:18" ht="14.25" customHeight="1">
      <c r="B19" s="5" t="s">
        <v>15</v>
      </c>
      <c r="C19" s="23">
        <f>Feuil2!C12</f>
        <v>37100</v>
      </c>
      <c r="D19" s="20">
        <f>Feuil2!C12*Feuil2!$C$17</f>
        <v>482300</v>
      </c>
      <c r="E19" s="34">
        <f>Feuil2!E12</f>
        <v>290250</v>
      </c>
      <c r="F19" s="35">
        <f>Feuil2!F12</f>
        <v>74200</v>
      </c>
      <c r="J19" s="111" t="s">
        <v>6</v>
      </c>
      <c r="K19" s="15">
        <f t="shared" si="0"/>
        <v>18000</v>
      </c>
      <c r="L19" s="170">
        <f t="shared" si="1"/>
        <v>147000</v>
      </c>
      <c r="M19" s="64">
        <f t="shared" si="2"/>
        <v>2646000000</v>
      </c>
      <c r="N19" s="64">
        <f t="shared" si="3"/>
        <v>324000000</v>
      </c>
      <c r="O19" s="112"/>
      <c r="P19" s="112"/>
      <c r="Q19" s="116"/>
      <c r="R19" s="139"/>
    </row>
    <row r="20" spans="1:18" ht="14.25" customHeight="1">
      <c r="B20" s="5" t="s">
        <v>16</v>
      </c>
      <c r="C20" s="23">
        <f>Feuil2!C13</f>
        <v>41400</v>
      </c>
      <c r="D20" s="20">
        <f>Feuil2!C13*Feuil2!$C$17</f>
        <v>538200</v>
      </c>
      <c r="E20" s="34">
        <f>Feuil2!E13</f>
        <v>322500</v>
      </c>
      <c r="F20" s="35">
        <f>Feuil2!F13</f>
        <v>82800</v>
      </c>
      <c r="J20" s="111" t="s">
        <v>7</v>
      </c>
      <c r="K20" s="15">
        <f t="shared" si="0"/>
        <v>21400</v>
      </c>
      <c r="L20" s="170">
        <f t="shared" si="1"/>
        <v>172500</v>
      </c>
      <c r="M20" s="64">
        <f t="shared" si="2"/>
        <v>3691500000</v>
      </c>
      <c r="N20" s="64">
        <f t="shared" si="3"/>
        <v>457960000</v>
      </c>
      <c r="O20" s="112"/>
      <c r="P20" s="112"/>
      <c r="Q20" s="116"/>
      <c r="R20" s="139"/>
    </row>
    <row r="21" spans="1:18" ht="14.25" customHeight="1" thickBot="1">
      <c r="B21" s="31" t="s">
        <v>18</v>
      </c>
      <c r="C21" s="32">
        <f>Feuil2!C14</f>
        <v>47800</v>
      </c>
      <c r="D21" s="36">
        <f>Feuil2!C14*Feuil2!$C$17</f>
        <v>621400</v>
      </c>
      <c r="E21" s="37">
        <f>Feuil2!E14</f>
        <v>370500</v>
      </c>
      <c r="F21" s="38">
        <f>Feuil2!F14</f>
        <v>95600</v>
      </c>
      <c r="J21" s="111" t="s">
        <v>8</v>
      </c>
      <c r="K21" s="15">
        <f t="shared" si="0"/>
        <v>22100</v>
      </c>
      <c r="L21" s="170">
        <f t="shared" si="1"/>
        <v>177750</v>
      </c>
      <c r="M21" s="64">
        <f t="shared" si="2"/>
        <v>3928275000</v>
      </c>
      <c r="N21" s="64">
        <f t="shared" si="3"/>
        <v>488410000</v>
      </c>
      <c r="O21" s="112"/>
      <c r="P21" s="112"/>
      <c r="Q21" s="116"/>
      <c r="R21" s="139"/>
    </row>
    <row r="22" spans="1:18" ht="14.25" customHeight="1">
      <c r="B22" s="10"/>
      <c r="C22" s="10"/>
      <c r="D22" s="11"/>
      <c r="E22" s="11"/>
      <c r="J22" s="111" t="s">
        <v>25</v>
      </c>
      <c r="K22" s="15">
        <f t="shared" si="0"/>
        <v>21900</v>
      </c>
      <c r="L22" s="170">
        <f t="shared" si="1"/>
        <v>176250</v>
      </c>
      <c r="M22" s="64">
        <f t="shared" si="2"/>
        <v>3859875000</v>
      </c>
      <c r="N22" s="64">
        <f t="shared" si="3"/>
        <v>479610000</v>
      </c>
      <c r="O22" s="112"/>
      <c r="P22" s="112"/>
      <c r="Q22" s="116"/>
      <c r="R22" s="139"/>
    </row>
    <row r="23" spans="1:18" ht="14.25" customHeight="1">
      <c r="B23" s="7" t="str">
        <f>"En moyenne, chaque unité vendue a rapporté un bénéfice de "&amp;TEXT(Feuil2!C22,"####,00 $")&amp;"."</f>
        <v>En moyenne, chaque unité vendue a rapporté un bénéfice de 2,81 $.</v>
      </c>
      <c r="J23" s="111" t="s">
        <v>11</v>
      </c>
      <c r="K23" s="15">
        <f t="shared" si="0"/>
        <v>26500</v>
      </c>
      <c r="L23" s="170">
        <f t="shared" si="1"/>
        <v>210750</v>
      </c>
      <c r="M23" s="64">
        <f t="shared" si="2"/>
        <v>5584875000</v>
      </c>
      <c r="N23" s="64">
        <f t="shared" si="3"/>
        <v>702250000</v>
      </c>
      <c r="O23" s="112"/>
      <c r="P23" s="112"/>
      <c r="Q23" s="116"/>
      <c r="R23" s="139"/>
    </row>
    <row r="24" spans="1:18" ht="14.25" customHeight="1">
      <c r="B24" s="7" t="str">
        <f>"L'usine peut produire au maximum "&amp;TEXT(Feuil2!C23,"## ###")&amp;" unités par mois."</f>
        <v>L'usine peut produire au maximum 50 000 unités par mois.</v>
      </c>
      <c r="J24" s="111" t="s">
        <v>15</v>
      </c>
      <c r="K24" s="15">
        <f t="shared" si="0"/>
        <v>37100</v>
      </c>
      <c r="L24" s="170">
        <f t="shared" si="1"/>
        <v>290250</v>
      </c>
      <c r="M24" s="64">
        <f t="shared" si="2"/>
        <v>10768275000</v>
      </c>
      <c r="N24" s="64">
        <f t="shared" si="3"/>
        <v>1376410000</v>
      </c>
      <c r="O24" s="112"/>
      <c r="P24" s="112"/>
      <c r="Q24" s="116"/>
      <c r="R24" s="139"/>
    </row>
    <row r="25" spans="1:18" ht="14.25" customHeight="1">
      <c r="J25" s="111" t="s">
        <v>16</v>
      </c>
      <c r="K25" s="15">
        <f t="shared" si="0"/>
        <v>41400</v>
      </c>
      <c r="L25" s="170">
        <f t="shared" si="1"/>
        <v>322500</v>
      </c>
      <c r="M25" s="64">
        <f t="shared" si="2"/>
        <v>13351500000</v>
      </c>
      <c r="N25" s="64">
        <f t="shared" si="3"/>
        <v>1713960000</v>
      </c>
      <c r="O25" s="112"/>
      <c r="P25" s="64"/>
      <c r="Q25" s="116"/>
      <c r="R25" s="139"/>
    </row>
    <row r="26" spans="1:18" ht="14.25" customHeight="1">
      <c r="A26" s="213" t="s">
        <v>28</v>
      </c>
      <c r="B26" s="212"/>
      <c r="C26" s="212"/>
      <c r="D26" s="212"/>
      <c r="E26" s="212"/>
      <c r="F26" s="212"/>
      <c r="G26" s="212"/>
      <c r="H26" s="212"/>
      <c r="J26" s="111" t="s">
        <v>18</v>
      </c>
      <c r="K26" s="15">
        <f t="shared" si="0"/>
        <v>47800</v>
      </c>
      <c r="L26" s="170">
        <f t="shared" si="1"/>
        <v>370500</v>
      </c>
      <c r="M26" s="64">
        <f t="shared" si="2"/>
        <v>17709900000</v>
      </c>
      <c r="N26" s="64">
        <f t="shared" si="3"/>
        <v>2284840000</v>
      </c>
      <c r="O26" s="112"/>
      <c r="P26" s="64"/>
      <c r="Q26" s="116"/>
      <c r="R26" s="139"/>
    </row>
    <row r="27" spans="1:18" ht="14.25" customHeight="1">
      <c r="A27" s="12"/>
      <c r="J27" s="111"/>
      <c r="K27" s="112"/>
      <c r="L27" s="141"/>
      <c r="M27" s="112"/>
      <c r="N27" s="112"/>
      <c r="O27" s="112"/>
      <c r="P27" s="112"/>
      <c r="Q27" s="116"/>
      <c r="R27" s="139"/>
    </row>
    <row r="28" spans="1:18" ht="14.25" customHeight="1">
      <c r="A28" s="231" t="s">
        <v>86</v>
      </c>
      <c r="B28" s="231"/>
      <c r="C28" s="231"/>
      <c r="D28" s="231"/>
      <c r="E28" s="231"/>
      <c r="F28" s="231"/>
      <c r="G28" s="231"/>
      <c r="H28" s="231"/>
      <c r="J28" s="172" t="s">
        <v>163</v>
      </c>
      <c r="K28" s="119">
        <f>SUM(K15:K26)</f>
        <v>351305</v>
      </c>
      <c r="L28" s="20">
        <f>SUM(L15:L26)</f>
        <v>2778787.5</v>
      </c>
      <c r="M28" s="20">
        <f>SUM(M15:M26)</f>
        <v>88605330187.5</v>
      </c>
      <c r="N28" s="64">
        <f>SUM(N15:N26)</f>
        <v>11251956025</v>
      </c>
      <c r="O28" s="112"/>
      <c r="P28" s="112"/>
      <c r="Q28" s="116"/>
      <c r="R28" s="139"/>
    </row>
    <row r="29" spans="1:18">
      <c r="A29" s="214" t="s">
        <v>88</v>
      </c>
      <c r="B29" s="215"/>
      <c r="C29" s="215"/>
      <c r="D29" s="215"/>
      <c r="E29" s="215"/>
      <c r="F29" s="215"/>
      <c r="G29" s="215"/>
      <c r="H29" s="215"/>
      <c r="J29" s="120"/>
      <c r="K29" s="143"/>
      <c r="L29" s="123"/>
      <c r="M29" s="143"/>
      <c r="N29" s="123"/>
      <c r="O29" s="123"/>
      <c r="P29" s="123"/>
      <c r="Q29" s="127"/>
      <c r="R29" s="139"/>
    </row>
    <row r="30" spans="1:18">
      <c r="A30" s="214" t="s">
        <v>89</v>
      </c>
      <c r="B30" s="215"/>
      <c r="C30" s="215"/>
      <c r="D30" s="215"/>
      <c r="E30" s="215"/>
      <c r="F30" s="215"/>
      <c r="G30" s="215"/>
      <c r="H30" s="215"/>
      <c r="J30" s="120"/>
      <c r="K30" s="143"/>
      <c r="L30" s="123"/>
      <c r="M30" s="143"/>
      <c r="N30" s="123"/>
      <c r="O30" s="123"/>
      <c r="P30" s="123"/>
      <c r="Q30" s="127"/>
      <c r="R30" s="139"/>
    </row>
    <row r="31" spans="1:18" ht="16" thickBot="1">
      <c r="A31" s="217" t="s">
        <v>90</v>
      </c>
      <c r="B31" s="217"/>
      <c r="C31" s="217"/>
      <c r="D31" s="217"/>
      <c r="E31" s="217"/>
      <c r="F31" s="217"/>
      <c r="G31" s="217"/>
      <c r="H31" s="217"/>
      <c r="J31" s="144" t="s">
        <v>100</v>
      </c>
      <c r="K31" s="173">
        <f>P15</f>
        <v>7.5</v>
      </c>
      <c r="L31" s="145" t="s">
        <v>101</v>
      </c>
      <c r="M31" s="174">
        <f>P18*12</f>
        <v>144000</v>
      </c>
      <c r="N31" s="121"/>
      <c r="O31" s="121"/>
      <c r="P31" s="121"/>
      <c r="Q31" s="146"/>
      <c r="R31" s="139"/>
    </row>
    <row r="32" spans="1:18" ht="16" thickBot="1">
      <c r="A32" s="40"/>
      <c r="B32" s="40"/>
      <c r="C32" s="40"/>
      <c r="D32" s="40"/>
      <c r="E32" s="40"/>
      <c r="F32" s="40"/>
      <c r="G32" s="40"/>
      <c r="H32" s="40"/>
      <c r="J32" s="139"/>
      <c r="K32" s="139"/>
      <c r="L32" s="139"/>
      <c r="M32" s="139"/>
      <c r="N32" s="139"/>
      <c r="O32" s="139"/>
      <c r="P32" s="139"/>
      <c r="Q32" s="139"/>
      <c r="R32" s="139"/>
    </row>
    <row r="33" spans="1:18" ht="16" thickBot="1">
      <c r="A33" s="40" t="s">
        <v>79</v>
      </c>
      <c r="B33" s="40"/>
      <c r="C33" s="40"/>
      <c r="D33" s="40"/>
      <c r="E33" s="40"/>
      <c r="F33" s="40"/>
      <c r="G33" s="40"/>
      <c r="H33" s="40"/>
      <c r="J33" s="223" t="s">
        <v>96</v>
      </c>
      <c r="K33" s="224"/>
      <c r="L33" s="224"/>
      <c r="M33" s="225"/>
      <c r="N33" s="236" t="s">
        <v>97</v>
      </c>
      <c r="O33" s="237"/>
      <c r="P33" s="237"/>
      <c r="Q33" s="238"/>
      <c r="R33" s="139"/>
    </row>
    <row r="34" spans="1:18">
      <c r="A34" s="217" t="s">
        <v>91</v>
      </c>
      <c r="B34" s="217"/>
      <c r="C34" s="217"/>
      <c r="D34" s="217"/>
      <c r="E34" s="217"/>
      <c r="F34" s="217"/>
      <c r="G34" s="217"/>
      <c r="H34" s="217"/>
      <c r="J34" s="172" t="s">
        <v>99</v>
      </c>
      <c r="K34" s="15">
        <f>C21</f>
        <v>47800</v>
      </c>
      <c r="L34" s="64">
        <f>F21</f>
        <v>95600</v>
      </c>
      <c r="M34" s="116"/>
      <c r="N34" s="147" t="s">
        <v>44</v>
      </c>
      <c r="O34" s="176">
        <f>M11</f>
        <v>13</v>
      </c>
      <c r="P34" s="148"/>
      <c r="Q34" s="149"/>
      <c r="R34" s="139"/>
    </row>
    <row r="35" spans="1:18">
      <c r="A35" s="217" t="s">
        <v>92</v>
      </c>
      <c r="B35" s="217"/>
      <c r="C35" s="217"/>
      <c r="D35" s="217"/>
      <c r="E35" s="217"/>
      <c r="F35" s="217"/>
      <c r="G35" s="217"/>
      <c r="H35" s="217"/>
      <c r="J35" s="172" t="s">
        <v>98</v>
      </c>
      <c r="K35" s="15">
        <f>C14</f>
        <v>18000</v>
      </c>
      <c r="L35" s="64">
        <f>F14</f>
        <v>36000</v>
      </c>
      <c r="M35" s="116"/>
      <c r="N35" s="175" t="s">
        <v>170</v>
      </c>
      <c r="O35" s="177">
        <f>2.81</f>
        <v>2.81</v>
      </c>
      <c r="P35" s="112"/>
      <c r="Q35" s="116"/>
      <c r="R35" s="139"/>
    </row>
    <row r="36" spans="1:18">
      <c r="A36" s="217" t="s">
        <v>93</v>
      </c>
      <c r="B36" s="217"/>
      <c r="C36" s="217"/>
      <c r="D36" s="217"/>
      <c r="E36" s="217"/>
      <c r="F36" s="217"/>
      <c r="G36" s="217"/>
      <c r="H36" s="217"/>
      <c r="J36" s="111"/>
      <c r="K36" s="112"/>
      <c r="L36" s="112"/>
      <c r="M36" s="116"/>
      <c r="N36" s="111" t="s">
        <v>169</v>
      </c>
      <c r="O36" s="177">
        <f>O34-O35</f>
        <v>10.19</v>
      </c>
      <c r="P36" s="112"/>
      <c r="Q36" s="82"/>
      <c r="R36" s="139"/>
    </row>
    <row r="37" spans="1:18">
      <c r="A37" s="217" t="str">
        <f>"1.8) À quel prix devrait-elle vendre son produit pour avoir un profit net de "&amp;TEXT(Feuil2!C24,"## ### $")&amp;" par année ?"</f>
        <v>1.8) À quel prix devrait-elle vendre son produit pour avoir un profit net de 1 000 000 $ par année ?</v>
      </c>
      <c r="B37" s="217"/>
      <c r="C37" s="217"/>
      <c r="D37" s="217"/>
      <c r="E37" s="217"/>
      <c r="F37" s="217"/>
      <c r="G37" s="217"/>
      <c r="H37" s="217"/>
      <c r="J37" s="111" t="s">
        <v>168</v>
      </c>
      <c r="K37" s="64">
        <f>(L34-L35)/(K34-K35)</f>
        <v>2</v>
      </c>
      <c r="L37" s="112"/>
      <c r="M37" s="116"/>
      <c r="N37" s="142" t="s">
        <v>171</v>
      </c>
      <c r="O37" s="178">
        <f>M39</f>
        <v>2</v>
      </c>
      <c r="P37" s="112"/>
      <c r="Q37" s="116"/>
      <c r="R37" s="139"/>
    </row>
    <row r="38" spans="1:18">
      <c r="A38" s="33"/>
      <c r="B38" s="33"/>
      <c r="C38" s="33"/>
      <c r="D38" s="33"/>
      <c r="E38" s="33"/>
      <c r="F38" s="33"/>
      <c r="G38" s="33"/>
      <c r="H38" s="33"/>
      <c r="J38" s="111"/>
      <c r="K38" s="112"/>
      <c r="L38" s="137"/>
      <c r="M38" s="150"/>
      <c r="N38" s="111" t="s">
        <v>172</v>
      </c>
      <c r="O38" s="177">
        <f>K31</f>
        <v>7.5</v>
      </c>
      <c r="P38" s="194" t="s">
        <v>173</v>
      </c>
      <c r="Q38" s="195">
        <f>M31</f>
        <v>144000</v>
      </c>
      <c r="R38" s="139"/>
    </row>
    <row r="39" spans="1:18" ht="16" thickBot="1">
      <c r="A39" s="213" t="s">
        <v>29</v>
      </c>
      <c r="B39" s="212"/>
      <c r="C39" s="212"/>
      <c r="D39" s="212"/>
      <c r="E39" s="212"/>
      <c r="F39" s="212"/>
      <c r="G39" s="212"/>
      <c r="H39" s="212"/>
      <c r="J39" s="114"/>
      <c r="K39" s="115"/>
      <c r="L39" s="145" t="s">
        <v>27</v>
      </c>
      <c r="M39" s="173">
        <f>K37</f>
        <v>2</v>
      </c>
      <c r="N39" s="111" t="s">
        <v>175</v>
      </c>
      <c r="O39" s="177">
        <f>O36-O37-O38</f>
        <v>0.6899999999999995</v>
      </c>
      <c r="P39" s="137" t="s">
        <v>174</v>
      </c>
      <c r="Q39" s="150">
        <f>O39*K8</f>
        <v>242400.44999999984</v>
      </c>
      <c r="R39" s="139"/>
    </row>
    <row r="40" spans="1:18" ht="16" customHeight="1">
      <c r="A40" s="230" t="s">
        <v>81</v>
      </c>
      <c r="B40" s="230"/>
      <c r="C40" s="230"/>
      <c r="D40" s="230"/>
      <c r="E40" s="230"/>
      <c r="F40" s="230"/>
      <c r="G40" s="230"/>
      <c r="H40" s="230"/>
      <c r="J40" s="139"/>
      <c r="K40" s="139"/>
      <c r="L40" s="139"/>
      <c r="M40" s="137"/>
      <c r="N40" s="111"/>
      <c r="O40" s="141"/>
      <c r="P40" s="137"/>
      <c r="Q40" s="150"/>
      <c r="R40" s="139"/>
    </row>
    <row r="41" spans="1:18" ht="16" thickBot="1">
      <c r="A41" s="230"/>
      <c r="B41" s="230"/>
      <c r="C41" s="230"/>
      <c r="D41" s="230"/>
      <c r="E41" s="230"/>
      <c r="F41" s="230"/>
      <c r="G41" s="230"/>
      <c r="H41" s="230"/>
      <c r="J41" s="139"/>
      <c r="K41" s="139"/>
      <c r="L41" s="139"/>
      <c r="M41" s="137"/>
      <c r="N41" s="114" t="s">
        <v>32</v>
      </c>
      <c r="O41" s="174">
        <f>Q39-Q38</f>
        <v>98400.449999999837</v>
      </c>
      <c r="P41" s="121"/>
      <c r="Q41" s="151"/>
      <c r="R41" s="139"/>
    </row>
    <row r="42" spans="1:18" ht="16" thickBot="1">
      <c r="A42" s="230"/>
      <c r="B42" s="230"/>
      <c r="C42" s="230"/>
      <c r="D42" s="230"/>
      <c r="E42" s="230"/>
      <c r="F42" s="230"/>
      <c r="G42" s="230"/>
      <c r="H42" s="230"/>
      <c r="J42" s="139"/>
      <c r="K42" s="139"/>
      <c r="L42" s="139"/>
      <c r="M42" s="139"/>
      <c r="N42" s="139"/>
      <c r="O42" s="139"/>
      <c r="P42" s="139"/>
      <c r="Q42" s="139"/>
      <c r="R42" s="139"/>
    </row>
    <row r="43" spans="1:18" ht="16" customHeight="1" thickBot="1">
      <c r="A43" s="230" t="str">
        <f>"Pour effectuer l’achat de ce nouvel équipement, la compagnie devra utiliser des placements lui rapportant du 7% "&amp;TEXT(Feuil2!E44,"## ###")&amp;" d'intérêts annuellement."</f>
        <v>Pour effectuer l’achat de ce nouvel équipement, la compagnie devra utiliser des placements lui rapportant du 7%  d'intérêts annuellement.</v>
      </c>
      <c r="B43" s="230"/>
      <c r="C43" s="230"/>
      <c r="D43" s="230"/>
      <c r="E43" s="230"/>
      <c r="F43" s="230"/>
      <c r="G43" s="230"/>
      <c r="H43" s="230"/>
      <c r="J43" s="223" t="s">
        <v>115</v>
      </c>
      <c r="K43" s="225"/>
      <c r="L43" s="224" t="s">
        <v>109</v>
      </c>
      <c r="M43" s="225"/>
      <c r="N43" s="223" t="s">
        <v>110</v>
      </c>
      <c r="O43" s="225"/>
      <c r="P43" s="223" t="s">
        <v>111</v>
      </c>
      <c r="Q43" s="225"/>
      <c r="R43" s="139"/>
    </row>
    <row r="44" spans="1:18">
      <c r="A44" s="230"/>
      <c r="B44" s="230"/>
      <c r="C44" s="230"/>
      <c r="D44" s="230"/>
      <c r="E44" s="230"/>
      <c r="F44" s="230"/>
      <c r="G44" s="230"/>
      <c r="H44" s="230"/>
      <c r="J44" s="147" t="s">
        <v>44</v>
      </c>
      <c r="K44" s="35">
        <f>O34</f>
        <v>13</v>
      </c>
      <c r="L44" s="112" t="s">
        <v>190</v>
      </c>
      <c r="M44" s="199">
        <f>K48</f>
        <v>3.5</v>
      </c>
      <c r="N44" s="111" t="s">
        <v>192</v>
      </c>
      <c r="O44" s="152">
        <f>50000</f>
        <v>50000</v>
      </c>
      <c r="P44" s="111" t="s">
        <v>162</v>
      </c>
      <c r="Q44" s="97">
        <v>1000000</v>
      </c>
      <c r="R44" s="139"/>
    </row>
    <row r="45" spans="1:18">
      <c r="A45" s="232" t="s">
        <v>116</v>
      </c>
      <c r="B45" s="232"/>
      <c r="C45" s="232"/>
      <c r="D45" s="232"/>
      <c r="E45" s="232"/>
      <c r="F45" s="232"/>
      <c r="G45" s="232"/>
      <c r="H45" s="232"/>
      <c r="J45" s="111" t="s">
        <v>24</v>
      </c>
      <c r="K45" s="198">
        <f>M39</f>
        <v>2</v>
      </c>
      <c r="L45" s="112" t="s">
        <v>191</v>
      </c>
      <c r="M45" s="82">
        <f>O41</f>
        <v>98400.449999999837</v>
      </c>
      <c r="N45" s="142" t="s">
        <v>193</v>
      </c>
      <c r="O45" s="96">
        <f>M52</f>
        <v>900344.52857142803</v>
      </c>
      <c r="P45" s="111" t="s">
        <v>183</v>
      </c>
      <c r="Q45" s="187">
        <f>O41+M31</f>
        <v>242400.44999999984</v>
      </c>
      <c r="R45" s="139"/>
    </row>
    <row r="46" spans="1:18">
      <c r="A46" s="14"/>
      <c r="J46" s="111" t="s">
        <v>23</v>
      </c>
      <c r="K46" s="199">
        <f>K31</f>
        <v>7.5</v>
      </c>
      <c r="L46" s="112" t="s">
        <v>173</v>
      </c>
      <c r="M46" s="82">
        <f>M31</f>
        <v>144000</v>
      </c>
      <c r="N46" s="111" t="s">
        <v>194</v>
      </c>
      <c r="O46" s="202">
        <f>M11</f>
        <v>13</v>
      </c>
      <c r="P46" s="111" t="s">
        <v>184</v>
      </c>
      <c r="Q46" s="106">
        <f>(K31+M39)*Q47</f>
        <v>3337397.5</v>
      </c>
      <c r="R46" s="139"/>
    </row>
    <row r="47" spans="1:18">
      <c r="A47" s="12"/>
      <c r="C47" s="227" t="s">
        <v>66</v>
      </c>
      <c r="D47" s="227"/>
      <c r="E47" s="227"/>
      <c r="F47" s="227"/>
      <c r="J47" s="111"/>
      <c r="K47" s="116"/>
      <c r="L47" s="112"/>
      <c r="M47" s="127"/>
      <c r="N47" s="153" t="s">
        <v>34</v>
      </c>
      <c r="O47" s="183">
        <f>(O44*M11*O53)-M52</f>
        <v>6899655.4714285722</v>
      </c>
      <c r="P47" s="185" t="s">
        <v>185</v>
      </c>
      <c r="Q47" s="106">
        <f>K28</f>
        <v>351305</v>
      </c>
      <c r="R47" s="139"/>
    </row>
    <row r="48" spans="1:18">
      <c r="A48" s="12"/>
      <c r="C48" s="227"/>
      <c r="D48" s="227"/>
      <c r="E48" s="227"/>
      <c r="F48" s="227"/>
      <c r="J48" s="159" t="s">
        <v>141</v>
      </c>
      <c r="K48" s="179">
        <f>O34-M39-K31</f>
        <v>3.5</v>
      </c>
      <c r="L48" s="112" t="s">
        <v>103</v>
      </c>
      <c r="M48" s="181">
        <f>(O41+M31)/K48</f>
        <v>69257.271428571388</v>
      </c>
      <c r="N48" s="111"/>
      <c r="O48" s="116"/>
      <c r="P48" s="186"/>
      <c r="Q48" s="107"/>
      <c r="R48" s="139"/>
    </row>
    <row r="49" spans="1:18" ht="16" thickBot="1">
      <c r="A49" s="12"/>
      <c r="C49" s="228"/>
      <c r="D49" s="228"/>
      <c r="E49" s="228"/>
      <c r="F49" s="228"/>
      <c r="J49" s="159" t="s">
        <v>41</v>
      </c>
      <c r="K49" s="180">
        <f>K48/O34</f>
        <v>0.26923076923076922</v>
      </c>
      <c r="L49" s="112" t="s">
        <v>41</v>
      </c>
      <c r="M49" s="200">
        <f>K49</f>
        <v>0.26923076923076922</v>
      </c>
      <c r="N49" s="111" t="s">
        <v>195</v>
      </c>
      <c r="O49" s="95">
        <f>M48</f>
        <v>69257.271428571388</v>
      </c>
      <c r="P49" s="111"/>
      <c r="Q49" s="152"/>
      <c r="R49" s="139"/>
    </row>
    <row r="50" spans="1:18" ht="16" thickBot="1">
      <c r="A50" s="12"/>
      <c r="C50" s="41" t="s">
        <v>62</v>
      </c>
      <c r="D50" s="42"/>
      <c r="E50" s="42"/>
      <c r="F50" s="43">
        <f>Feuil2!E31</f>
        <v>15</v>
      </c>
      <c r="J50" s="114"/>
      <c r="K50" s="151"/>
      <c r="L50" s="112" t="s">
        <v>191</v>
      </c>
      <c r="M50" s="82">
        <f>M45</f>
        <v>98400.449999999837</v>
      </c>
      <c r="N50" s="111"/>
      <c r="O50" s="152"/>
      <c r="P50" s="144" t="s">
        <v>114</v>
      </c>
      <c r="Q50" s="169">
        <f>(Q46+Q45+Q44)/Q47</f>
        <v>13.036529369066763</v>
      </c>
      <c r="R50" s="139"/>
    </row>
    <row r="51" spans="1:18">
      <c r="A51" s="12"/>
      <c r="C51" s="44" t="s">
        <v>63</v>
      </c>
      <c r="D51" s="45"/>
      <c r="E51" s="45"/>
      <c r="F51" s="46">
        <f>Feuil2!E32</f>
        <v>2000</v>
      </c>
      <c r="J51" s="139"/>
      <c r="K51" s="139"/>
      <c r="L51" s="112" t="s">
        <v>173</v>
      </c>
      <c r="M51" s="201">
        <f>M46</f>
        <v>144000</v>
      </c>
      <c r="N51" s="153" t="s">
        <v>142</v>
      </c>
      <c r="O51" s="181">
        <f>(O44*O53)-M48</f>
        <v>530742.72857142857</v>
      </c>
      <c r="P51" s="139"/>
      <c r="Q51" s="139"/>
      <c r="R51" s="139"/>
    </row>
    <row r="52" spans="1:18" ht="16" thickBot="1">
      <c r="A52" s="12"/>
      <c r="C52" s="44" t="s">
        <v>64</v>
      </c>
      <c r="D52" s="45"/>
      <c r="E52" s="45"/>
      <c r="F52" s="56">
        <f>Feuil2!E33</f>
        <v>1.5</v>
      </c>
      <c r="J52" s="139"/>
      <c r="K52" s="139"/>
      <c r="L52" s="114" t="s">
        <v>104</v>
      </c>
      <c r="M52" s="182">
        <f>(O41+M31)/K49</f>
        <v>900344.52857142803</v>
      </c>
      <c r="N52" s="111"/>
      <c r="O52" s="116"/>
      <c r="P52" s="139"/>
      <c r="Q52" s="139"/>
      <c r="R52" s="139"/>
    </row>
    <row r="53" spans="1:18">
      <c r="A53" s="12"/>
      <c r="C53" s="44" t="s">
        <v>54</v>
      </c>
      <c r="D53" s="45"/>
      <c r="E53" s="45"/>
      <c r="F53" s="46">
        <f>Feuil2!E34</f>
        <v>6000</v>
      </c>
      <c r="J53" s="139"/>
      <c r="K53" s="139"/>
      <c r="L53" s="139"/>
      <c r="M53" s="139"/>
      <c r="N53" s="154" t="s">
        <v>196</v>
      </c>
      <c r="O53" s="152">
        <v>12</v>
      </c>
      <c r="P53" s="123"/>
      <c r="Q53" s="123"/>
      <c r="R53" s="139"/>
    </row>
    <row r="54" spans="1:18">
      <c r="A54" s="12"/>
      <c r="C54" s="44" t="s">
        <v>55</v>
      </c>
      <c r="D54" s="45"/>
      <c r="E54" s="45"/>
      <c r="F54" s="43">
        <f>Feuil2!E35</f>
        <v>4</v>
      </c>
      <c r="J54" s="139"/>
      <c r="K54" s="139"/>
      <c r="L54" s="139"/>
      <c r="M54" s="139"/>
      <c r="N54" s="111"/>
      <c r="O54" s="152"/>
      <c r="P54" s="123"/>
      <c r="Q54" s="143"/>
      <c r="R54" s="139"/>
    </row>
    <row r="55" spans="1:18">
      <c r="A55" s="12"/>
      <c r="C55" s="44" t="s">
        <v>65</v>
      </c>
      <c r="D55" s="45"/>
      <c r="E55" s="45"/>
      <c r="F55" s="43">
        <f>Feuil2!E36</f>
        <v>30</v>
      </c>
      <c r="J55" s="139"/>
      <c r="K55" s="139"/>
      <c r="L55" s="139"/>
      <c r="M55" s="139"/>
      <c r="N55" s="153" t="s">
        <v>35</v>
      </c>
      <c r="O55" s="184">
        <f>O47/(O44*M11*O53)</f>
        <v>0.88457121428571439</v>
      </c>
      <c r="P55" s="123"/>
      <c r="Q55" s="143"/>
      <c r="R55" s="139"/>
    </row>
    <row r="56" spans="1:18" ht="16" thickBot="1">
      <c r="A56" s="12"/>
      <c r="C56" s="44" t="s">
        <v>56</v>
      </c>
      <c r="D56" s="45"/>
      <c r="E56" s="45"/>
      <c r="F56" s="47">
        <f>Feuil2!E37</f>
        <v>204000</v>
      </c>
      <c r="J56" s="139"/>
      <c r="K56" s="139"/>
      <c r="L56" s="139"/>
      <c r="M56" s="139"/>
      <c r="N56" s="114"/>
      <c r="O56" s="151"/>
      <c r="P56" s="155"/>
      <c r="Q56" s="123"/>
      <c r="R56" s="139"/>
    </row>
    <row r="57" spans="1:18">
      <c r="A57" s="12"/>
      <c r="C57" s="48" t="s">
        <v>82</v>
      </c>
      <c r="D57" s="49"/>
      <c r="E57" s="49"/>
      <c r="F57" s="50">
        <f>Feuil2!E38</f>
        <v>275000</v>
      </c>
      <c r="J57" s="139"/>
      <c r="K57" s="139"/>
      <c r="L57" s="139"/>
      <c r="M57" s="139"/>
      <c r="N57" s="139"/>
      <c r="O57" s="139"/>
      <c r="P57" s="139"/>
      <c r="Q57" s="123"/>
      <c r="R57" s="139"/>
    </row>
    <row r="58" spans="1:18">
      <c r="A58" s="12"/>
      <c r="C58" s="44" t="s">
        <v>58</v>
      </c>
      <c r="D58" s="45"/>
      <c r="E58" s="45"/>
      <c r="F58" s="46">
        <f>Feuil2!E39</f>
        <v>30000</v>
      </c>
      <c r="J58" s="139"/>
      <c r="K58" s="139"/>
      <c r="L58" s="139"/>
      <c r="M58" s="139"/>
      <c r="N58" s="139"/>
      <c r="O58" s="139"/>
      <c r="P58" s="139"/>
      <c r="Q58" s="139"/>
      <c r="R58" s="139"/>
    </row>
    <row r="59" spans="1:18">
      <c r="A59" s="12"/>
      <c r="C59" s="44" t="s">
        <v>59</v>
      </c>
      <c r="D59" s="45"/>
      <c r="E59" s="45"/>
      <c r="F59" s="51">
        <f>Feuil2!E40</f>
        <v>2021</v>
      </c>
      <c r="J59" s="234" t="s">
        <v>29</v>
      </c>
      <c r="K59" s="234"/>
      <c r="L59" s="234"/>
      <c r="M59" s="234"/>
      <c r="N59" s="234"/>
      <c r="O59" s="234"/>
      <c r="P59" s="234"/>
      <c r="Q59" s="234"/>
      <c r="R59" s="161"/>
    </row>
    <row r="60" spans="1:18" ht="15" customHeight="1" thickBot="1">
      <c r="A60" s="39"/>
      <c r="C60" s="44" t="s">
        <v>60</v>
      </c>
      <c r="D60" s="45"/>
      <c r="E60" s="45"/>
      <c r="F60" s="52">
        <f>Feuil2!E41</f>
        <v>20</v>
      </c>
      <c r="J60" s="139"/>
      <c r="K60" s="139"/>
      <c r="L60" s="156"/>
      <c r="M60" s="156"/>
      <c r="N60" s="156"/>
      <c r="O60" s="139"/>
      <c r="P60" s="139"/>
      <c r="Q60" s="156"/>
      <c r="R60" s="139"/>
    </row>
    <row r="61" spans="1:18" ht="15" customHeight="1" thickBot="1">
      <c r="A61" s="39"/>
      <c r="C61" s="53" t="s">
        <v>61</v>
      </c>
      <c r="D61" s="54"/>
      <c r="E61" s="54"/>
      <c r="F61" s="55">
        <f>Feuil2!E42</f>
        <v>10000</v>
      </c>
      <c r="J61" s="223" t="s">
        <v>117</v>
      </c>
      <c r="K61" s="225"/>
      <c r="L61" s="139"/>
      <c r="M61" s="156"/>
      <c r="N61" s="156"/>
      <c r="O61" s="139"/>
      <c r="P61" s="139"/>
      <c r="Q61" s="156"/>
      <c r="R61" s="139"/>
    </row>
    <row r="62" spans="1:18" ht="15.75" customHeight="1">
      <c r="A62" s="39"/>
      <c r="J62" s="111" t="s">
        <v>176</v>
      </c>
      <c r="K62" s="188">
        <f>F57+F58</f>
        <v>305000</v>
      </c>
      <c r="L62" s="139"/>
      <c r="M62" s="156"/>
      <c r="N62" s="156"/>
      <c r="O62" s="139"/>
      <c r="P62" s="139"/>
      <c r="Q62" s="156"/>
      <c r="R62" s="139"/>
    </row>
    <row r="63" spans="1:18" ht="15.75" customHeight="1">
      <c r="A63" s="59" t="s">
        <v>127</v>
      </c>
      <c r="B63" s="13"/>
      <c r="C63" s="13"/>
      <c r="D63" s="13"/>
      <c r="E63" s="13"/>
      <c r="F63" s="13"/>
      <c r="G63" s="13"/>
      <c r="H63" s="13"/>
      <c r="J63" s="142" t="s">
        <v>177</v>
      </c>
      <c r="K63" s="196">
        <v>1.07</v>
      </c>
      <c r="L63" s="139"/>
      <c r="M63" s="156"/>
      <c r="N63" s="156"/>
      <c r="O63" s="139"/>
      <c r="P63" s="139"/>
      <c r="Q63" s="156"/>
      <c r="R63" s="139"/>
    </row>
    <row r="64" spans="1:18" ht="15.75" customHeight="1">
      <c r="A64" s="59"/>
      <c r="B64" s="13"/>
      <c r="C64" s="13"/>
      <c r="D64" s="13"/>
      <c r="E64" s="13"/>
      <c r="F64" s="13"/>
      <c r="G64" s="13"/>
      <c r="H64" s="13"/>
      <c r="J64" s="142"/>
      <c r="K64" s="152"/>
      <c r="L64" s="139"/>
      <c r="M64" s="156"/>
      <c r="N64" s="156"/>
      <c r="O64" s="139"/>
      <c r="P64" s="139"/>
      <c r="Q64" s="156"/>
      <c r="R64" s="139"/>
    </row>
    <row r="65" spans="1:18" ht="15.75" customHeight="1">
      <c r="A65" s="218" t="s">
        <v>121</v>
      </c>
      <c r="B65" s="218"/>
      <c r="C65" s="218"/>
      <c r="D65" s="218"/>
      <c r="E65" s="218"/>
      <c r="F65" s="218"/>
      <c r="G65" s="218"/>
      <c r="H65" s="218"/>
      <c r="J65" s="142"/>
      <c r="K65" s="152"/>
      <c r="L65" s="139"/>
      <c r="M65" s="156"/>
      <c r="N65" s="156"/>
      <c r="O65" s="139"/>
      <c r="P65" s="139"/>
      <c r="Q65" s="156"/>
      <c r="R65" s="139"/>
    </row>
    <row r="66" spans="1:18" ht="14.25" customHeight="1" thickBot="1">
      <c r="A66" s="218" t="s">
        <v>83</v>
      </c>
      <c r="B66" s="218"/>
      <c r="C66" s="218"/>
      <c r="D66" s="218"/>
      <c r="E66" s="218"/>
      <c r="F66" s="218"/>
      <c r="G66" s="218"/>
      <c r="H66" s="218"/>
      <c r="J66" s="144" t="s">
        <v>120</v>
      </c>
      <c r="K66" s="182">
        <f>(K62*K63)-K62</f>
        <v>21350</v>
      </c>
      <c r="L66" s="139"/>
      <c r="M66" s="156"/>
      <c r="N66" s="156"/>
      <c r="O66" s="156"/>
      <c r="P66" s="156"/>
      <c r="Q66" s="156"/>
      <c r="R66" s="139"/>
    </row>
    <row r="67" spans="1:18" ht="14.25" customHeight="1">
      <c r="A67" s="218" t="s">
        <v>84</v>
      </c>
      <c r="B67" s="218"/>
      <c r="C67" s="218"/>
      <c r="D67" s="218"/>
      <c r="E67" s="218"/>
      <c r="F67" s="218"/>
      <c r="G67" s="218"/>
      <c r="H67" s="218"/>
      <c r="J67" s="112"/>
      <c r="K67" s="141"/>
      <c r="L67" s="139"/>
      <c r="M67" s="156"/>
      <c r="N67" s="156"/>
      <c r="O67" s="156"/>
      <c r="P67" s="156"/>
      <c r="Q67" s="156"/>
      <c r="R67" s="139"/>
    </row>
    <row r="68" spans="1:18" ht="14.25" customHeight="1" thickBot="1">
      <c r="A68" s="59"/>
      <c r="B68" s="59"/>
      <c r="C68" s="59"/>
      <c r="D68" s="59"/>
      <c r="E68" s="59"/>
      <c r="F68" s="59"/>
      <c r="G68" s="59"/>
      <c r="H68" s="59"/>
      <c r="J68" s="112"/>
      <c r="K68" s="141"/>
      <c r="L68" s="139"/>
      <c r="M68" s="156"/>
      <c r="N68" s="156"/>
      <c r="O68" s="156"/>
      <c r="P68" s="156"/>
      <c r="Q68" s="156"/>
      <c r="R68" s="139"/>
    </row>
    <row r="69" spans="1:18" ht="14.25" customHeight="1" thickBot="1">
      <c r="A69" s="59"/>
      <c r="J69" s="223" t="s">
        <v>131</v>
      </c>
      <c r="K69" s="224"/>
      <c r="L69" s="225"/>
      <c r="M69" s="223" t="s">
        <v>132</v>
      </c>
      <c r="N69" s="224"/>
      <c r="O69" s="225"/>
      <c r="P69" s="156"/>
      <c r="Q69" s="156"/>
      <c r="R69" s="139"/>
    </row>
    <row r="70" spans="1:18" ht="14.25" customHeight="1">
      <c r="A70" s="218" t="s">
        <v>78</v>
      </c>
      <c r="B70" s="218"/>
      <c r="C70" s="218"/>
      <c r="D70" s="218"/>
      <c r="E70" s="218"/>
      <c r="F70" s="218"/>
      <c r="G70" s="218"/>
      <c r="H70" s="218"/>
      <c r="J70" s="111" t="s">
        <v>178</v>
      </c>
      <c r="K70" s="66">
        <f>F55</f>
        <v>30</v>
      </c>
      <c r="L70" s="116"/>
      <c r="M70" s="111" t="s">
        <v>188</v>
      </c>
      <c r="N70" s="66"/>
      <c r="O70" s="116"/>
      <c r="P70" s="156"/>
      <c r="Q70" s="156"/>
      <c r="R70" s="139"/>
    </row>
    <row r="71" spans="1:18" ht="14.25" customHeight="1">
      <c r="A71" s="218" t="s">
        <v>87</v>
      </c>
      <c r="B71" s="218"/>
      <c r="C71" s="218"/>
      <c r="D71" s="218"/>
      <c r="E71" s="218"/>
      <c r="F71" s="218"/>
      <c r="G71" s="218"/>
      <c r="H71" s="218"/>
      <c r="J71" s="111" t="s">
        <v>186</v>
      </c>
      <c r="K71" s="163">
        <f>F56</f>
        <v>204000</v>
      </c>
      <c r="L71" s="152"/>
      <c r="M71" s="111"/>
      <c r="N71" s="66"/>
      <c r="O71" s="152"/>
      <c r="P71" s="156"/>
      <c r="Q71" s="156"/>
      <c r="R71" s="139"/>
    </row>
    <row r="72" spans="1:18" ht="14.25" customHeight="1">
      <c r="A72" s="218" t="s">
        <v>77</v>
      </c>
      <c r="B72" s="218"/>
      <c r="C72" s="218"/>
      <c r="D72" s="218"/>
      <c r="E72" s="218"/>
      <c r="F72" s="218"/>
      <c r="G72" s="218"/>
      <c r="H72" s="218"/>
      <c r="J72" s="111" t="s">
        <v>179</v>
      </c>
      <c r="K72" s="189">
        <f>M11</f>
        <v>13</v>
      </c>
      <c r="L72" s="127"/>
      <c r="O72" s="127"/>
      <c r="P72" s="156"/>
      <c r="Q72" s="156"/>
      <c r="R72" s="139"/>
    </row>
    <row r="73" spans="1:18" ht="14.25" customHeight="1">
      <c r="J73" s="111" t="s">
        <v>187</v>
      </c>
      <c r="K73" s="15">
        <f>K28</f>
        <v>351305</v>
      </c>
      <c r="L73" s="116"/>
      <c r="M73" s="111"/>
      <c r="N73" s="112"/>
      <c r="O73" s="116"/>
      <c r="P73" s="156"/>
      <c r="Q73" s="156"/>
      <c r="R73" s="139"/>
    </row>
    <row r="74" spans="1:18" ht="14.25" customHeight="1">
      <c r="A74" s="218" t="s">
        <v>134</v>
      </c>
      <c r="B74" s="218"/>
      <c r="C74" s="218"/>
      <c r="D74" s="218"/>
      <c r="E74" s="218"/>
      <c r="F74" s="218"/>
      <c r="G74" s="218"/>
      <c r="H74" s="218"/>
      <c r="J74" s="111"/>
      <c r="K74" s="112"/>
      <c r="L74" s="136"/>
      <c r="M74" s="111"/>
      <c r="N74" s="112"/>
      <c r="O74" s="136"/>
      <c r="P74" s="156"/>
      <c r="Q74" s="156"/>
      <c r="R74" s="139"/>
    </row>
    <row r="75" spans="1:18" ht="14.25" customHeight="1" thickBot="1">
      <c r="J75" s="233" t="s">
        <v>136</v>
      </c>
      <c r="K75" s="226"/>
      <c r="L75" s="190">
        <f>ABS((K70*K71)-(K72*K73))</f>
        <v>1553035</v>
      </c>
      <c r="M75" s="114"/>
      <c r="N75" s="145" t="s">
        <v>138</v>
      </c>
      <c r="O75" s="191">
        <v>0</v>
      </c>
      <c r="P75" s="156"/>
      <c r="Q75" s="156"/>
      <c r="R75" s="139"/>
    </row>
    <row r="76" spans="1:18" ht="14.25" customHeight="1" thickBot="1">
      <c r="J76" s="156"/>
      <c r="K76" s="156"/>
      <c r="L76" s="156"/>
      <c r="M76" s="156"/>
      <c r="N76" s="156"/>
      <c r="O76" s="156"/>
      <c r="P76" s="156"/>
      <c r="Q76" s="156"/>
      <c r="R76" s="139"/>
    </row>
    <row r="77" spans="1:18" ht="14.25" customHeight="1" thickBot="1">
      <c r="J77" s="219" t="s">
        <v>135</v>
      </c>
      <c r="K77" s="220"/>
      <c r="L77" s="220"/>
      <c r="M77" s="221"/>
      <c r="N77" s="139"/>
      <c r="O77" s="139"/>
      <c r="P77" s="156"/>
      <c r="Q77" s="156"/>
      <c r="R77" s="139"/>
    </row>
    <row r="78" spans="1:18" ht="14.25" customHeight="1">
      <c r="J78" s="111"/>
      <c r="K78" s="112">
        <v>1</v>
      </c>
      <c r="L78" s="112">
        <v>2</v>
      </c>
      <c r="M78" s="150"/>
      <c r="N78" s="139"/>
      <c r="O78" s="139"/>
      <c r="P78" s="156"/>
      <c r="Q78" s="156"/>
      <c r="R78" s="139"/>
    </row>
    <row r="79" spans="1:18" ht="14.25" customHeight="1">
      <c r="J79" s="111" t="s">
        <v>197</v>
      </c>
      <c r="K79" s="193">
        <f>O41+M31</f>
        <v>242400.44999999984</v>
      </c>
      <c r="L79" s="192">
        <f>F51+F53</f>
        <v>8000</v>
      </c>
      <c r="M79" s="150"/>
      <c r="N79" s="139"/>
      <c r="O79" s="139"/>
      <c r="P79" s="156"/>
      <c r="Q79" s="156"/>
      <c r="R79" s="139"/>
    </row>
    <row r="80" spans="1:18" ht="14.25" customHeight="1">
      <c r="J80" s="111" t="s">
        <v>36</v>
      </c>
      <c r="K80" s="203">
        <v>0</v>
      </c>
      <c r="L80" s="192">
        <f>(F57+F58-F61)/F60</f>
        <v>14750</v>
      </c>
      <c r="M80" s="150"/>
      <c r="N80" s="139"/>
      <c r="O80" s="139"/>
      <c r="P80" s="156"/>
      <c r="Q80" s="156"/>
      <c r="R80" s="139"/>
    </row>
    <row r="81" spans="10:18" ht="14.25" customHeight="1">
      <c r="J81" s="111"/>
      <c r="K81" s="15"/>
      <c r="L81" s="197"/>
      <c r="M81" s="150"/>
      <c r="N81" s="139"/>
      <c r="O81" s="139"/>
      <c r="P81" s="156"/>
      <c r="Q81" s="156"/>
      <c r="R81" s="139"/>
    </row>
    <row r="82" spans="10:18" ht="14.25" customHeight="1">
      <c r="J82" s="111"/>
      <c r="K82" s="112"/>
      <c r="L82" s="143"/>
      <c r="M82" s="150"/>
      <c r="N82" s="139"/>
      <c r="O82" s="139"/>
      <c r="P82" s="156"/>
      <c r="Q82" s="156"/>
      <c r="R82" s="139"/>
    </row>
    <row r="83" spans="10:18" ht="14.25" customHeight="1" thickBot="1">
      <c r="J83" s="204" t="s">
        <v>198</v>
      </c>
      <c r="K83" s="121" t="s">
        <v>146</v>
      </c>
      <c r="L83" s="160" t="s">
        <v>129</v>
      </c>
      <c r="M83" s="190">
        <f>ABS((L79+L80)-K79)</f>
        <v>219650.44999999984</v>
      </c>
      <c r="N83" s="123"/>
      <c r="O83" s="123"/>
      <c r="P83" s="156"/>
      <c r="Q83" s="156"/>
      <c r="R83" s="139"/>
    </row>
    <row r="84" spans="10:18" ht="14.25" customHeight="1" thickBot="1">
      <c r="J84" s="139"/>
      <c r="K84" s="139"/>
      <c r="L84" s="156"/>
      <c r="M84" s="156"/>
      <c r="N84" s="139"/>
      <c r="O84" s="139"/>
      <c r="P84" s="156"/>
      <c r="Q84" s="156"/>
      <c r="R84" s="139"/>
    </row>
    <row r="85" spans="10:18" ht="14.25" customHeight="1" thickBot="1">
      <c r="J85" s="219" t="s">
        <v>133</v>
      </c>
      <c r="K85" s="220"/>
      <c r="L85" s="220"/>
      <c r="M85" s="221"/>
      <c r="N85" s="137"/>
      <c r="O85" s="137"/>
      <c r="P85" s="112"/>
      <c r="Q85" s="112"/>
      <c r="R85" s="139"/>
    </row>
    <row r="86" spans="10:18" ht="14.25" customHeight="1">
      <c r="J86" s="111"/>
      <c r="K86" s="112"/>
      <c r="L86" s="112"/>
      <c r="M86" s="150"/>
      <c r="N86" s="157"/>
      <c r="O86" s="157"/>
      <c r="P86" s="123"/>
      <c r="Q86" s="123"/>
      <c r="R86" s="139"/>
    </row>
    <row r="87" spans="10:18" ht="14.25" customHeight="1">
      <c r="J87" s="111"/>
      <c r="K87" s="137">
        <v>1</v>
      </c>
      <c r="L87" s="137">
        <v>2</v>
      </c>
      <c r="M87" s="150"/>
      <c r="N87" s="157"/>
      <c r="O87" s="157"/>
      <c r="P87" s="123"/>
      <c r="Q87" s="123"/>
      <c r="R87" s="139"/>
    </row>
    <row r="88" spans="10:18" ht="14.25" customHeight="1">
      <c r="J88" s="111" t="s">
        <v>180</v>
      </c>
      <c r="K88" s="193">
        <f>(K31+M39)*K89</f>
        <v>3337397.5</v>
      </c>
      <c r="L88" s="192">
        <f>(F50+F52+F54)*L89</f>
        <v>4182000</v>
      </c>
      <c r="M88" s="150"/>
      <c r="N88" s="157"/>
      <c r="O88" s="157"/>
      <c r="P88" s="123"/>
      <c r="Q88" s="123"/>
      <c r="R88" s="139"/>
    </row>
    <row r="89" spans="10:18" ht="14.25" customHeight="1">
      <c r="J89" s="111" t="s">
        <v>189</v>
      </c>
      <c r="K89" s="15">
        <f>K28</f>
        <v>351305</v>
      </c>
      <c r="L89" s="197">
        <f>F56</f>
        <v>204000</v>
      </c>
      <c r="M89" s="150"/>
      <c r="N89" s="157"/>
      <c r="O89" s="157"/>
      <c r="P89" s="123"/>
      <c r="Q89" s="123"/>
      <c r="R89" s="139"/>
    </row>
    <row r="90" spans="10:18" ht="14.25" customHeight="1">
      <c r="J90" s="111"/>
      <c r="K90" s="112"/>
      <c r="L90" s="143"/>
      <c r="M90" s="150"/>
      <c r="N90" s="157"/>
      <c r="O90" s="157"/>
      <c r="P90" s="123"/>
      <c r="Q90" s="123"/>
      <c r="R90" s="139"/>
    </row>
    <row r="91" spans="10:18" ht="14.25" customHeight="1" thickBot="1">
      <c r="J91" s="204" t="s">
        <v>199</v>
      </c>
      <c r="K91" s="121" t="s">
        <v>146</v>
      </c>
      <c r="L91" s="160" t="s">
        <v>130</v>
      </c>
      <c r="M91" s="190">
        <f>ABS((K88+K87)-(L87+L88))</f>
        <v>844603.5</v>
      </c>
      <c r="N91" s="123"/>
      <c r="O91" s="123"/>
      <c r="P91" s="123"/>
      <c r="Q91" s="123"/>
      <c r="R91" s="139"/>
    </row>
    <row r="92" spans="10:18" ht="14.25" customHeight="1" thickBot="1">
      <c r="J92" s="158"/>
      <c r="K92" s="123"/>
      <c r="L92" s="123"/>
      <c r="M92" s="123"/>
      <c r="N92" s="123"/>
      <c r="O92" s="123"/>
      <c r="P92" s="123"/>
      <c r="Q92" s="123"/>
      <c r="R92" s="139"/>
    </row>
    <row r="93" spans="10:18" ht="14.25" customHeight="1" thickBot="1">
      <c r="J93" s="219" t="s">
        <v>137</v>
      </c>
      <c r="K93" s="220"/>
      <c r="L93" s="220"/>
      <c r="M93" s="221"/>
      <c r="N93" s="123"/>
      <c r="O93" s="123"/>
      <c r="P93" s="123"/>
      <c r="Q93" s="123"/>
      <c r="R93" s="139"/>
    </row>
    <row r="94" spans="10:18" ht="14.25" customHeight="1">
      <c r="J94" s="111"/>
      <c r="K94" s="112"/>
      <c r="L94" s="112"/>
      <c r="M94" s="150"/>
      <c r="N94" s="123"/>
      <c r="O94" s="123"/>
      <c r="P94" s="123"/>
      <c r="Q94" s="123"/>
      <c r="R94" s="139"/>
    </row>
    <row r="95" spans="10:18" ht="14.25" customHeight="1">
      <c r="J95" s="111"/>
      <c r="K95" s="87"/>
      <c r="L95" s="193"/>
      <c r="M95" s="150"/>
      <c r="N95" s="123"/>
      <c r="O95" s="123"/>
      <c r="P95" s="123"/>
      <c r="Q95" s="123"/>
      <c r="R95" s="139"/>
    </row>
    <row r="96" spans="10:18" ht="14.25" customHeight="1">
      <c r="J96" s="111"/>
      <c r="K96" s="193"/>
      <c r="L96" s="193"/>
      <c r="M96" s="150"/>
      <c r="N96" s="123"/>
      <c r="O96" s="123"/>
      <c r="P96" s="123"/>
      <c r="Q96" s="123"/>
      <c r="R96" s="139"/>
    </row>
    <row r="97" spans="10:18" ht="14.25" customHeight="1">
      <c r="J97" s="111"/>
      <c r="K97" s="112"/>
      <c r="L97" s="112"/>
      <c r="M97" s="150"/>
      <c r="N97" s="123"/>
      <c r="O97" s="123"/>
      <c r="P97" s="123"/>
      <c r="Q97" s="123"/>
      <c r="R97" s="139"/>
    </row>
    <row r="98" spans="10:18" ht="14.25" customHeight="1">
      <c r="J98" s="111"/>
      <c r="K98" s="112"/>
      <c r="L98" s="143"/>
      <c r="M98" s="150"/>
      <c r="N98" s="123"/>
      <c r="O98" s="123"/>
      <c r="P98" s="123"/>
      <c r="Q98" s="123"/>
      <c r="R98" s="139"/>
    </row>
    <row r="99" spans="10:18" ht="14.25" customHeight="1" thickBot="1">
      <c r="J99" s="122"/>
      <c r="K99" s="121"/>
      <c r="L99" s="160" t="s">
        <v>143</v>
      </c>
      <c r="M99" s="190">
        <f>(M83+L75)-M91-K66</f>
        <v>906731.94999999972</v>
      </c>
      <c r="N99" s="123"/>
      <c r="O99" s="123"/>
      <c r="P99" s="123"/>
      <c r="Q99" s="123"/>
      <c r="R99" s="139"/>
    </row>
    <row r="100" spans="10:18" ht="14.25" customHeight="1">
      <c r="J100" s="67"/>
      <c r="K100" s="91"/>
      <c r="L100" s="91"/>
      <c r="M100" s="67"/>
      <c r="N100" s="67"/>
      <c r="O100" s="67"/>
      <c r="P100" s="67"/>
      <c r="Q100" s="67"/>
    </row>
    <row r="101" spans="10:18" ht="14.25" customHeight="1"/>
    <row r="102" spans="10:18" ht="14.25" customHeight="1"/>
    <row r="103" spans="10:18" ht="14.25" customHeight="1"/>
    <row r="104" spans="10:18" ht="14.25" customHeight="1"/>
    <row r="105" spans="10:18" ht="14.25" customHeight="1"/>
    <row r="106" spans="10:18" ht="14.25" customHeight="1"/>
    <row r="107" spans="10:18" ht="14.25" customHeight="1"/>
    <row r="108" spans="10:18" ht="14.25" customHeight="1"/>
    <row r="109" spans="10:18" ht="14.25" customHeight="1"/>
    <row r="110" spans="10:18" ht="14.25" customHeight="1"/>
    <row r="111" spans="10:18" ht="14.25" customHeight="1"/>
    <row r="112" spans="10:1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sheetData>
  <mergeCells count="45">
    <mergeCell ref="J61:K61"/>
    <mergeCell ref="J69:L69"/>
    <mergeCell ref="M69:O69"/>
    <mergeCell ref="J59:Q59"/>
    <mergeCell ref="K1:L1"/>
    <mergeCell ref="N1:O1"/>
    <mergeCell ref="Q1:R1"/>
    <mergeCell ref="J13:Q13"/>
    <mergeCell ref="J33:M33"/>
    <mergeCell ref="N33:Q33"/>
    <mergeCell ref="J43:K43"/>
    <mergeCell ref="L43:M43"/>
    <mergeCell ref="N43:O43"/>
    <mergeCell ref="P43:Q43"/>
    <mergeCell ref="J85:M85"/>
    <mergeCell ref="J93:M93"/>
    <mergeCell ref="A74:H74"/>
    <mergeCell ref="J4:Q4"/>
    <mergeCell ref="J6:M6"/>
    <mergeCell ref="K11:L11"/>
    <mergeCell ref="C47:F49"/>
    <mergeCell ref="A3:H6"/>
    <mergeCell ref="A40:H42"/>
    <mergeCell ref="A43:H44"/>
    <mergeCell ref="A37:H37"/>
    <mergeCell ref="A28:H28"/>
    <mergeCell ref="A45:H45"/>
    <mergeCell ref="A72:H72"/>
    <mergeCell ref="A67:H67"/>
    <mergeCell ref="J75:K75"/>
    <mergeCell ref="A66:H66"/>
    <mergeCell ref="A65:H65"/>
    <mergeCell ref="A70:H70"/>
    <mergeCell ref="A71:H71"/>
    <mergeCell ref="J77:M77"/>
    <mergeCell ref="A35:H35"/>
    <mergeCell ref="A31:H31"/>
    <mergeCell ref="A34:H34"/>
    <mergeCell ref="A36:H36"/>
    <mergeCell ref="A39:H39"/>
    <mergeCell ref="A1:G1"/>
    <mergeCell ref="A26:H26"/>
    <mergeCell ref="A29:H29"/>
    <mergeCell ref="B8:F8"/>
    <mergeCell ref="A30:H30"/>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B2:I1001"/>
  <sheetViews>
    <sheetView topLeftCell="A11" workbookViewId="0">
      <selection activeCell="H24" sqref="H24"/>
    </sheetView>
  </sheetViews>
  <sheetFormatPr baseColWidth="10" defaultColWidth="12.6640625" defaultRowHeight="15" customHeight="1"/>
  <cols>
    <col min="1" max="1" width="2.5" style="7" customWidth="1"/>
    <col min="2" max="2" width="18.33203125" style="7" bestFit="1" customWidth="1"/>
    <col min="3" max="3" width="13.83203125" style="7" bestFit="1" customWidth="1"/>
    <col min="4" max="4" width="13.83203125" style="7" customWidth="1"/>
    <col min="5" max="7" width="13.83203125" style="7" bestFit="1" customWidth="1"/>
    <col min="8" max="8" width="14.83203125" style="7" bestFit="1" customWidth="1"/>
    <col min="9" max="22" width="10" style="7" customWidth="1"/>
    <col min="23" max="16384" width="12.6640625" style="7"/>
  </cols>
  <sheetData>
    <row r="2" spans="2:9" ht="15" customHeight="1">
      <c r="C2" s="7" t="s">
        <v>17</v>
      </c>
      <c r="D2" s="14" t="s">
        <v>42</v>
      </c>
      <c r="E2" s="7" t="s">
        <v>19</v>
      </c>
      <c r="F2" s="7" t="s">
        <v>20</v>
      </c>
      <c r="G2" s="7" t="s">
        <v>46</v>
      </c>
      <c r="H2" s="7" t="s">
        <v>47</v>
      </c>
      <c r="I2" s="7" t="s">
        <v>49</v>
      </c>
    </row>
    <row r="3" spans="2:9">
      <c r="B3" s="7" t="s">
        <v>0</v>
      </c>
      <c r="C3" s="15">
        <v>34605</v>
      </c>
      <c r="D3" s="16">
        <f>C3*$C$17</f>
        <v>449865</v>
      </c>
      <c r="E3" s="16">
        <f>C3*$C$18+$C$19</f>
        <v>271537.5</v>
      </c>
      <c r="F3" s="16">
        <f>C3*C$20</f>
        <v>69210</v>
      </c>
      <c r="G3" s="17">
        <f>$C$21</f>
        <v>8200</v>
      </c>
      <c r="H3" s="18">
        <f>D3-E3-F3-G3</f>
        <v>100917.5</v>
      </c>
      <c r="I3" s="18">
        <f>H3/C3</f>
        <v>2.9162693252420171</v>
      </c>
    </row>
    <row r="4" spans="2:9">
      <c r="B4" s="7" t="s">
        <v>22</v>
      </c>
      <c r="C4" s="15">
        <v>33200</v>
      </c>
      <c r="D4" s="16">
        <f t="shared" ref="D4:D14" si="0">C4*$C$17</f>
        <v>431600</v>
      </c>
      <c r="E4" s="16">
        <f t="shared" ref="E4:E14" si="1">C4*$C$18+$C$19</f>
        <v>261000</v>
      </c>
      <c r="F4" s="16">
        <f t="shared" ref="F4:F14" si="2">C4*C$20</f>
        <v>66400</v>
      </c>
      <c r="G4" s="17">
        <f t="shared" ref="G4:G14" si="3">$C$21</f>
        <v>8200</v>
      </c>
      <c r="H4" s="18">
        <f t="shared" ref="H4:H15" si="4">D4-E4-F4-G4</f>
        <v>96000</v>
      </c>
      <c r="I4" s="18">
        <f t="shared" ref="I4:I15" si="5">H4/C4</f>
        <v>2.8915662650602409</v>
      </c>
    </row>
    <row r="5" spans="2:9">
      <c r="B5" s="7" t="s">
        <v>3</v>
      </c>
      <c r="C5" s="15">
        <v>25400</v>
      </c>
      <c r="D5" s="16">
        <f t="shared" si="0"/>
        <v>330200</v>
      </c>
      <c r="E5" s="16">
        <f t="shared" si="1"/>
        <v>202500</v>
      </c>
      <c r="F5" s="16">
        <f t="shared" si="2"/>
        <v>50800</v>
      </c>
      <c r="G5" s="17">
        <f t="shared" si="3"/>
        <v>8200</v>
      </c>
      <c r="H5" s="18">
        <f t="shared" si="4"/>
        <v>68700</v>
      </c>
      <c r="I5" s="18">
        <f t="shared" si="5"/>
        <v>2.704724409448819</v>
      </c>
    </row>
    <row r="6" spans="2:9">
      <c r="B6" s="7" t="s">
        <v>5</v>
      </c>
      <c r="C6" s="15">
        <v>21900</v>
      </c>
      <c r="D6" s="16">
        <f t="shared" si="0"/>
        <v>284700</v>
      </c>
      <c r="E6" s="16">
        <f t="shared" si="1"/>
        <v>176250</v>
      </c>
      <c r="F6" s="16">
        <f t="shared" si="2"/>
        <v>43800</v>
      </c>
      <c r="G6" s="17">
        <f t="shared" si="3"/>
        <v>8200</v>
      </c>
      <c r="H6" s="18">
        <f t="shared" si="4"/>
        <v>56450</v>
      </c>
      <c r="I6" s="18">
        <f t="shared" si="5"/>
        <v>2.5776255707762559</v>
      </c>
    </row>
    <row r="7" spans="2:9">
      <c r="B7" s="7" t="s">
        <v>6</v>
      </c>
      <c r="C7" s="15">
        <v>18000</v>
      </c>
      <c r="D7" s="16">
        <f t="shared" si="0"/>
        <v>234000</v>
      </c>
      <c r="E7" s="16">
        <f t="shared" si="1"/>
        <v>147000</v>
      </c>
      <c r="F7" s="16">
        <f t="shared" si="2"/>
        <v>36000</v>
      </c>
      <c r="G7" s="17">
        <f t="shared" si="3"/>
        <v>8200</v>
      </c>
      <c r="H7" s="18">
        <f t="shared" si="4"/>
        <v>42800</v>
      </c>
      <c r="I7" s="18">
        <f t="shared" si="5"/>
        <v>2.3777777777777778</v>
      </c>
    </row>
    <row r="8" spans="2:9">
      <c r="B8" s="7" t="s">
        <v>7</v>
      </c>
      <c r="C8" s="15">
        <v>21400</v>
      </c>
      <c r="D8" s="16">
        <f t="shared" si="0"/>
        <v>278200</v>
      </c>
      <c r="E8" s="16">
        <f t="shared" si="1"/>
        <v>172500</v>
      </c>
      <c r="F8" s="16">
        <f t="shared" si="2"/>
        <v>42800</v>
      </c>
      <c r="G8" s="17">
        <f t="shared" si="3"/>
        <v>8200</v>
      </c>
      <c r="H8" s="18">
        <f t="shared" si="4"/>
        <v>54700</v>
      </c>
      <c r="I8" s="18">
        <f t="shared" si="5"/>
        <v>2.55607476635514</v>
      </c>
    </row>
    <row r="9" spans="2:9">
      <c r="B9" s="7" t="s">
        <v>8</v>
      </c>
      <c r="C9" s="15">
        <v>22100</v>
      </c>
      <c r="D9" s="16">
        <f t="shared" si="0"/>
        <v>287300</v>
      </c>
      <c r="E9" s="16">
        <f t="shared" si="1"/>
        <v>177750</v>
      </c>
      <c r="F9" s="16">
        <f t="shared" si="2"/>
        <v>44200</v>
      </c>
      <c r="G9" s="17">
        <f t="shared" si="3"/>
        <v>8200</v>
      </c>
      <c r="H9" s="18">
        <f t="shared" si="4"/>
        <v>57150</v>
      </c>
      <c r="I9" s="18">
        <f t="shared" si="5"/>
        <v>2.5859728506787332</v>
      </c>
    </row>
    <row r="10" spans="2:9">
      <c r="B10" s="7" t="s">
        <v>25</v>
      </c>
      <c r="C10" s="15">
        <v>21900</v>
      </c>
      <c r="D10" s="16">
        <f t="shared" si="0"/>
        <v>284700</v>
      </c>
      <c r="E10" s="16">
        <f t="shared" si="1"/>
        <v>176250</v>
      </c>
      <c r="F10" s="16">
        <f t="shared" si="2"/>
        <v>43800</v>
      </c>
      <c r="G10" s="17">
        <f t="shared" si="3"/>
        <v>8200</v>
      </c>
      <c r="H10" s="18">
        <f t="shared" si="4"/>
        <v>56450</v>
      </c>
      <c r="I10" s="18">
        <f t="shared" si="5"/>
        <v>2.5776255707762559</v>
      </c>
    </row>
    <row r="11" spans="2:9">
      <c r="B11" s="7" t="s">
        <v>11</v>
      </c>
      <c r="C11" s="15">
        <v>26500</v>
      </c>
      <c r="D11" s="16">
        <f t="shared" si="0"/>
        <v>344500</v>
      </c>
      <c r="E11" s="16">
        <f t="shared" si="1"/>
        <v>210750</v>
      </c>
      <c r="F11" s="16">
        <f t="shared" si="2"/>
        <v>53000</v>
      </c>
      <c r="G11" s="17">
        <f t="shared" si="3"/>
        <v>8200</v>
      </c>
      <c r="H11" s="18">
        <f t="shared" si="4"/>
        <v>72550</v>
      </c>
      <c r="I11" s="18">
        <f t="shared" si="5"/>
        <v>2.7377358490566039</v>
      </c>
    </row>
    <row r="12" spans="2:9">
      <c r="B12" s="7" t="s">
        <v>15</v>
      </c>
      <c r="C12" s="15">
        <v>37100</v>
      </c>
      <c r="D12" s="16">
        <f t="shared" si="0"/>
        <v>482300</v>
      </c>
      <c r="E12" s="16">
        <f t="shared" si="1"/>
        <v>290250</v>
      </c>
      <c r="F12" s="16">
        <f t="shared" si="2"/>
        <v>74200</v>
      </c>
      <c r="G12" s="17">
        <f t="shared" si="3"/>
        <v>8200</v>
      </c>
      <c r="H12" s="18">
        <f t="shared" si="4"/>
        <v>109650</v>
      </c>
      <c r="I12" s="18">
        <f t="shared" si="5"/>
        <v>2.9555256064690028</v>
      </c>
    </row>
    <row r="13" spans="2:9">
      <c r="B13" s="7" t="s">
        <v>16</v>
      </c>
      <c r="C13" s="15">
        <v>41400</v>
      </c>
      <c r="D13" s="16">
        <f t="shared" si="0"/>
        <v>538200</v>
      </c>
      <c r="E13" s="16">
        <f t="shared" si="1"/>
        <v>322500</v>
      </c>
      <c r="F13" s="16">
        <f t="shared" si="2"/>
        <v>82800</v>
      </c>
      <c r="G13" s="17">
        <f t="shared" si="3"/>
        <v>8200</v>
      </c>
      <c r="H13" s="18">
        <f t="shared" si="4"/>
        <v>124700</v>
      </c>
      <c r="I13" s="18">
        <f t="shared" si="5"/>
        <v>3.0120772946859904</v>
      </c>
    </row>
    <row r="14" spans="2:9">
      <c r="B14" s="7" t="s">
        <v>18</v>
      </c>
      <c r="C14" s="15">
        <v>47800</v>
      </c>
      <c r="D14" s="16">
        <f t="shared" si="0"/>
        <v>621400</v>
      </c>
      <c r="E14" s="16">
        <f t="shared" si="1"/>
        <v>370500</v>
      </c>
      <c r="F14" s="16">
        <f t="shared" si="2"/>
        <v>95600</v>
      </c>
      <c r="G14" s="17">
        <f t="shared" si="3"/>
        <v>8200</v>
      </c>
      <c r="H14" s="18">
        <f t="shared" si="4"/>
        <v>147100</v>
      </c>
      <c r="I14" s="18">
        <f t="shared" si="5"/>
        <v>3.0774058577405858</v>
      </c>
    </row>
    <row r="15" spans="2:9">
      <c r="C15" s="15">
        <f>SUM(C3:C14)</f>
        <v>351305</v>
      </c>
      <c r="D15" s="16">
        <f>SUM(D3:D14)</f>
        <v>4566965</v>
      </c>
      <c r="E15" s="16">
        <f>SUM(E3:E14)</f>
        <v>2778787.5</v>
      </c>
      <c r="F15" s="16">
        <f>SUM(F3:F14)</f>
        <v>702610</v>
      </c>
      <c r="G15" s="16">
        <f>SUM(G3:G14)</f>
        <v>98400</v>
      </c>
      <c r="H15" s="18">
        <f t="shared" si="4"/>
        <v>987167.5</v>
      </c>
      <c r="I15" s="18">
        <f t="shared" si="5"/>
        <v>2.810001280938216</v>
      </c>
    </row>
    <row r="16" spans="2:9">
      <c r="D16" s="16"/>
      <c r="E16" s="16"/>
      <c r="F16" s="16"/>
      <c r="G16" s="16"/>
    </row>
    <row r="17" spans="2:7">
      <c r="B17" s="7" t="s">
        <v>44</v>
      </c>
      <c r="C17" s="16">
        <v>13</v>
      </c>
      <c r="D17" s="16"/>
    </row>
    <row r="18" spans="2:7">
      <c r="B18" s="19" t="s">
        <v>23</v>
      </c>
      <c r="C18" s="16">
        <v>7.5</v>
      </c>
      <c r="D18" s="16"/>
    </row>
    <row r="19" spans="2:7">
      <c r="B19" s="19" t="s">
        <v>45</v>
      </c>
      <c r="C19" s="22">
        <v>12000</v>
      </c>
      <c r="D19" s="16">
        <f>C19*12</f>
        <v>144000</v>
      </c>
    </row>
    <row r="20" spans="2:7">
      <c r="B20" s="19" t="s">
        <v>24</v>
      </c>
      <c r="C20" s="16">
        <v>2</v>
      </c>
      <c r="D20" s="16"/>
    </row>
    <row r="21" spans="2:7">
      <c r="B21" s="19" t="s">
        <v>48</v>
      </c>
      <c r="C21" s="22">
        <v>8200</v>
      </c>
      <c r="D21" s="16">
        <f>C21*12</f>
        <v>98400</v>
      </c>
      <c r="E21" s="18">
        <f>SUM(C3:C14)*C22</f>
        <v>987167.5</v>
      </c>
      <c r="F21" s="17">
        <f>SUM(C3:C14)*(C17-C18-C20)-((C19+C21)*12)</f>
        <v>987167.5</v>
      </c>
      <c r="G21" s="18">
        <f>SUM(H3:H14)</f>
        <v>987167.5</v>
      </c>
    </row>
    <row r="22" spans="2:7" ht="15.75" customHeight="1">
      <c r="B22" s="7" t="s">
        <v>50</v>
      </c>
      <c r="C22" s="24">
        <f>I15</f>
        <v>2.810001280938216</v>
      </c>
      <c r="E22" s="7">
        <f>(F21-E21)/12</f>
        <v>0</v>
      </c>
    </row>
    <row r="23" spans="2:7" ht="15.75" customHeight="1">
      <c r="B23" s="7" t="s">
        <v>51</v>
      </c>
      <c r="C23" s="15">
        <v>50000</v>
      </c>
    </row>
    <row r="24" spans="2:7" ht="15.75" customHeight="1">
      <c r="B24" s="7" t="s">
        <v>52</v>
      </c>
      <c r="C24" s="21">
        <v>1000000</v>
      </c>
    </row>
    <row r="25" spans="2:7" ht="15.75" customHeight="1"/>
    <row r="26" spans="2:7" ht="15.75" customHeight="1"/>
    <row r="27" spans="2:7" ht="15.75" customHeight="1"/>
    <row r="28" spans="2:7" ht="15.75" customHeight="1">
      <c r="B28" s="227" t="s">
        <v>66</v>
      </c>
      <c r="C28" s="227"/>
      <c r="D28" s="227"/>
      <c r="E28" s="227"/>
    </row>
    <row r="29" spans="2:7" ht="15.75" customHeight="1">
      <c r="B29" s="227"/>
      <c r="C29" s="227"/>
      <c r="D29" s="227"/>
      <c r="E29" s="227"/>
    </row>
    <row r="30" spans="2:7" ht="15.75" customHeight="1" thickBot="1">
      <c r="B30" s="228"/>
      <c r="C30" s="228"/>
      <c r="D30" s="228"/>
      <c r="E30" s="228"/>
    </row>
    <row r="31" spans="2:7" ht="15.75" customHeight="1">
      <c r="B31" s="41" t="s">
        <v>62</v>
      </c>
      <c r="C31" s="42"/>
      <c r="D31" s="42"/>
      <c r="E31" s="43">
        <v>15</v>
      </c>
    </row>
    <row r="32" spans="2:7" ht="15.75" customHeight="1">
      <c r="B32" s="44" t="s">
        <v>63</v>
      </c>
      <c r="C32" s="45"/>
      <c r="D32" s="45"/>
      <c r="E32" s="46">
        <v>2000</v>
      </c>
    </row>
    <row r="33" spans="2:7" ht="15.75" customHeight="1">
      <c r="B33" s="44" t="s">
        <v>64</v>
      </c>
      <c r="C33" s="45"/>
      <c r="D33" s="45"/>
      <c r="E33" s="57">
        <v>1.5</v>
      </c>
    </row>
    <row r="34" spans="2:7" ht="15.75" customHeight="1">
      <c r="B34" s="44" t="s">
        <v>54</v>
      </c>
      <c r="C34" s="45"/>
      <c r="D34" s="45"/>
      <c r="E34" s="58">
        <v>6000</v>
      </c>
    </row>
    <row r="35" spans="2:7" ht="15.75" customHeight="1">
      <c r="B35" s="44" t="s">
        <v>55</v>
      </c>
      <c r="C35" s="45"/>
      <c r="D35" s="45"/>
      <c r="E35" s="57">
        <v>4</v>
      </c>
    </row>
    <row r="36" spans="2:7" ht="15.75" customHeight="1">
      <c r="B36" s="44" t="s">
        <v>65</v>
      </c>
      <c r="C36" s="45"/>
      <c r="D36" s="45"/>
      <c r="E36" s="43">
        <v>30</v>
      </c>
    </row>
    <row r="37" spans="2:7" ht="15.75" customHeight="1" thickBot="1">
      <c r="B37" s="44" t="s">
        <v>56</v>
      </c>
      <c r="C37" s="45"/>
      <c r="D37" s="45"/>
      <c r="E37" s="47">
        <f>17000*12</f>
        <v>204000</v>
      </c>
    </row>
    <row r="38" spans="2:7" ht="15.75" customHeight="1">
      <c r="B38" s="48" t="s">
        <v>57</v>
      </c>
      <c r="C38" s="49"/>
      <c r="D38" s="49"/>
      <c r="E38" s="50">
        <v>275000</v>
      </c>
    </row>
    <row r="39" spans="2:7" ht="15.75" customHeight="1">
      <c r="B39" s="44" t="s">
        <v>58</v>
      </c>
      <c r="C39" s="45"/>
      <c r="D39" s="45"/>
      <c r="E39" s="46">
        <v>30000</v>
      </c>
    </row>
    <row r="40" spans="2:7" ht="15.75" customHeight="1">
      <c r="B40" s="44" t="s">
        <v>59</v>
      </c>
      <c r="C40" s="45"/>
      <c r="D40" s="45"/>
      <c r="E40" s="51">
        <v>2021</v>
      </c>
    </row>
    <row r="41" spans="2:7" ht="15.75" customHeight="1">
      <c r="B41" s="44" t="s">
        <v>60</v>
      </c>
      <c r="C41" s="45"/>
      <c r="D41" s="45"/>
      <c r="E41" s="52">
        <v>20</v>
      </c>
    </row>
    <row r="42" spans="2:7" ht="15.75" customHeight="1" thickBot="1">
      <c r="B42" s="53" t="s">
        <v>61</v>
      </c>
      <c r="C42" s="54"/>
      <c r="D42" s="54"/>
      <c r="E42" s="55">
        <v>10000</v>
      </c>
    </row>
    <row r="43" spans="2:7" ht="15.75" customHeight="1">
      <c r="B43" s="7" t="s">
        <v>36</v>
      </c>
      <c r="E43" s="17">
        <f>(E38+E39-E42)/E41</f>
        <v>14750</v>
      </c>
      <c r="F43" s="18"/>
    </row>
    <row r="44" spans="2:7" ht="15.75" customHeight="1">
      <c r="B44" s="7" t="s">
        <v>67</v>
      </c>
      <c r="E44" s="60">
        <v>7.0000000000000007E-2</v>
      </c>
    </row>
    <row r="45" spans="2:7" ht="15.75" customHeight="1">
      <c r="E45" s="7">
        <f>(E38+E39)*E44</f>
        <v>21350.000000000004</v>
      </c>
      <c r="G45" s="18"/>
    </row>
    <row r="46" spans="2:7" ht="15.75" customHeight="1">
      <c r="B46" s="7" t="s">
        <v>47</v>
      </c>
      <c r="E46" s="18">
        <f>E37*(E36-E31-E33-E35)-E32-E34-E43-E45</f>
        <v>1893900</v>
      </c>
    </row>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B28:E3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Z933"/>
  <sheetViews>
    <sheetView topLeftCell="A72" workbookViewId="0">
      <selection activeCell="H24" sqref="H24"/>
    </sheetView>
  </sheetViews>
  <sheetFormatPr baseColWidth="10" defaultColWidth="12.6640625" defaultRowHeight="15" customHeight="1"/>
  <cols>
    <col min="1" max="1" width="2.1640625" style="7" customWidth="1"/>
    <col min="2" max="2" width="21.1640625" style="7" bestFit="1" customWidth="1"/>
    <col min="3" max="3" width="14.1640625" style="7" customWidth="1"/>
    <col min="4" max="4" width="22.5" style="7" bestFit="1" customWidth="1"/>
    <col min="5" max="5" width="18" style="7" bestFit="1" customWidth="1"/>
    <col min="6" max="7" width="22.5" style="7" bestFit="1" customWidth="1"/>
    <col min="8" max="8" width="20.83203125" style="7" bestFit="1" customWidth="1"/>
    <col min="9" max="9" width="13.5" style="7" bestFit="1" customWidth="1"/>
    <col min="10" max="14" width="2" style="7" customWidth="1"/>
    <col min="15" max="26" width="10" style="7" customWidth="1"/>
    <col min="27" max="16384" width="12.6640625" style="7"/>
  </cols>
  <sheetData>
    <row r="1" spans="1:26">
      <c r="A1" s="19"/>
      <c r="B1" s="19"/>
      <c r="C1" s="19"/>
      <c r="D1" s="19"/>
      <c r="E1" s="19"/>
      <c r="F1" s="19"/>
      <c r="G1" s="19"/>
      <c r="H1" s="19"/>
      <c r="I1" s="19"/>
      <c r="J1" s="19"/>
      <c r="K1" s="19"/>
      <c r="L1" s="19"/>
      <c r="M1" s="19"/>
      <c r="N1" s="19"/>
      <c r="O1" s="10"/>
      <c r="P1" s="10"/>
      <c r="Q1" s="10"/>
      <c r="R1" s="19"/>
      <c r="S1" s="19"/>
      <c r="T1" s="19"/>
      <c r="U1" s="19"/>
      <c r="V1" s="19"/>
      <c r="W1" s="19"/>
      <c r="X1" s="19"/>
      <c r="Y1" s="19"/>
      <c r="Z1" s="19"/>
    </row>
    <row r="2" spans="1:26">
      <c r="A2" s="19"/>
      <c r="J2" s="19"/>
      <c r="K2" s="19"/>
      <c r="L2" s="19"/>
      <c r="M2" s="19"/>
      <c r="N2" s="19"/>
      <c r="O2" s="10"/>
      <c r="P2" s="10"/>
      <c r="Q2" s="10"/>
      <c r="R2" s="19"/>
      <c r="S2" s="19"/>
      <c r="T2" s="19"/>
      <c r="U2" s="19"/>
      <c r="V2" s="19"/>
      <c r="W2" s="19"/>
      <c r="X2" s="19"/>
      <c r="Y2" s="19"/>
      <c r="Z2" s="19"/>
    </row>
    <row r="3" spans="1:26">
      <c r="A3" s="19"/>
      <c r="B3" s="239" t="s">
        <v>28</v>
      </c>
      <c r="C3" s="239"/>
      <c r="D3" s="239"/>
      <c r="E3" s="239"/>
      <c r="F3" s="239"/>
      <c r="G3" s="239"/>
      <c r="H3" s="239"/>
      <c r="I3" s="239"/>
      <c r="J3" s="19"/>
      <c r="K3" s="19"/>
      <c r="L3" s="19"/>
      <c r="M3" s="19"/>
      <c r="N3" s="19"/>
      <c r="O3" s="10"/>
      <c r="P3" s="10"/>
      <c r="Q3" s="10"/>
      <c r="R3" s="19"/>
      <c r="S3" s="19"/>
      <c r="T3" s="19"/>
      <c r="U3" s="19"/>
      <c r="V3" s="19"/>
      <c r="W3" s="19"/>
      <c r="X3" s="19"/>
      <c r="Y3" s="19"/>
      <c r="Z3" s="19"/>
    </row>
    <row r="4" spans="1:26" ht="16" thickBot="1">
      <c r="A4" s="19"/>
      <c r="J4" s="19"/>
      <c r="K4" s="19"/>
      <c r="L4" s="19"/>
      <c r="M4" s="19"/>
      <c r="N4" s="19"/>
      <c r="O4" s="19"/>
      <c r="P4" s="19"/>
      <c r="Q4" s="19"/>
      <c r="R4" s="19"/>
      <c r="S4" s="19"/>
      <c r="T4" s="19"/>
      <c r="U4" s="19"/>
      <c r="V4" s="19"/>
      <c r="W4" s="19"/>
      <c r="X4" s="19"/>
      <c r="Y4" s="19"/>
      <c r="Z4" s="19"/>
    </row>
    <row r="5" spans="1:26" ht="16" thickBot="1">
      <c r="A5" s="19"/>
      <c r="B5" s="249" t="s">
        <v>94</v>
      </c>
      <c r="C5" s="250"/>
      <c r="D5" s="250"/>
      <c r="E5" s="251"/>
      <c r="J5" s="19"/>
      <c r="K5" s="19"/>
      <c r="L5" s="19"/>
      <c r="M5" s="19"/>
      <c r="N5" s="19"/>
      <c r="O5" s="19"/>
      <c r="P5" s="19"/>
      <c r="Q5" s="19"/>
      <c r="R5" s="19"/>
      <c r="S5" s="19"/>
      <c r="T5" s="19"/>
      <c r="U5" s="19"/>
      <c r="V5" s="19"/>
      <c r="W5" s="19"/>
      <c r="X5" s="19"/>
      <c r="Y5" s="19"/>
      <c r="Z5" s="19"/>
    </row>
    <row r="6" spans="1:26">
      <c r="A6" s="19"/>
      <c r="B6" s="5" t="str">
        <f>Ennocé!D9</f>
        <v>Revenus</v>
      </c>
      <c r="C6" s="64">
        <f>Ennocé!D10</f>
        <v>449865</v>
      </c>
      <c r="D6" s="10"/>
      <c r="E6" s="65"/>
      <c r="J6" s="19"/>
      <c r="K6" s="19"/>
      <c r="L6" s="19"/>
      <c r="M6" s="19"/>
      <c r="N6" s="19"/>
      <c r="O6" s="19"/>
      <c r="P6" s="19"/>
      <c r="Q6" s="19"/>
      <c r="R6" s="19"/>
      <c r="S6" s="19"/>
      <c r="T6" s="19"/>
      <c r="U6" s="19"/>
      <c r="V6" s="19"/>
      <c r="W6" s="19"/>
      <c r="X6" s="19"/>
      <c r="Y6" s="19"/>
      <c r="Z6" s="19"/>
    </row>
    <row r="7" spans="1:26">
      <c r="A7" s="19"/>
      <c r="B7" s="5" t="str">
        <f>Ennocé!C9</f>
        <v>Unités vendues</v>
      </c>
      <c r="C7" s="66">
        <f>Ennocé!C10</f>
        <v>34605</v>
      </c>
      <c r="D7" s="10"/>
      <c r="E7" s="65"/>
      <c r="J7" s="19"/>
      <c r="K7" s="19"/>
      <c r="L7" s="19"/>
      <c r="M7" s="19"/>
      <c r="N7" s="19"/>
      <c r="O7" s="19"/>
      <c r="P7" s="19"/>
      <c r="Q7" s="19"/>
      <c r="R7" s="19"/>
      <c r="S7" s="19"/>
      <c r="T7" s="19"/>
      <c r="U7" s="19"/>
      <c r="V7" s="19"/>
      <c r="W7" s="19"/>
      <c r="X7" s="19"/>
      <c r="Y7" s="19"/>
      <c r="Z7" s="19"/>
    </row>
    <row r="8" spans="1:26">
      <c r="A8" s="19"/>
      <c r="B8" s="5"/>
      <c r="C8" s="10"/>
      <c r="D8" s="10"/>
      <c r="E8" s="65"/>
      <c r="J8" s="19"/>
      <c r="K8" s="19"/>
      <c r="L8" s="19"/>
      <c r="M8" s="19"/>
      <c r="N8" s="19"/>
      <c r="O8" s="19"/>
      <c r="P8" s="19"/>
      <c r="Q8" s="19"/>
      <c r="R8" s="19"/>
      <c r="S8" s="19"/>
      <c r="T8" s="19"/>
      <c r="U8" s="19"/>
      <c r="V8" s="19"/>
      <c r="W8" s="19"/>
      <c r="X8" s="19"/>
      <c r="Y8" s="19"/>
      <c r="Z8" s="19"/>
    </row>
    <row r="9" spans="1:26">
      <c r="A9" s="19"/>
      <c r="B9" s="5"/>
      <c r="C9" s="10"/>
      <c r="D9" s="10"/>
      <c r="E9" s="65"/>
      <c r="J9" s="19"/>
      <c r="K9" s="19"/>
      <c r="L9" s="19"/>
      <c r="M9" s="19"/>
      <c r="N9" s="19"/>
      <c r="O9" s="19"/>
      <c r="P9" s="19"/>
      <c r="Q9" s="19"/>
      <c r="R9" s="19"/>
      <c r="S9" s="19"/>
      <c r="T9" s="19"/>
      <c r="U9" s="19"/>
      <c r="V9" s="19"/>
      <c r="W9" s="19"/>
      <c r="X9" s="19"/>
      <c r="Y9" s="19"/>
      <c r="Z9" s="19"/>
    </row>
    <row r="10" spans="1:26" ht="16" thickBot="1">
      <c r="A10" s="10"/>
      <c r="B10" s="31"/>
      <c r="C10" s="253" t="s">
        <v>44</v>
      </c>
      <c r="D10" s="253"/>
      <c r="E10" s="84">
        <f>C6/C7</f>
        <v>13</v>
      </c>
      <c r="J10" s="19"/>
      <c r="K10" s="19"/>
      <c r="L10" s="19"/>
      <c r="M10" s="19"/>
      <c r="N10" s="19"/>
      <c r="O10" s="19"/>
      <c r="P10" s="19"/>
      <c r="Q10" s="19"/>
      <c r="R10" s="19"/>
      <c r="S10" s="19"/>
      <c r="T10" s="19"/>
      <c r="U10" s="19"/>
      <c r="V10" s="19"/>
      <c r="W10" s="19"/>
      <c r="X10" s="19"/>
      <c r="Y10" s="19"/>
      <c r="Z10" s="19"/>
    </row>
    <row r="11" spans="1:26" ht="16" thickBot="1">
      <c r="A11" s="67"/>
      <c r="J11" s="19"/>
      <c r="K11" s="19"/>
      <c r="L11" s="19"/>
      <c r="M11" s="19"/>
      <c r="N11" s="19"/>
      <c r="O11" s="19"/>
      <c r="P11" s="19"/>
      <c r="Q11" s="19"/>
      <c r="R11" s="19"/>
      <c r="S11" s="19"/>
      <c r="T11" s="19"/>
      <c r="U11" s="19"/>
      <c r="V11" s="19"/>
      <c r="W11" s="19"/>
      <c r="X11" s="19"/>
      <c r="Y11" s="19"/>
      <c r="Z11" s="19"/>
    </row>
    <row r="12" spans="1:26" ht="16" thickBot="1">
      <c r="A12" s="10"/>
      <c r="B12" s="240" t="s">
        <v>95</v>
      </c>
      <c r="C12" s="245"/>
      <c r="D12" s="245"/>
      <c r="E12" s="245"/>
      <c r="F12" s="245"/>
      <c r="G12" s="245"/>
      <c r="H12" s="245"/>
      <c r="I12" s="241"/>
      <c r="J12" s="19"/>
      <c r="K12" s="19"/>
      <c r="L12" s="19"/>
      <c r="M12" s="19"/>
      <c r="N12" s="19"/>
      <c r="O12" s="19"/>
      <c r="P12" s="19"/>
      <c r="Q12" s="19"/>
      <c r="R12" s="19"/>
      <c r="S12" s="19"/>
      <c r="T12" s="19"/>
      <c r="U12" s="19"/>
      <c r="V12" s="19"/>
      <c r="W12" s="19"/>
      <c r="X12" s="19"/>
      <c r="Y12" s="19"/>
      <c r="Z12" s="19"/>
    </row>
    <row r="13" spans="1:26">
      <c r="A13" s="19"/>
      <c r="B13" s="5"/>
      <c r="C13" s="10" t="s">
        <v>10</v>
      </c>
      <c r="D13" s="10" t="s">
        <v>12</v>
      </c>
      <c r="E13" s="10" t="s">
        <v>13</v>
      </c>
      <c r="F13" s="10" t="s">
        <v>14</v>
      </c>
      <c r="G13" s="10"/>
      <c r="H13" s="10"/>
      <c r="I13" s="65"/>
      <c r="J13" s="19"/>
      <c r="K13" s="19"/>
      <c r="L13" s="19"/>
      <c r="M13" s="19"/>
      <c r="N13" s="19"/>
      <c r="O13" s="19"/>
      <c r="P13" s="19"/>
      <c r="Q13" s="19"/>
      <c r="R13" s="19"/>
      <c r="S13" s="19"/>
      <c r="T13" s="19"/>
      <c r="U13" s="19"/>
      <c r="V13" s="19"/>
      <c r="W13" s="19"/>
      <c r="X13" s="19"/>
      <c r="Y13" s="19"/>
      <c r="Z13" s="19"/>
    </row>
    <row r="14" spans="1:26">
      <c r="A14" s="19"/>
      <c r="B14" s="5" t="s">
        <v>0</v>
      </c>
      <c r="C14" s="15">
        <f>Feuil2!C3</f>
        <v>34605</v>
      </c>
      <c r="D14" s="16">
        <f>Feuil2!E3</f>
        <v>271537.5</v>
      </c>
      <c r="E14" s="10">
        <f t="shared" ref="E14:E25" si="0">C14*C14</f>
        <v>1197506025</v>
      </c>
      <c r="F14" s="10">
        <f t="shared" ref="F14:F25" si="1">C14*D14</f>
        <v>9396555187.5</v>
      </c>
      <c r="G14" s="10"/>
      <c r="H14" s="10"/>
      <c r="I14" s="65"/>
      <c r="J14" s="19"/>
      <c r="K14" s="19"/>
      <c r="L14" s="19"/>
      <c r="M14" s="19"/>
      <c r="N14" s="19"/>
      <c r="O14" s="19"/>
      <c r="P14" s="19"/>
      <c r="Q14" s="19"/>
      <c r="R14" s="19"/>
      <c r="S14" s="19"/>
      <c r="T14" s="19"/>
      <c r="U14" s="19"/>
      <c r="V14" s="19"/>
      <c r="W14" s="19"/>
      <c r="X14" s="19"/>
      <c r="Y14" s="19"/>
      <c r="Z14" s="19"/>
    </row>
    <row r="15" spans="1:26" ht="15.75" customHeight="1">
      <c r="A15" s="19"/>
      <c r="B15" s="5" t="s">
        <v>1</v>
      </c>
      <c r="C15" s="15">
        <f>Feuil2!C4</f>
        <v>33200</v>
      </c>
      <c r="D15" s="16">
        <f>Feuil2!E4</f>
        <v>261000</v>
      </c>
      <c r="E15" s="10">
        <f t="shared" si="0"/>
        <v>1102240000</v>
      </c>
      <c r="F15" s="10">
        <f t="shared" si="1"/>
        <v>8665200000</v>
      </c>
      <c r="G15" s="10"/>
      <c r="H15" s="10"/>
      <c r="I15" s="65"/>
      <c r="J15" s="19"/>
      <c r="K15" s="19"/>
      <c r="L15" s="19"/>
      <c r="M15" s="19"/>
      <c r="N15" s="19"/>
      <c r="O15" s="19"/>
      <c r="P15" s="19"/>
      <c r="Q15" s="19"/>
      <c r="R15" s="19"/>
      <c r="S15" s="19"/>
      <c r="T15" s="19"/>
      <c r="U15" s="19"/>
      <c r="V15" s="19"/>
      <c r="W15" s="19"/>
      <c r="X15" s="19"/>
      <c r="Y15" s="19"/>
      <c r="Z15" s="19"/>
    </row>
    <row r="16" spans="1:26" ht="15.75" customHeight="1">
      <c r="A16" s="19"/>
      <c r="B16" s="5" t="s">
        <v>3</v>
      </c>
      <c r="C16" s="15">
        <f>Feuil2!C5</f>
        <v>25400</v>
      </c>
      <c r="D16" s="16">
        <f>Feuil2!E5</f>
        <v>202500</v>
      </c>
      <c r="E16" s="10">
        <f t="shared" si="0"/>
        <v>645160000</v>
      </c>
      <c r="F16" s="10">
        <f t="shared" si="1"/>
        <v>5143500000</v>
      </c>
      <c r="G16" s="10"/>
      <c r="H16" s="10"/>
      <c r="I16" s="65"/>
      <c r="J16" s="19"/>
      <c r="K16" s="19"/>
      <c r="L16" s="19"/>
      <c r="M16" s="19"/>
      <c r="N16" s="19"/>
      <c r="O16" s="19"/>
      <c r="P16" s="19"/>
      <c r="Q16" s="19"/>
      <c r="R16" s="19"/>
      <c r="S16" s="19"/>
      <c r="T16" s="19"/>
      <c r="U16" s="19"/>
      <c r="V16" s="19"/>
      <c r="W16" s="19"/>
      <c r="X16" s="19"/>
      <c r="Y16" s="19"/>
      <c r="Z16" s="19"/>
    </row>
    <row r="17" spans="1:26" ht="15.75" customHeight="1">
      <c r="A17" s="19"/>
      <c r="B17" s="5" t="s">
        <v>5</v>
      </c>
      <c r="C17" s="15">
        <f>Feuil2!C6</f>
        <v>21900</v>
      </c>
      <c r="D17" s="16">
        <f>Feuil2!E6</f>
        <v>176250</v>
      </c>
      <c r="E17" s="10">
        <f t="shared" si="0"/>
        <v>479610000</v>
      </c>
      <c r="F17" s="10">
        <f t="shared" si="1"/>
        <v>3859875000</v>
      </c>
      <c r="G17" s="10"/>
      <c r="H17" s="10"/>
      <c r="I17" s="65"/>
      <c r="J17" s="19"/>
      <c r="K17" s="19"/>
      <c r="L17" s="19"/>
      <c r="M17" s="19"/>
      <c r="N17" s="19"/>
      <c r="O17" s="19"/>
      <c r="P17" s="19"/>
      <c r="Q17" s="19"/>
      <c r="R17" s="19"/>
      <c r="S17" s="19"/>
      <c r="T17" s="19"/>
      <c r="U17" s="19"/>
      <c r="V17" s="19"/>
      <c r="W17" s="19"/>
      <c r="X17" s="19"/>
      <c r="Y17" s="19"/>
      <c r="Z17" s="19"/>
    </row>
    <row r="18" spans="1:26" ht="15.75" customHeight="1">
      <c r="A18" s="19"/>
      <c r="B18" s="5" t="s">
        <v>6</v>
      </c>
      <c r="C18" s="15">
        <f>Feuil2!C7</f>
        <v>18000</v>
      </c>
      <c r="D18" s="16">
        <f>Feuil2!E7</f>
        <v>147000</v>
      </c>
      <c r="E18" s="10">
        <f t="shared" si="0"/>
        <v>324000000</v>
      </c>
      <c r="F18" s="10">
        <f t="shared" si="1"/>
        <v>2646000000</v>
      </c>
      <c r="G18" s="10"/>
      <c r="H18" s="10"/>
      <c r="I18" s="65"/>
      <c r="J18" s="19"/>
      <c r="K18" s="19"/>
      <c r="L18" s="19"/>
      <c r="M18" s="19"/>
      <c r="N18" s="19"/>
      <c r="O18" s="19"/>
      <c r="P18" s="19"/>
      <c r="Q18" s="19"/>
      <c r="R18" s="19"/>
      <c r="S18" s="19"/>
      <c r="T18" s="19"/>
      <c r="U18" s="19"/>
      <c r="V18" s="19"/>
      <c r="W18" s="19"/>
      <c r="X18" s="19"/>
      <c r="Y18" s="19"/>
      <c r="Z18" s="19"/>
    </row>
    <row r="19" spans="1:26" ht="15.75" customHeight="1">
      <c r="A19" s="19"/>
      <c r="B19" s="5" t="s">
        <v>7</v>
      </c>
      <c r="C19" s="15">
        <f>Feuil2!C8</f>
        <v>21400</v>
      </c>
      <c r="D19" s="16">
        <f>Feuil2!E8</f>
        <v>172500</v>
      </c>
      <c r="E19" s="10">
        <f t="shared" si="0"/>
        <v>457960000</v>
      </c>
      <c r="F19" s="10">
        <f t="shared" si="1"/>
        <v>3691500000</v>
      </c>
      <c r="G19" s="10"/>
      <c r="H19" s="10"/>
      <c r="I19" s="65"/>
      <c r="J19" s="19"/>
      <c r="K19" s="19"/>
      <c r="L19" s="19"/>
      <c r="M19" s="19"/>
      <c r="N19" s="19"/>
      <c r="O19" s="19"/>
      <c r="P19" s="19"/>
      <c r="Q19" s="19"/>
      <c r="R19" s="19"/>
      <c r="S19" s="19"/>
      <c r="T19" s="19"/>
      <c r="U19" s="19"/>
      <c r="V19" s="19"/>
      <c r="W19" s="19"/>
      <c r="X19" s="19"/>
      <c r="Y19" s="19"/>
      <c r="Z19" s="19"/>
    </row>
    <row r="20" spans="1:26" ht="15.75" customHeight="1">
      <c r="A20" s="19"/>
      <c r="B20" s="5" t="s">
        <v>8</v>
      </c>
      <c r="C20" s="15">
        <f>Feuil2!C9</f>
        <v>22100</v>
      </c>
      <c r="D20" s="16">
        <f>Feuil2!E9</f>
        <v>177750</v>
      </c>
      <c r="E20" s="10">
        <f t="shared" si="0"/>
        <v>488410000</v>
      </c>
      <c r="F20" s="10">
        <f t="shared" si="1"/>
        <v>3928275000</v>
      </c>
      <c r="G20" s="10"/>
      <c r="H20" s="10"/>
      <c r="I20" s="65"/>
      <c r="J20" s="19"/>
      <c r="K20" s="19"/>
      <c r="L20" s="19"/>
      <c r="M20" s="19"/>
      <c r="N20" s="19"/>
      <c r="O20" s="19"/>
      <c r="P20" s="19"/>
      <c r="Q20" s="19"/>
      <c r="R20" s="19"/>
      <c r="S20" s="19"/>
      <c r="T20" s="19"/>
      <c r="U20" s="19"/>
      <c r="V20" s="19"/>
      <c r="W20" s="19"/>
      <c r="X20" s="19"/>
      <c r="Y20" s="19"/>
      <c r="Z20" s="19"/>
    </row>
    <row r="21" spans="1:26" ht="15.75" customHeight="1">
      <c r="A21" s="19"/>
      <c r="B21" s="5" t="s">
        <v>9</v>
      </c>
      <c r="C21" s="15">
        <f>Feuil2!C10</f>
        <v>21900</v>
      </c>
      <c r="D21" s="16">
        <f>Feuil2!E10</f>
        <v>176250</v>
      </c>
      <c r="E21" s="10">
        <f t="shared" si="0"/>
        <v>479610000</v>
      </c>
      <c r="F21" s="10">
        <f t="shared" si="1"/>
        <v>3859875000</v>
      </c>
      <c r="G21" s="10"/>
      <c r="H21" s="10"/>
      <c r="I21" s="65"/>
      <c r="J21" s="19"/>
      <c r="K21" s="19"/>
      <c r="L21" s="19"/>
      <c r="M21" s="19"/>
      <c r="N21" s="19"/>
      <c r="O21" s="19"/>
      <c r="P21" s="19"/>
      <c r="Q21" s="19"/>
      <c r="R21" s="19"/>
      <c r="S21" s="19"/>
      <c r="T21" s="19"/>
      <c r="U21" s="19"/>
      <c r="V21" s="19"/>
      <c r="W21" s="19"/>
      <c r="X21" s="19"/>
      <c r="Y21" s="19"/>
      <c r="Z21" s="19"/>
    </row>
    <row r="22" spans="1:26" ht="15.75" customHeight="1">
      <c r="A22" s="19"/>
      <c r="B22" s="5" t="s">
        <v>11</v>
      </c>
      <c r="C22" s="15">
        <f>Feuil2!C11</f>
        <v>26500</v>
      </c>
      <c r="D22" s="16">
        <f>Feuil2!E11</f>
        <v>210750</v>
      </c>
      <c r="E22" s="10">
        <f t="shared" si="0"/>
        <v>702250000</v>
      </c>
      <c r="F22" s="10">
        <f t="shared" si="1"/>
        <v>5584875000</v>
      </c>
      <c r="G22" s="10"/>
      <c r="H22" s="10"/>
      <c r="I22" s="65"/>
      <c r="J22" s="19"/>
      <c r="K22" s="19"/>
      <c r="L22" s="19"/>
      <c r="M22" s="19"/>
      <c r="N22" s="19"/>
      <c r="O22" s="19"/>
      <c r="P22" s="19"/>
      <c r="Q22" s="19"/>
      <c r="R22" s="19"/>
      <c r="S22" s="19"/>
      <c r="T22" s="19"/>
      <c r="U22" s="19"/>
      <c r="V22" s="19"/>
      <c r="W22" s="19"/>
      <c r="X22" s="19"/>
      <c r="Y22" s="19"/>
      <c r="Z22" s="19"/>
    </row>
    <row r="23" spans="1:26" ht="15.75" customHeight="1">
      <c r="A23" s="19"/>
      <c r="B23" s="5" t="s">
        <v>15</v>
      </c>
      <c r="C23" s="15">
        <f>Feuil2!C12</f>
        <v>37100</v>
      </c>
      <c r="D23" s="16">
        <f>Feuil2!E12</f>
        <v>290250</v>
      </c>
      <c r="E23" s="10">
        <f t="shared" si="0"/>
        <v>1376410000</v>
      </c>
      <c r="F23" s="10">
        <f t="shared" si="1"/>
        <v>10768275000</v>
      </c>
      <c r="G23" s="10"/>
      <c r="H23" s="10"/>
      <c r="I23" s="65"/>
      <c r="J23" s="19"/>
      <c r="K23" s="19"/>
      <c r="L23" s="19"/>
      <c r="M23" s="19"/>
      <c r="N23" s="19"/>
      <c r="O23" s="19"/>
      <c r="P23" s="19"/>
      <c r="Q23" s="19"/>
      <c r="R23" s="19"/>
      <c r="S23" s="19"/>
      <c r="T23" s="19"/>
      <c r="U23" s="19"/>
      <c r="V23" s="19"/>
      <c r="W23" s="19"/>
      <c r="X23" s="19"/>
      <c r="Y23" s="19"/>
      <c r="Z23" s="19"/>
    </row>
    <row r="24" spans="1:26" ht="15.75" customHeight="1">
      <c r="A24" s="19"/>
      <c r="B24" s="5" t="s">
        <v>16</v>
      </c>
      <c r="C24" s="15">
        <f>Feuil2!C13</f>
        <v>41400</v>
      </c>
      <c r="D24" s="16">
        <f>Feuil2!E13</f>
        <v>322500</v>
      </c>
      <c r="E24" s="10">
        <f t="shared" si="0"/>
        <v>1713960000</v>
      </c>
      <c r="F24" s="10">
        <f t="shared" si="1"/>
        <v>13351500000</v>
      </c>
      <c r="G24" s="10"/>
      <c r="H24" s="10"/>
      <c r="I24" s="65"/>
      <c r="J24" s="19"/>
      <c r="K24" s="19"/>
      <c r="L24" s="19"/>
      <c r="M24" s="19"/>
      <c r="N24" s="19"/>
      <c r="O24" s="19"/>
      <c r="P24" s="19"/>
      <c r="Q24" s="19"/>
      <c r="R24" s="19"/>
      <c r="S24" s="19"/>
      <c r="T24" s="19"/>
      <c r="U24" s="19"/>
      <c r="V24" s="19"/>
      <c r="W24" s="19"/>
      <c r="X24" s="19"/>
      <c r="Y24" s="19"/>
      <c r="Z24" s="19"/>
    </row>
    <row r="25" spans="1:26" ht="15.75" customHeight="1">
      <c r="A25" s="19"/>
      <c r="B25" s="5" t="s">
        <v>18</v>
      </c>
      <c r="C25" s="15">
        <f>Feuil2!C14</f>
        <v>47800</v>
      </c>
      <c r="D25" s="16">
        <f>Feuil2!E14</f>
        <v>370500</v>
      </c>
      <c r="E25" s="10">
        <f t="shared" si="0"/>
        <v>2284840000</v>
      </c>
      <c r="F25" s="10">
        <f t="shared" si="1"/>
        <v>17709900000</v>
      </c>
      <c r="G25" s="10"/>
      <c r="H25" s="10"/>
      <c r="I25" s="65"/>
      <c r="J25" s="19"/>
      <c r="K25" s="19"/>
      <c r="L25" s="19"/>
      <c r="M25" s="19"/>
      <c r="N25" s="19"/>
      <c r="O25" s="19"/>
      <c r="P25" s="19"/>
      <c r="Q25" s="19"/>
      <c r="R25" s="19"/>
      <c r="S25" s="19"/>
      <c r="T25" s="19"/>
      <c r="U25" s="19"/>
      <c r="V25" s="19"/>
      <c r="W25" s="19"/>
      <c r="X25" s="19"/>
      <c r="Y25" s="19"/>
      <c r="Z25" s="19"/>
    </row>
    <row r="26" spans="1:26" ht="15.75" customHeight="1">
      <c r="A26" s="19"/>
      <c r="B26" s="5" t="s">
        <v>4</v>
      </c>
      <c r="C26" s="15">
        <f>SUM(C14:C25)</f>
        <v>351305</v>
      </c>
      <c r="D26" s="16">
        <f>SUM(D14:D25)</f>
        <v>2778787.5</v>
      </c>
      <c r="E26" s="69">
        <f>SUM(E14:E25)</f>
        <v>11251956025</v>
      </c>
      <c r="F26" s="69">
        <f>SUM(F14:F25)</f>
        <v>88605330187.5</v>
      </c>
      <c r="G26" s="10"/>
      <c r="H26" s="10"/>
      <c r="I26" s="65"/>
      <c r="J26" s="19"/>
      <c r="K26" s="19"/>
      <c r="L26" s="19"/>
      <c r="M26" s="19"/>
      <c r="N26" s="19"/>
      <c r="O26" s="19"/>
      <c r="P26" s="19"/>
      <c r="Q26" s="19"/>
      <c r="R26" s="19"/>
      <c r="S26" s="19"/>
      <c r="T26" s="19"/>
      <c r="U26" s="19"/>
      <c r="V26" s="19"/>
      <c r="W26" s="19"/>
      <c r="X26" s="19"/>
      <c r="Y26" s="19"/>
      <c r="Z26" s="19"/>
    </row>
    <row r="27" spans="1:26" ht="15.75" customHeight="1">
      <c r="A27" s="19"/>
      <c r="B27" s="70"/>
      <c r="C27" s="71"/>
      <c r="D27" s="71"/>
      <c r="E27" s="71"/>
      <c r="F27" s="10"/>
      <c r="G27" s="10"/>
      <c r="H27" s="10"/>
      <c r="I27" s="65"/>
      <c r="J27" s="19"/>
      <c r="K27" s="19"/>
      <c r="L27" s="19"/>
      <c r="M27" s="19"/>
      <c r="N27" s="19"/>
      <c r="O27" s="19"/>
      <c r="P27" s="19"/>
      <c r="Q27" s="19"/>
      <c r="R27" s="19"/>
      <c r="S27" s="19"/>
      <c r="T27" s="19"/>
      <c r="U27" s="19"/>
      <c r="V27" s="19"/>
      <c r="W27" s="19"/>
      <c r="X27" s="19"/>
      <c r="Y27" s="19"/>
      <c r="Z27" s="19"/>
    </row>
    <row r="28" spans="1:26" ht="15.75" customHeight="1">
      <c r="A28" s="19"/>
      <c r="B28" s="72"/>
      <c r="C28" s="73"/>
      <c r="D28" s="67"/>
      <c r="E28" s="73"/>
      <c r="F28" s="67"/>
      <c r="G28" s="67"/>
      <c r="H28" s="67"/>
      <c r="I28" s="74"/>
      <c r="J28" s="19"/>
      <c r="K28" s="19"/>
      <c r="L28" s="19"/>
      <c r="M28" s="19"/>
      <c r="N28" s="19"/>
      <c r="O28" s="19"/>
      <c r="P28" s="19"/>
      <c r="Q28" s="19"/>
      <c r="R28" s="19"/>
      <c r="S28" s="19"/>
      <c r="T28" s="19"/>
      <c r="U28" s="19"/>
      <c r="V28" s="19"/>
      <c r="W28" s="19"/>
      <c r="X28" s="19"/>
      <c r="Y28" s="19"/>
      <c r="Z28" s="19"/>
    </row>
    <row r="29" spans="1:26" ht="15.75" customHeight="1">
      <c r="A29" s="19"/>
      <c r="B29" s="72"/>
      <c r="C29" s="73"/>
      <c r="D29" s="67"/>
      <c r="E29" s="73"/>
      <c r="F29" s="67"/>
      <c r="G29" s="67"/>
      <c r="H29" s="67"/>
      <c r="I29" s="74"/>
      <c r="J29" s="19"/>
      <c r="K29" s="19"/>
      <c r="L29" s="19"/>
      <c r="M29" s="19"/>
      <c r="N29" s="19"/>
      <c r="O29" s="19"/>
      <c r="P29" s="19"/>
      <c r="Q29" s="19"/>
      <c r="R29" s="19"/>
      <c r="S29" s="19"/>
      <c r="T29" s="19"/>
      <c r="U29" s="19"/>
      <c r="V29" s="19"/>
      <c r="W29" s="19"/>
      <c r="X29" s="19"/>
      <c r="Y29" s="19"/>
      <c r="Z29" s="19"/>
    </row>
    <row r="30" spans="1:26" ht="15.75" customHeight="1" thickBot="1">
      <c r="A30" s="19"/>
      <c r="B30" s="75" t="s">
        <v>100</v>
      </c>
      <c r="C30" s="76">
        <f>(COUNT(C14:C25)*F26-C26*D26)/(COUNT(C14:C25)*E26-C26^2)</f>
        <v>7.5</v>
      </c>
      <c r="D30" s="77" t="s">
        <v>101</v>
      </c>
      <c r="E30" s="76">
        <f>(E26*D26-C26*F26)/(COUNT(C14:C25)*E26-C26^2)*12</f>
        <v>144000</v>
      </c>
      <c r="F30" s="78"/>
      <c r="G30" s="78"/>
      <c r="H30" s="78"/>
      <c r="I30" s="79"/>
      <c r="J30" s="19"/>
      <c r="K30" s="19"/>
      <c r="L30" s="19"/>
      <c r="M30" s="19"/>
      <c r="N30" s="19"/>
      <c r="O30" s="19"/>
      <c r="P30" s="19"/>
      <c r="Q30" s="19"/>
      <c r="R30" s="19"/>
      <c r="S30" s="19"/>
      <c r="T30" s="19"/>
      <c r="U30" s="19"/>
      <c r="V30" s="19"/>
      <c r="W30" s="19"/>
      <c r="X30" s="19"/>
      <c r="Y30" s="19"/>
      <c r="Z30" s="19"/>
    </row>
    <row r="31" spans="1:26" ht="15.75" customHeight="1" thickBot="1">
      <c r="A31" s="19"/>
      <c r="J31" s="19"/>
      <c r="K31" s="19"/>
      <c r="L31" s="19"/>
      <c r="M31" s="19"/>
      <c r="N31" s="19"/>
      <c r="O31" s="19"/>
      <c r="P31" s="19"/>
      <c r="Q31" s="19"/>
      <c r="R31" s="19"/>
      <c r="S31" s="19"/>
      <c r="T31" s="19"/>
      <c r="U31" s="19"/>
      <c r="V31" s="19"/>
      <c r="W31" s="19"/>
      <c r="X31" s="19"/>
      <c r="Y31" s="19"/>
      <c r="Z31" s="19"/>
    </row>
    <row r="32" spans="1:26" ht="15.75" customHeight="1" thickBot="1">
      <c r="A32" s="19"/>
      <c r="B32" s="240" t="s">
        <v>96</v>
      </c>
      <c r="C32" s="245"/>
      <c r="D32" s="245"/>
      <c r="E32" s="241"/>
      <c r="F32" s="242" t="s">
        <v>97</v>
      </c>
      <c r="G32" s="243"/>
      <c r="H32" s="243"/>
      <c r="I32" s="244"/>
      <c r="J32" s="19"/>
      <c r="K32" s="19"/>
      <c r="L32" s="19"/>
      <c r="M32" s="19"/>
      <c r="N32" s="19"/>
      <c r="O32" s="19"/>
      <c r="P32" s="19"/>
      <c r="Q32" s="19"/>
      <c r="R32" s="19"/>
      <c r="S32" s="19"/>
      <c r="T32" s="19"/>
      <c r="U32" s="19"/>
      <c r="V32" s="19"/>
      <c r="W32" s="19"/>
      <c r="X32" s="19"/>
      <c r="Y32" s="19"/>
      <c r="Z32" s="19"/>
    </row>
    <row r="33" spans="1:26" ht="15.75" customHeight="1">
      <c r="A33" s="19"/>
      <c r="B33" s="5"/>
      <c r="C33" s="10" t="s">
        <v>10</v>
      </c>
      <c r="D33" s="10" t="s">
        <v>12</v>
      </c>
      <c r="E33" s="65"/>
      <c r="F33" s="132" t="s">
        <v>44</v>
      </c>
      <c r="G33" s="133">
        <f>Feuil2!C17</f>
        <v>13</v>
      </c>
      <c r="H33" s="134"/>
      <c r="I33" s="135"/>
      <c r="J33" s="19"/>
      <c r="K33" s="19"/>
      <c r="L33" s="19"/>
      <c r="M33" s="19"/>
      <c r="N33" s="19"/>
      <c r="O33" s="19"/>
      <c r="P33" s="19"/>
      <c r="Q33" s="19"/>
      <c r="R33" s="19"/>
      <c r="S33" s="19"/>
      <c r="T33" s="19"/>
      <c r="U33" s="19"/>
      <c r="V33" s="19"/>
      <c r="W33" s="19"/>
      <c r="X33" s="19"/>
      <c r="Y33" s="19"/>
      <c r="Z33" s="19"/>
    </row>
    <row r="34" spans="1:26" ht="15.75" customHeight="1">
      <c r="A34" s="19"/>
      <c r="B34" s="5" t="s">
        <v>98</v>
      </c>
      <c r="C34" s="15">
        <f>Ennocé!C14</f>
        <v>18000</v>
      </c>
      <c r="D34" s="64">
        <f>Ennocé!F14</f>
        <v>36000</v>
      </c>
      <c r="E34" s="65"/>
      <c r="F34" s="5" t="s">
        <v>122</v>
      </c>
      <c r="G34" s="119">
        <f>C26</f>
        <v>351305</v>
      </c>
      <c r="H34" s="64"/>
      <c r="I34" s="65"/>
      <c r="J34" s="19"/>
      <c r="K34" s="19"/>
      <c r="L34" s="19"/>
      <c r="M34" s="19"/>
      <c r="N34" s="19"/>
      <c r="O34" s="19"/>
      <c r="P34" s="19"/>
      <c r="Q34" s="19"/>
      <c r="R34" s="19"/>
      <c r="S34" s="19"/>
      <c r="T34" s="19"/>
      <c r="U34" s="19"/>
      <c r="V34" s="19"/>
      <c r="W34" s="19"/>
      <c r="X34" s="19"/>
      <c r="Y34" s="19"/>
      <c r="Z34" s="19"/>
    </row>
    <row r="35" spans="1:26" ht="15.75" customHeight="1">
      <c r="A35" s="19"/>
      <c r="B35" s="5" t="s">
        <v>99</v>
      </c>
      <c r="C35" s="15">
        <f>Ennocé!C21</f>
        <v>47800</v>
      </c>
      <c r="D35" s="64">
        <f>Ennocé!F21</f>
        <v>95600</v>
      </c>
      <c r="E35" s="65"/>
      <c r="F35" s="5" t="s">
        <v>105</v>
      </c>
      <c r="G35" s="16">
        <f>G33*G34</f>
        <v>4566965</v>
      </c>
      <c r="H35" s="10"/>
      <c r="I35" s="65"/>
      <c r="J35" s="19"/>
      <c r="K35" s="19"/>
      <c r="L35" s="19"/>
      <c r="M35" s="19"/>
      <c r="N35" s="19"/>
      <c r="O35" s="19"/>
      <c r="P35" s="19"/>
      <c r="Q35" s="19"/>
      <c r="R35" s="19"/>
      <c r="S35" s="19"/>
      <c r="T35" s="19"/>
      <c r="U35" s="19"/>
      <c r="V35" s="19"/>
      <c r="W35" s="19"/>
      <c r="X35" s="19"/>
      <c r="Y35" s="19"/>
      <c r="Z35" s="19"/>
    </row>
    <row r="36" spans="1:26" ht="15.75" customHeight="1">
      <c r="A36" s="19"/>
      <c r="B36" s="5"/>
      <c r="C36" s="10"/>
      <c r="D36" s="10"/>
      <c r="E36" s="65"/>
      <c r="F36" s="70" t="s">
        <v>140</v>
      </c>
      <c r="G36" s="130">
        <f>Feuil2!C22</f>
        <v>2.810001280938216</v>
      </c>
      <c r="H36" s="64"/>
      <c r="I36" s="65"/>
      <c r="J36" s="19"/>
      <c r="K36" s="19"/>
      <c r="L36" s="19"/>
      <c r="M36" s="19"/>
      <c r="N36" s="19"/>
      <c r="O36" s="19"/>
      <c r="P36" s="19"/>
      <c r="Q36" s="19"/>
      <c r="R36" s="19"/>
      <c r="S36" s="19"/>
      <c r="T36" s="19"/>
      <c r="U36" s="19"/>
      <c r="V36" s="19"/>
      <c r="W36" s="19"/>
      <c r="X36" s="19"/>
      <c r="Y36" s="19"/>
      <c r="Z36" s="19"/>
    </row>
    <row r="37" spans="1:26" ht="15.75" customHeight="1">
      <c r="A37" s="19"/>
      <c r="B37" s="5"/>
      <c r="C37" s="10"/>
      <c r="D37" s="71"/>
      <c r="E37" s="88"/>
      <c r="F37" s="5" t="s">
        <v>30</v>
      </c>
      <c r="G37" s="16">
        <f>C26*C30</f>
        <v>2634787.5</v>
      </c>
      <c r="H37" s="10"/>
      <c r="I37" s="65"/>
      <c r="J37" s="19"/>
      <c r="K37" s="19"/>
      <c r="L37" s="19"/>
      <c r="M37" s="19"/>
      <c r="N37" s="19"/>
      <c r="O37" s="19"/>
      <c r="P37" s="19"/>
      <c r="Q37" s="19"/>
      <c r="R37" s="19"/>
      <c r="S37" s="19"/>
      <c r="T37" s="19"/>
      <c r="U37" s="19"/>
      <c r="V37" s="19"/>
      <c r="W37" s="19"/>
      <c r="X37" s="19"/>
      <c r="Y37" s="19"/>
      <c r="Z37" s="19"/>
    </row>
    <row r="38" spans="1:26" ht="15.75" customHeight="1" thickBot="1">
      <c r="A38" s="19"/>
      <c r="B38" s="31"/>
      <c r="C38" s="68"/>
      <c r="D38" s="77" t="s">
        <v>27</v>
      </c>
      <c r="E38" s="84">
        <f>(D35-D34)/(C35-C34)</f>
        <v>2</v>
      </c>
      <c r="F38" s="5" t="s">
        <v>31</v>
      </c>
      <c r="G38" s="16">
        <f>C26*E38</f>
        <v>702610</v>
      </c>
      <c r="H38" s="71"/>
      <c r="I38" s="88"/>
      <c r="J38" s="19"/>
      <c r="K38" s="19"/>
      <c r="L38" s="19"/>
      <c r="M38" s="19"/>
      <c r="N38" s="19"/>
      <c r="O38" s="19"/>
      <c r="P38" s="19"/>
      <c r="Q38" s="19"/>
      <c r="R38" s="19"/>
      <c r="S38" s="19"/>
      <c r="T38" s="19"/>
      <c r="U38" s="19"/>
      <c r="V38" s="19"/>
      <c r="W38" s="19"/>
      <c r="X38" s="19"/>
      <c r="Y38" s="19"/>
      <c r="Z38" s="19"/>
    </row>
    <row r="39" spans="1:26" ht="15.75" customHeight="1">
      <c r="A39" s="19"/>
      <c r="E39" s="71"/>
      <c r="F39" s="5" t="s">
        <v>26</v>
      </c>
      <c r="G39" s="16">
        <f>E30</f>
        <v>144000</v>
      </c>
      <c r="H39" s="71"/>
      <c r="I39" s="88"/>
      <c r="J39" s="19"/>
      <c r="K39" s="19"/>
      <c r="L39" s="19"/>
      <c r="M39" s="19"/>
      <c r="N39" s="19"/>
      <c r="O39" s="19"/>
      <c r="P39" s="19"/>
      <c r="Q39" s="19"/>
      <c r="R39" s="19"/>
      <c r="S39" s="19"/>
      <c r="T39" s="19"/>
      <c r="U39" s="19"/>
      <c r="V39" s="19"/>
      <c r="W39" s="19"/>
      <c r="X39" s="19"/>
      <c r="Y39" s="19"/>
      <c r="Z39" s="19"/>
    </row>
    <row r="40" spans="1:26" ht="15.75" customHeight="1" thickBot="1">
      <c r="A40" s="19"/>
      <c r="E40" s="71"/>
      <c r="F40" s="31" t="s">
        <v>32</v>
      </c>
      <c r="G40" s="76">
        <f>-1*(C26*G36-G35+G37+G38+G39)</f>
        <v>98400</v>
      </c>
      <c r="H40" s="68"/>
      <c r="I40" s="81"/>
      <c r="J40" s="19"/>
      <c r="K40" s="19"/>
      <c r="L40" s="19"/>
      <c r="M40" s="19"/>
      <c r="N40" s="19"/>
      <c r="O40" s="19"/>
      <c r="P40" s="19"/>
      <c r="Q40" s="19"/>
      <c r="R40" s="19"/>
      <c r="S40" s="19"/>
      <c r="T40" s="19"/>
      <c r="U40" s="19"/>
      <c r="V40" s="19"/>
      <c r="W40" s="19"/>
      <c r="X40" s="19"/>
      <c r="Y40" s="19"/>
      <c r="Z40" s="19"/>
    </row>
    <row r="41" spans="1:26" ht="15.75" customHeight="1" thickBot="1">
      <c r="A41" s="19"/>
      <c r="J41" s="19"/>
      <c r="K41" s="19"/>
      <c r="L41" s="19"/>
      <c r="M41" s="19"/>
      <c r="N41" s="19"/>
      <c r="O41" s="19"/>
      <c r="P41" s="19"/>
      <c r="Q41" s="19"/>
      <c r="R41" s="19"/>
      <c r="S41" s="19"/>
      <c r="T41" s="19"/>
      <c r="U41" s="19"/>
      <c r="V41" s="19"/>
      <c r="W41" s="19"/>
      <c r="X41" s="19"/>
      <c r="Y41" s="19"/>
      <c r="Z41" s="19"/>
    </row>
    <row r="42" spans="1:26" ht="15.75" customHeight="1" thickBot="1">
      <c r="A42" s="19"/>
      <c r="B42" s="240" t="s">
        <v>115</v>
      </c>
      <c r="C42" s="241"/>
      <c r="D42" s="240" t="s">
        <v>109</v>
      </c>
      <c r="E42" s="241"/>
      <c r="F42" s="240" t="s">
        <v>110</v>
      </c>
      <c r="G42" s="241"/>
      <c r="H42" s="240" t="s">
        <v>111</v>
      </c>
      <c r="I42" s="241"/>
      <c r="J42" s="33"/>
      <c r="K42" s="33"/>
      <c r="L42" s="33"/>
      <c r="M42" s="33"/>
      <c r="N42" s="33"/>
      <c r="O42" s="33"/>
      <c r="P42" s="19"/>
      <c r="Q42" s="19"/>
      <c r="R42" s="19"/>
      <c r="S42" s="19"/>
      <c r="T42" s="19"/>
      <c r="U42" s="19"/>
      <c r="V42" s="19"/>
      <c r="W42" s="19"/>
      <c r="X42" s="19"/>
      <c r="Y42" s="19"/>
      <c r="Z42" s="19"/>
    </row>
    <row r="43" spans="1:26" ht="15.75" customHeight="1">
      <c r="A43" s="19"/>
      <c r="B43" s="5" t="s">
        <v>44</v>
      </c>
      <c r="C43" s="35">
        <f>Feuil2!C17</f>
        <v>13</v>
      </c>
      <c r="D43" s="5" t="str">
        <f>B43</f>
        <v>Prix de vente unitaire</v>
      </c>
      <c r="E43" s="35">
        <f>C43</f>
        <v>13</v>
      </c>
      <c r="F43" s="5" t="s">
        <v>107</v>
      </c>
      <c r="G43" s="95">
        <f>Feuil2!C23*12</f>
        <v>600000</v>
      </c>
      <c r="H43" s="5" t="s">
        <v>112</v>
      </c>
      <c r="I43" s="97">
        <f>Feuil2!C24</f>
        <v>1000000</v>
      </c>
      <c r="J43" s="19"/>
      <c r="K43" s="19"/>
      <c r="L43" s="19"/>
      <c r="M43" s="19"/>
      <c r="N43" s="19"/>
      <c r="O43" s="19"/>
      <c r="P43" s="19"/>
      <c r="Q43" s="19"/>
      <c r="R43" s="19"/>
      <c r="S43" s="19"/>
      <c r="T43" s="19"/>
      <c r="U43" s="19"/>
      <c r="V43" s="19"/>
      <c r="W43" s="19"/>
      <c r="X43" s="19"/>
      <c r="Y43" s="19"/>
      <c r="Z43" s="19"/>
    </row>
    <row r="44" spans="1:26" ht="15.75" customHeight="1">
      <c r="A44" s="19"/>
      <c r="B44" s="5" t="s">
        <v>128</v>
      </c>
      <c r="C44" s="92">
        <f>C30+E38</f>
        <v>9.5</v>
      </c>
      <c r="D44" s="5" t="str">
        <f>B44</f>
        <v>Frais variables unitaire totaux</v>
      </c>
      <c r="E44" s="35">
        <f>C44</f>
        <v>9.5</v>
      </c>
      <c r="F44" s="70" t="s">
        <v>106</v>
      </c>
      <c r="G44" s="96">
        <f>C43*G43</f>
        <v>7800000</v>
      </c>
      <c r="H44" s="5" t="str">
        <f>D44</f>
        <v>Frais variables unitaire totaux</v>
      </c>
      <c r="I44" s="102">
        <f>E44</f>
        <v>9.5</v>
      </c>
      <c r="J44" s="19"/>
      <c r="K44" s="19"/>
      <c r="L44" s="19"/>
      <c r="M44" s="19"/>
      <c r="N44" s="19"/>
      <c r="O44" s="19"/>
      <c r="P44" s="19"/>
      <c r="Q44" s="19"/>
      <c r="R44" s="19"/>
      <c r="S44" s="19"/>
      <c r="T44" s="19"/>
      <c r="U44" s="19"/>
      <c r="V44" s="19"/>
      <c r="W44" s="19"/>
      <c r="X44" s="19"/>
      <c r="Y44" s="19"/>
      <c r="Z44" s="19"/>
    </row>
    <row r="45" spans="1:26" ht="15.75" customHeight="1">
      <c r="A45" s="19"/>
      <c r="B45" s="5"/>
      <c r="C45" s="65"/>
      <c r="D45" s="5" t="s">
        <v>102</v>
      </c>
      <c r="E45" s="82">
        <f>E30+G40</f>
        <v>242400</v>
      </c>
      <c r="F45" s="5" t="s">
        <v>33</v>
      </c>
      <c r="G45" s="97">
        <f>E47*C43</f>
        <v>900342.85714285716</v>
      </c>
      <c r="H45" s="5" t="str">
        <f>D45</f>
        <v>Frais fixes totaux</v>
      </c>
      <c r="I45" s="106">
        <f>E45</f>
        <v>242400</v>
      </c>
      <c r="J45" s="19"/>
      <c r="K45" s="19"/>
      <c r="L45" s="19"/>
      <c r="M45" s="19"/>
      <c r="N45" s="19"/>
      <c r="O45" s="19"/>
      <c r="P45" s="19"/>
      <c r="Q45" s="19"/>
      <c r="R45" s="19"/>
      <c r="S45" s="19"/>
      <c r="T45" s="19"/>
      <c r="U45" s="19"/>
      <c r="V45" s="19"/>
      <c r="W45" s="19"/>
      <c r="X45" s="19"/>
      <c r="Y45" s="19"/>
      <c r="Z45" s="19"/>
    </row>
    <row r="46" spans="1:26" ht="15.75" customHeight="1">
      <c r="A46" s="19"/>
      <c r="B46" s="5"/>
      <c r="C46" s="65"/>
      <c r="D46" s="5"/>
      <c r="E46" s="65"/>
      <c r="F46" s="89" t="s">
        <v>34</v>
      </c>
      <c r="G46" s="98">
        <f>G44-G45</f>
        <v>6899657.1428571427</v>
      </c>
      <c r="H46" s="70" t="s">
        <v>113</v>
      </c>
      <c r="I46" s="107">
        <f>C26</f>
        <v>351305</v>
      </c>
      <c r="J46" s="19"/>
      <c r="K46" s="19"/>
      <c r="L46" s="19"/>
      <c r="M46" s="19"/>
      <c r="N46" s="19"/>
      <c r="O46" s="19"/>
      <c r="P46" s="19"/>
      <c r="Q46" s="19"/>
      <c r="R46" s="19"/>
      <c r="S46" s="19"/>
      <c r="T46" s="19"/>
      <c r="U46" s="19"/>
      <c r="V46" s="19"/>
      <c r="W46" s="19"/>
      <c r="X46" s="19"/>
      <c r="Y46" s="19"/>
      <c r="Z46" s="19"/>
    </row>
    <row r="47" spans="1:26" ht="15.75" customHeight="1">
      <c r="A47" s="19"/>
      <c r="B47" s="72" t="s">
        <v>141</v>
      </c>
      <c r="C47" s="93">
        <f>C43-C44</f>
        <v>3.5</v>
      </c>
      <c r="D47" s="5" t="s">
        <v>103</v>
      </c>
      <c r="E47" s="83">
        <f>E45/(E43-E44)</f>
        <v>69257.142857142855</v>
      </c>
      <c r="F47" s="5"/>
      <c r="G47" s="65"/>
      <c r="H47" s="70"/>
      <c r="I47" s="88"/>
      <c r="J47" s="19"/>
      <c r="K47" s="19"/>
      <c r="L47" s="19"/>
      <c r="M47" s="19"/>
      <c r="N47" s="19"/>
      <c r="O47" s="19"/>
      <c r="P47" s="19"/>
      <c r="Q47" s="19"/>
      <c r="R47" s="19"/>
      <c r="S47" s="19"/>
      <c r="T47" s="19"/>
      <c r="U47" s="19"/>
      <c r="V47" s="19"/>
      <c r="W47" s="19"/>
      <c r="X47" s="19"/>
      <c r="Y47" s="19"/>
      <c r="Z47" s="19"/>
    </row>
    <row r="48" spans="1:26" ht="15.75" customHeight="1">
      <c r="A48" s="19"/>
      <c r="B48" s="72" t="s">
        <v>41</v>
      </c>
      <c r="C48" s="94">
        <f>C47/C43</f>
        <v>0.26923076923076922</v>
      </c>
      <c r="D48" s="5"/>
      <c r="E48" s="35"/>
      <c r="F48" s="5" t="s">
        <v>107</v>
      </c>
      <c r="G48" s="95">
        <f>G43</f>
        <v>600000</v>
      </c>
      <c r="H48" s="5"/>
      <c r="I48" s="97"/>
      <c r="J48" s="19"/>
      <c r="K48" s="19"/>
      <c r="L48" s="19"/>
      <c r="M48" s="19"/>
      <c r="N48" s="19"/>
      <c r="O48" s="19"/>
      <c r="P48" s="19"/>
      <c r="Q48" s="19"/>
      <c r="R48" s="19"/>
      <c r="S48" s="19"/>
      <c r="T48" s="19"/>
      <c r="U48" s="19"/>
      <c r="V48" s="19"/>
      <c r="W48" s="19"/>
      <c r="X48" s="19"/>
      <c r="Y48" s="19"/>
      <c r="Z48" s="19"/>
    </row>
    <row r="49" spans="1:26" ht="15.75" customHeight="1" thickBot="1">
      <c r="A49" s="19"/>
      <c r="B49" s="31"/>
      <c r="C49" s="81"/>
      <c r="D49" s="5"/>
      <c r="E49" s="65"/>
      <c r="F49" s="5" t="s">
        <v>103</v>
      </c>
      <c r="G49" s="95">
        <f>E47</f>
        <v>69257.142857142855</v>
      </c>
      <c r="H49" s="75" t="s">
        <v>114</v>
      </c>
      <c r="I49" s="108">
        <f>((I46*I44+I45)+I43)/I46</f>
        <v>13.036528088128549</v>
      </c>
      <c r="J49" s="19"/>
      <c r="K49" s="19"/>
      <c r="L49" s="19"/>
      <c r="M49" s="19"/>
      <c r="N49" s="19"/>
      <c r="O49" s="19"/>
      <c r="P49" s="19"/>
      <c r="Q49" s="19"/>
      <c r="R49" s="19"/>
      <c r="S49" s="19"/>
      <c r="T49" s="19"/>
      <c r="U49" s="19"/>
      <c r="V49" s="19"/>
      <c r="W49" s="19"/>
      <c r="X49" s="19"/>
      <c r="Y49" s="19"/>
      <c r="Z49" s="19"/>
    </row>
    <row r="50" spans="1:26" ht="15.75" customHeight="1">
      <c r="A50" s="19"/>
      <c r="D50" s="5"/>
      <c r="E50" s="65"/>
      <c r="F50" s="89" t="s">
        <v>142</v>
      </c>
      <c r="G50" s="83">
        <f>G48-G49</f>
        <v>530742.85714285716</v>
      </c>
      <c r="J50" s="19"/>
      <c r="K50" s="19"/>
      <c r="L50" s="19"/>
      <c r="M50" s="19"/>
      <c r="N50" s="19"/>
      <c r="O50" s="19"/>
      <c r="P50" s="19"/>
      <c r="Q50" s="19"/>
      <c r="R50" s="19"/>
      <c r="S50" s="19"/>
      <c r="T50" s="19"/>
      <c r="U50" s="19"/>
      <c r="V50" s="19"/>
      <c r="W50" s="19"/>
      <c r="X50" s="19"/>
      <c r="Y50" s="19"/>
      <c r="Z50" s="19"/>
    </row>
    <row r="51" spans="1:26" ht="15.75" customHeight="1" thickBot="1">
      <c r="A51" s="19"/>
      <c r="D51" s="31" t="s">
        <v>104</v>
      </c>
      <c r="E51" s="84">
        <f>E47*E43</f>
        <v>900342.85714285716</v>
      </c>
      <c r="F51" s="5"/>
      <c r="G51" s="65"/>
      <c r="J51" s="19"/>
      <c r="K51" s="19"/>
      <c r="L51" s="19"/>
      <c r="M51" s="19"/>
      <c r="N51" s="19"/>
      <c r="O51" s="19"/>
      <c r="P51" s="19"/>
      <c r="Q51" s="19"/>
      <c r="R51" s="19"/>
      <c r="S51" s="19"/>
      <c r="T51" s="19"/>
      <c r="U51" s="19"/>
      <c r="V51" s="19"/>
      <c r="W51" s="19"/>
      <c r="X51" s="19"/>
      <c r="Y51" s="19"/>
      <c r="Z51" s="19"/>
    </row>
    <row r="52" spans="1:26" ht="15.75" customHeight="1">
      <c r="A52" s="19"/>
      <c r="F52" s="90" t="s">
        <v>108</v>
      </c>
      <c r="G52" s="95">
        <f>G50</f>
        <v>530742.85714285716</v>
      </c>
      <c r="H52" s="67"/>
      <c r="I52" s="67"/>
      <c r="J52" s="19"/>
      <c r="K52" s="19"/>
      <c r="L52" s="19"/>
      <c r="M52" s="19"/>
      <c r="N52" s="19"/>
      <c r="O52" s="19"/>
      <c r="P52" s="19"/>
      <c r="Q52" s="19"/>
      <c r="R52" s="19"/>
      <c r="S52" s="19"/>
      <c r="T52" s="19"/>
      <c r="U52" s="19"/>
      <c r="V52" s="19"/>
      <c r="W52" s="19"/>
      <c r="X52" s="19"/>
      <c r="Y52" s="19"/>
      <c r="Z52" s="19"/>
    </row>
    <row r="53" spans="1:26" ht="15.75" customHeight="1">
      <c r="A53" s="19"/>
      <c r="F53" s="5" t="s">
        <v>107</v>
      </c>
      <c r="G53" s="95">
        <f>G48</f>
        <v>600000</v>
      </c>
      <c r="H53" s="67"/>
      <c r="I53" s="103"/>
      <c r="J53" s="19"/>
      <c r="K53" s="19"/>
      <c r="L53" s="19"/>
      <c r="M53" s="19"/>
      <c r="N53" s="19"/>
      <c r="O53" s="19"/>
      <c r="P53" s="19"/>
      <c r="Q53" s="19"/>
      <c r="R53" s="19"/>
      <c r="S53" s="19"/>
      <c r="T53" s="19"/>
      <c r="U53" s="19"/>
      <c r="V53" s="19"/>
      <c r="W53" s="19"/>
      <c r="X53" s="19"/>
      <c r="Y53" s="19"/>
      <c r="Z53" s="19"/>
    </row>
    <row r="54" spans="1:26" ht="15.75" customHeight="1">
      <c r="A54" s="19"/>
      <c r="F54" s="89" t="s">
        <v>35</v>
      </c>
      <c r="G54" s="99">
        <f>G52/G53</f>
        <v>0.88457142857142856</v>
      </c>
      <c r="H54" s="67"/>
      <c r="I54" s="103"/>
      <c r="J54" s="19"/>
      <c r="K54" s="19"/>
      <c r="L54" s="19"/>
      <c r="M54" s="19"/>
      <c r="N54" s="19"/>
      <c r="O54" s="19"/>
      <c r="P54" s="19"/>
      <c r="Q54" s="19"/>
      <c r="R54" s="19"/>
      <c r="S54" s="19"/>
      <c r="T54" s="19"/>
      <c r="U54" s="19"/>
      <c r="V54" s="19"/>
      <c r="W54" s="19"/>
      <c r="X54" s="19"/>
      <c r="Y54" s="19"/>
      <c r="Z54" s="19"/>
    </row>
    <row r="55" spans="1:26" ht="15.75" customHeight="1" thickBot="1">
      <c r="A55" s="19"/>
      <c r="F55" s="31"/>
      <c r="G55" s="81"/>
      <c r="H55" s="104"/>
      <c r="I55" s="105"/>
      <c r="J55" s="19"/>
      <c r="K55" s="19"/>
      <c r="L55" s="19"/>
      <c r="M55" s="19"/>
      <c r="N55" s="19"/>
      <c r="O55" s="19"/>
      <c r="P55" s="19"/>
      <c r="Q55" s="19"/>
      <c r="R55" s="19"/>
      <c r="S55" s="19"/>
      <c r="T55" s="19"/>
      <c r="U55" s="19"/>
      <c r="V55" s="19"/>
      <c r="W55" s="19"/>
      <c r="X55" s="19"/>
      <c r="Y55" s="19"/>
      <c r="Z55" s="19"/>
    </row>
    <row r="56" spans="1:26" ht="15.75" customHeight="1">
      <c r="A56" s="19"/>
      <c r="I56" s="67"/>
      <c r="J56" s="19"/>
      <c r="K56" s="19"/>
      <c r="L56" s="19"/>
      <c r="M56" s="19"/>
      <c r="N56" s="19"/>
      <c r="O56" s="19"/>
      <c r="P56" s="19"/>
      <c r="Q56" s="19"/>
      <c r="R56" s="19"/>
      <c r="S56" s="19"/>
      <c r="T56" s="19"/>
      <c r="U56" s="19"/>
      <c r="V56" s="19"/>
      <c r="W56" s="19"/>
      <c r="X56" s="19"/>
      <c r="Y56" s="19"/>
      <c r="Z56" s="19"/>
    </row>
    <row r="57" spans="1:26" ht="15.75" customHeight="1">
      <c r="A57" s="19"/>
      <c r="J57" s="19"/>
      <c r="K57" s="19"/>
      <c r="L57" s="19"/>
      <c r="M57" s="19"/>
      <c r="N57" s="19"/>
      <c r="O57" s="19"/>
      <c r="P57" s="19"/>
      <c r="Q57" s="19"/>
      <c r="R57" s="19"/>
      <c r="S57" s="19"/>
      <c r="T57" s="19"/>
      <c r="U57" s="19"/>
      <c r="V57" s="19"/>
      <c r="W57" s="19"/>
      <c r="X57" s="19"/>
      <c r="Y57" s="19"/>
      <c r="Z57" s="19"/>
    </row>
    <row r="58" spans="1:26" ht="15.75" customHeight="1">
      <c r="A58" s="252" t="s">
        <v>29</v>
      </c>
      <c r="B58" s="252"/>
      <c r="C58" s="252"/>
      <c r="D58" s="252"/>
      <c r="E58" s="252"/>
      <c r="F58" s="252"/>
      <c r="G58" s="252"/>
      <c r="H58" s="252"/>
      <c r="I58" s="252"/>
      <c r="J58" s="19"/>
      <c r="K58" s="19"/>
      <c r="L58" s="19"/>
      <c r="M58" s="19"/>
      <c r="N58" s="19"/>
      <c r="O58" s="19"/>
      <c r="P58" s="19"/>
      <c r="Q58" s="19"/>
      <c r="R58" s="19"/>
      <c r="S58" s="19"/>
      <c r="T58" s="19"/>
      <c r="U58" s="19"/>
      <c r="V58" s="19"/>
      <c r="W58" s="19"/>
      <c r="X58" s="19"/>
      <c r="Y58" s="19"/>
      <c r="Z58" s="19"/>
    </row>
    <row r="59" spans="1:26" ht="15.75" customHeight="1" thickBot="1">
      <c r="A59" s="19"/>
      <c r="D59" s="19"/>
      <c r="E59" s="19"/>
      <c r="F59" s="19"/>
      <c r="I59" s="19"/>
      <c r="J59" s="19"/>
      <c r="K59" s="19"/>
      <c r="L59" s="19"/>
      <c r="M59" s="19"/>
      <c r="N59" s="19"/>
      <c r="O59" s="19"/>
      <c r="P59" s="19"/>
      <c r="Q59" s="19"/>
      <c r="R59" s="19"/>
      <c r="S59" s="19"/>
      <c r="T59" s="19"/>
      <c r="U59" s="19"/>
      <c r="V59" s="19"/>
      <c r="W59" s="19"/>
      <c r="X59" s="19"/>
      <c r="Y59" s="19"/>
      <c r="Z59" s="19"/>
    </row>
    <row r="60" spans="1:26" ht="15.75" customHeight="1" thickBot="1">
      <c r="A60" s="19"/>
      <c r="B60" s="240" t="s">
        <v>117</v>
      </c>
      <c r="C60" s="241"/>
      <c r="E60" s="19"/>
      <c r="F60" s="19"/>
      <c r="I60" s="19"/>
      <c r="J60" s="19"/>
      <c r="K60" s="19"/>
      <c r="L60" s="19"/>
      <c r="M60" s="19"/>
      <c r="N60" s="19"/>
      <c r="O60" s="19"/>
      <c r="P60" s="19"/>
      <c r="Q60" s="19"/>
      <c r="R60" s="19"/>
      <c r="S60" s="19"/>
      <c r="T60" s="19"/>
      <c r="U60" s="19"/>
      <c r="V60" s="19"/>
      <c r="W60" s="19"/>
      <c r="X60" s="19"/>
      <c r="Y60" s="19"/>
      <c r="Z60" s="19"/>
    </row>
    <row r="61" spans="1:26" ht="15.75" customHeight="1">
      <c r="A61" s="19"/>
      <c r="B61" s="5" t="s">
        <v>118</v>
      </c>
      <c r="C61" s="97">
        <f>Feuil2!E38+Feuil2!E39</f>
        <v>305000</v>
      </c>
      <c r="E61" s="19"/>
      <c r="F61" s="19"/>
      <c r="I61" s="19"/>
      <c r="J61" s="19"/>
      <c r="K61" s="19"/>
      <c r="L61" s="19"/>
      <c r="M61" s="19"/>
      <c r="N61" s="19"/>
      <c r="O61" s="19"/>
      <c r="P61" s="19"/>
      <c r="Q61" s="19"/>
      <c r="R61" s="19"/>
      <c r="S61" s="19"/>
      <c r="T61" s="19"/>
      <c r="U61" s="19"/>
      <c r="V61" s="19"/>
      <c r="W61" s="19"/>
      <c r="X61" s="19"/>
      <c r="Y61" s="19"/>
      <c r="Z61" s="19"/>
    </row>
    <row r="62" spans="1:26" ht="15.75" customHeight="1">
      <c r="A62" s="19"/>
      <c r="B62" s="70" t="s">
        <v>119</v>
      </c>
      <c r="C62" s="110">
        <f>Feuil2!E44</f>
        <v>7.0000000000000007E-2</v>
      </c>
      <c r="E62" s="19"/>
      <c r="F62" s="19"/>
      <c r="I62" s="19"/>
      <c r="J62" s="19"/>
      <c r="K62" s="19"/>
      <c r="L62" s="19"/>
      <c r="M62" s="19"/>
      <c r="N62" s="19"/>
      <c r="O62" s="19"/>
      <c r="P62" s="19"/>
      <c r="Q62" s="19"/>
      <c r="R62" s="19"/>
      <c r="S62" s="19"/>
      <c r="T62" s="19"/>
      <c r="U62" s="19"/>
      <c r="V62" s="19"/>
      <c r="W62" s="19"/>
      <c r="X62" s="19"/>
      <c r="Y62" s="19"/>
      <c r="Z62" s="19"/>
    </row>
    <row r="63" spans="1:26" ht="15.75" customHeight="1">
      <c r="A63" s="19"/>
      <c r="B63" s="70"/>
      <c r="C63" s="97"/>
      <c r="E63" s="19"/>
      <c r="F63" s="19"/>
      <c r="I63" s="19"/>
      <c r="J63" s="19"/>
      <c r="K63" s="19"/>
      <c r="L63" s="19"/>
      <c r="M63" s="19"/>
      <c r="N63" s="19"/>
      <c r="O63" s="19"/>
      <c r="P63" s="19"/>
      <c r="Q63" s="19"/>
      <c r="R63" s="19"/>
      <c r="S63" s="19"/>
      <c r="T63" s="19"/>
      <c r="U63" s="19"/>
      <c r="V63" s="19"/>
      <c r="W63" s="19"/>
      <c r="X63" s="19"/>
      <c r="Y63" s="19"/>
      <c r="Z63" s="19"/>
    </row>
    <row r="64" spans="1:26" ht="15.75" customHeight="1">
      <c r="A64" s="19"/>
      <c r="B64" s="70"/>
      <c r="C64" s="97"/>
      <c r="E64" s="19"/>
      <c r="F64" s="19"/>
      <c r="I64" s="19"/>
      <c r="J64" s="19"/>
      <c r="K64" s="19"/>
      <c r="L64" s="19"/>
      <c r="M64" s="19"/>
      <c r="N64" s="19"/>
      <c r="O64" s="19"/>
      <c r="P64" s="19"/>
      <c r="Q64" s="19"/>
      <c r="R64" s="19"/>
      <c r="S64" s="19"/>
      <c r="T64" s="19"/>
      <c r="U64" s="19"/>
      <c r="V64" s="19"/>
      <c r="W64" s="19"/>
      <c r="X64" s="19"/>
      <c r="Y64" s="19"/>
      <c r="Z64" s="19"/>
    </row>
    <row r="65" spans="1:26" ht="15.75" customHeight="1" thickBot="1">
      <c r="A65" s="19"/>
      <c r="B65" s="75" t="s">
        <v>120</v>
      </c>
      <c r="C65" s="138">
        <f>C61*C62</f>
        <v>21350.000000000004</v>
      </c>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0"/>
      <c r="C66" s="86"/>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thickBot="1">
      <c r="A67" s="19"/>
      <c r="B67" s="10"/>
      <c r="C67" s="86"/>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thickBot="1">
      <c r="A68" s="19"/>
      <c r="B68" s="240" t="s">
        <v>131</v>
      </c>
      <c r="C68" s="245"/>
      <c r="D68" s="241"/>
      <c r="E68" s="240" t="s">
        <v>132</v>
      </c>
      <c r="F68" s="245"/>
      <c r="G68" s="241"/>
      <c r="H68" s="19"/>
      <c r="I68" s="19"/>
      <c r="J68" s="19"/>
      <c r="K68" s="19"/>
      <c r="L68" s="19"/>
      <c r="M68" s="19"/>
      <c r="N68" s="19"/>
      <c r="O68" s="19"/>
      <c r="P68" s="19"/>
      <c r="Q68" s="19"/>
      <c r="R68" s="19"/>
      <c r="S68" s="19"/>
      <c r="T68" s="19"/>
      <c r="U68" s="19"/>
      <c r="V68" s="19"/>
      <c r="W68" s="19"/>
      <c r="X68" s="19"/>
      <c r="Y68" s="19"/>
      <c r="Z68" s="19"/>
    </row>
    <row r="69" spans="1:26" ht="15.75" customHeight="1">
      <c r="A69" s="19"/>
      <c r="B69" s="111"/>
      <c r="C69" s="112" t="s">
        <v>123</v>
      </c>
      <c r="D69" s="116" t="s">
        <v>124</v>
      </c>
      <c r="E69" s="111"/>
      <c r="F69" s="112" t="s">
        <v>123</v>
      </c>
      <c r="G69" s="116" t="s">
        <v>124</v>
      </c>
      <c r="H69" s="19"/>
      <c r="I69" s="19"/>
      <c r="J69" s="19"/>
      <c r="K69" s="19"/>
      <c r="L69" s="19"/>
      <c r="M69" s="19"/>
      <c r="N69" s="19"/>
      <c r="O69" s="19"/>
      <c r="P69" s="19"/>
      <c r="Q69" s="19"/>
      <c r="R69" s="19"/>
      <c r="S69" s="19"/>
      <c r="T69" s="19"/>
      <c r="U69" s="19"/>
      <c r="V69" s="19"/>
      <c r="W69" s="19"/>
      <c r="X69" s="19"/>
      <c r="Y69" s="19"/>
      <c r="Z69" s="19"/>
    </row>
    <row r="70" spans="1:26" ht="15.75" customHeight="1">
      <c r="A70" s="19"/>
      <c r="B70" s="111" t="s">
        <v>44</v>
      </c>
      <c r="C70" s="71"/>
      <c r="D70" s="109">
        <f>Feuil2!E36</f>
        <v>30</v>
      </c>
      <c r="E70" s="111" t="s">
        <v>44</v>
      </c>
      <c r="F70" s="71"/>
      <c r="G70" s="109">
        <f>D70</f>
        <v>30</v>
      </c>
      <c r="H70" s="19"/>
      <c r="I70" s="19"/>
      <c r="J70" s="19"/>
      <c r="K70" s="19"/>
      <c r="L70" s="19"/>
      <c r="M70" s="19"/>
      <c r="N70" s="19"/>
      <c r="O70" s="19"/>
      <c r="P70" s="19"/>
      <c r="Q70" s="19"/>
      <c r="R70" s="19"/>
      <c r="S70" s="19"/>
      <c r="T70" s="19"/>
      <c r="U70" s="19"/>
      <c r="V70" s="19"/>
      <c r="W70" s="19"/>
      <c r="X70" s="19"/>
      <c r="Y70" s="19"/>
      <c r="Z70" s="19"/>
    </row>
    <row r="71" spans="1:26" ht="15.75" customHeight="1">
      <c r="A71" s="19"/>
      <c r="B71" s="111" t="s">
        <v>125</v>
      </c>
      <c r="C71" s="71"/>
      <c r="D71" s="100">
        <f>Feuil2!E37</f>
        <v>204000</v>
      </c>
      <c r="E71" s="111" t="s">
        <v>125</v>
      </c>
      <c r="F71" s="71"/>
      <c r="G71" s="100">
        <f>D71</f>
        <v>204000</v>
      </c>
      <c r="H71" s="19"/>
      <c r="I71" s="19"/>
      <c r="J71" s="19"/>
      <c r="K71" s="19"/>
      <c r="L71" s="19"/>
      <c r="M71" s="19"/>
      <c r="N71" s="19"/>
      <c r="O71" s="19"/>
      <c r="P71" s="19"/>
      <c r="Q71" s="19"/>
      <c r="R71" s="19"/>
      <c r="S71" s="19"/>
      <c r="T71" s="19"/>
      <c r="U71" s="19"/>
      <c r="V71" s="19"/>
      <c r="W71" s="19"/>
      <c r="X71" s="19"/>
      <c r="Y71" s="19"/>
      <c r="Z71" s="19"/>
    </row>
    <row r="72" spans="1:26" ht="15.75" customHeight="1">
      <c r="A72" s="19"/>
      <c r="B72" s="111" t="s">
        <v>126</v>
      </c>
      <c r="C72" s="64">
        <f>G35</f>
        <v>4566965</v>
      </c>
      <c r="D72" s="35">
        <f>D70*D71</f>
        <v>6120000</v>
      </c>
      <c r="E72" s="111" t="s">
        <v>126</v>
      </c>
      <c r="F72" s="64">
        <f>C72</f>
        <v>4566965</v>
      </c>
      <c r="G72" s="35">
        <f>G70*G71</f>
        <v>6120000</v>
      </c>
      <c r="H72" s="19"/>
      <c r="I72" s="19"/>
      <c r="J72" s="19"/>
      <c r="K72" s="19"/>
      <c r="L72" s="19"/>
      <c r="M72" s="19"/>
      <c r="N72" s="19"/>
      <c r="O72" s="19"/>
      <c r="P72" s="19"/>
      <c r="Q72" s="19"/>
      <c r="R72" s="19"/>
      <c r="S72" s="19"/>
      <c r="T72" s="19"/>
      <c r="U72" s="19"/>
      <c r="V72" s="19"/>
      <c r="W72" s="19"/>
      <c r="X72" s="19"/>
      <c r="Y72" s="19"/>
      <c r="Z72" s="19"/>
    </row>
    <row r="73" spans="1:26" ht="15.75" customHeight="1">
      <c r="A73" s="19"/>
      <c r="B73" s="111"/>
      <c r="C73" s="112"/>
      <c r="D73" s="117"/>
      <c r="E73" s="111"/>
      <c r="F73" s="112"/>
      <c r="G73" s="117"/>
      <c r="H73" s="19"/>
      <c r="I73" s="19"/>
      <c r="J73" s="19"/>
      <c r="K73" s="19"/>
      <c r="L73" s="19"/>
      <c r="M73" s="19"/>
      <c r="N73" s="19"/>
      <c r="O73" s="19"/>
      <c r="P73" s="19"/>
      <c r="Q73" s="19"/>
      <c r="R73" s="19"/>
      <c r="S73" s="19"/>
      <c r="T73" s="19"/>
      <c r="U73" s="19"/>
      <c r="V73" s="19"/>
      <c r="W73" s="19"/>
      <c r="X73" s="19"/>
      <c r="Y73" s="19"/>
      <c r="Z73" s="19"/>
    </row>
    <row r="74" spans="1:26" ht="15.75" customHeight="1" thickBot="1">
      <c r="A74" s="19"/>
      <c r="B74" s="114"/>
      <c r="C74" s="115"/>
      <c r="D74" s="118">
        <f>D72-C72</f>
        <v>1553035</v>
      </c>
      <c r="E74" s="114"/>
      <c r="F74" s="115"/>
      <c r="G74" s="118">
        <v>0</v>
      </c>
      <c r="H74" s="19"/>
      <c r="I74" s="19"/>
      <c r="J74" s="19"/>
      <c r="K74" s="19"/>
      <c r="L74" s="19"/>
      <c r="M74" s="19"/>
      <c r="N74" s="19"/>
      <c r="O74" s="19"/>
      <c r="P74" s="19"/>
      <c r="Q74" s="19"/>
      <c r="R74" s="19"/>
      <c r="S74" s="19"/>
      <c r="T74" s="19"/>
      <c r="U74" s="19"/>
      <c r="V74" s="19"/>
      <c r="W74" s="19"/>
      <c r="X74" s="19"/>
      <c r="Y74" s="19"/>
      <c r="Z74" s="19"/>
    </row>
    <row r="75" spans="1:26" ht="15.75" customHeight="1" thickBo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thickBot="1">
      <c r="A76" s="19"/>
      <c r="B76" s="246" t="s">
        <v>135</v>
      </c>
      <c r="C76" s="247"/>
      <c r="D76" s="247"/>
      <c r="E76" s="248"/>
      <c r="H76" s="19"/>
      <c r="I76" s="19"/>
      <c r="J76" s="19"/>
      <c r="K76" s="19"/>
      <c r="L76" s="19"/>
      <c r="M76" s="19"/>
      <c r="N76" s="19"/>
      <c r="O76" s="19"/>
      <c r="P76" s="19"/>
      <c r="Q76" s="19"/>
      <c r="R76" s="19"/>
      <c r="S76" s="19"/>
      <c r="T76" s="19"/>
      <c r="U76" s="19"/>
      <c r="V76" s="19"/>
      <c r="W76" s="19"/>
      <c r="X76" s="19"/>
      <c r="Y76" s="19"/>
      <c r="Z76" s="19"/>
    </row>
    <row r="77" spans="1:26" ht="15.75" customHeight="1">
      <c r="A77" s="19"/>
      <c r="B77" s="111"/>
      <c r="C77" s="112" t="s">
        <v>123</v>
      </c>
      <c r="D77" s="112" t="s">
        <v>124</v>
      </c>
      <c r="E77" s="88"/>
      <c r="H77" s="19"/>
      <c r="I77" s="19"/>
      <c r="J77" s="19"/>
      <c r="K77" s="19"/>
      <c r="L77" s="19"/>
      <c r="M77" s="19"/>
      <c r="N77" s="19"/>
      <c r="O77" s="19"/>
      <c r="P77" s="19"/>
      <c r="Q77" s="19"/>
      <c r="R77" s="19"/>
      <c r="S77" s="19"/>
      <c r="T77" s="19"/>
      <c r="U77" s="19"/>
      <c r="V77" s="19"/>
      <c r="W77" s="19"/>
      <c r="X77" s="19"/>
      <c r="Y77" s="19"/>
      <c r="Z77" s="19"/>
    </row>
    <row r="78" spans="1:26" ht="15.75" customHeight="1">
      <c r="A78" s="19"/>
      <c r="B78" s="111" t="s">
        <v>125</v>
      </c>
      <c r="C78" s="119">
        <f>C26</f>
        <v>351305</v>
      </c>
      <c r="D78" s="119">
        <f>D71</f>
        <v>204000</v>
      </c>
      <c r="E78" s="88"/>
      <c r="H78" s="19"/>
      <c r="I78" s="19"/>
      <c r="J78" s="19"/>
      <c r="K78" s="19"/>
      <c r="L78" s="19"/>
      <c r="M78" s="19"/>
      <c r="N78" s="19"/>
      <c r="O78" s="19"/>
      <c r="P78" s="19"/>
      <c r="Q78" s="19"/>
      <c r="R78" s="19"/>
      <c r="S78" s="19"/>
      <c r="T78" s="19"/>
      <c r="U78" s="19"/>
      <c r="V78" s="19"/>
      <c r="W78" s="19"/>
      <c r="X78" s="19"/>
      <c r="Y78" s="19"/>
      <c r="Z78" s="19"/>
    </row>
    <row r="79" spans="1:26" ht="15.75" customHeight="1">
      <c r="A79" s="19"/>
      <c r="B79" s="5" t="s">
        <v>128</v>
      </c>
      <c r="C79" s="20">
        <f>C44</f>
        <v>9.5</v>
      </c>
      <c r="D79" s="20">
        <f>Feuil2!E31+Feuil2!E33+Feuil2!E35</f>
        <v>20.5</v>
      </c>
      <c r="E79" s="88"/>
      <c r="H79" s="19"/>
      <c r="I79" s="19"/>
      <c r="J79" s="19"/>
      <c r="K79" s="19"/>
      <c r="L79" s="19"/>
      <c r="M79" s="19"/>
      <c r="N79" s="19"/>
      <c r="O79" s="19"/>
      <c r="P79" s="19"/>
      <c r="Q79" s="19"/>
      <c r="R79" s="19"/>
      <c r="S79" s="19"/>
      <c r="T79" s="19"/>
      <c r="U79" s="19"/>
      <c r="V79" s="19"/>
      <c r="W79" s="19"/>
      <c r="X79" s="19"/>
      <c r="Y79" s="19"/>
      <c r="Z79" s="19"/>
    </row>
    <row r="80" spans="1:26" ht="15.75" customHeight="1">
      <c r="A80" s="19"/>
      <c r="B80" s="111" t="s">
        <v>85</v>
      </c>
      <c r="C80" s="64">
        <f>C78*C79</f>
        <v>3337397.5</v>
      </c>
      <c r="D80" s="64">
        <f>D78*D79</f>
        <v>4182000</v>
      </c>
      <c r="E80" s="92">
        <f>D80-C80</f>
        <v>844602.5</v>
      </c>
      <c r="H80" s="19"/>
      <c r="I80" s="19"/>
      <c r="J80" s="19"/>
      <c r="K80" s="19"/>
      <c r="L80" s="19"/>
      <c r="M80" s="19"/>
      <c r="N80" s="19"/>
      <c r="O80" s="19"/>
      <c r="P80" s="19"/>
      <c r="Q80" s="19"/>
      <c r="R80" s="19"/>
      <c r="S80" s="19"/>
      <c r="T80" s="19"/>
      <c r="U80" s="19"/>
      <c r="V80" s="19"/>
      <c r="W80" s="19"/>
      <c r="X80" s="19"/>
      <c r="Y80" s="19"/>
      <c r="Z80" s="19"/>
    </row>
    <row r="81" spans="1:26" ht="15.75" customHeight="1">
      <c r="A81" s="19"/>
      <c r="B81" s="111" t="s">
        <v>102</v>
      </c>
      <c r="C81" s="64">
        <f>E45</f>
        <v>242400</v>
      </c>
      <c r="D81" s="131">
        <f>Feuil2!E32+Feuil2!E34+Feuil2!E43+C65</f>
        <v>44100</v>
      </c>
      <c r="E81" s="92">
        <f>D81-C81</f>
        <v>-198300</v>
      </c>
      <c r="H81" s="19"/>
      <c r="I81" s="19"/>
      <c r="J81" s="19"/>
      <c r="K81" s="19"/>
      <c r="L81" s="19"/>
      <c r="M81" s="19"/>
      <c r="N81" s="19"/>
      <c r="O81" s="19"/>
      <c r="P81" s="19"/>
      <c r="Q81" s="19"/>
      <c r="R81" s="19"/>
      <c r="S81" s="19"/>
      <c r="T81" s="19"/>
      <c r="U81" s="19"/>
      <c r="V81" s="19"/>
      <c r="W81" s="19"/>
      <c r="X81" s="19"/>
      <c r="Y81" s="19"/>
      <c r="Z81" s="19"/>
    </row>
    <row r="82" spans="1:26" ht="15.75" customHeight="1" thickBot="1">
      <c r="A82" s="19"/>
      <c r="B82" s="122"/>
      <c r="C82" s="121"/>
      <c r="D82" s="126" t="s">
        <v>129</v>
      </c>
      <c r="E82" s="118">
        <f>-E81</f>
        <v>198300</v>
      </c>
      <c r="F82" s="123"/>
      <c r="G82" s="124"/>
      <c r="H82" s="19"/>
      <c r="I82" s="19"/>
      <c r="J82" s="19"/>
      <c r="K82" s="19"/>
      <c r="L82" s="19"/>
      <c r="M82" s="19"/>
      <c r="N82" s="19"/>
      <c r="O82" s="19"/>
      <c r="P82" s="19"/>
      <c r="Q82" s="19"/>
      <c r="R82" s="19"/>
      <c r="S82" s="19"/>
      <c r="T82" s="19"/>
      <c r="U82" s="19"/>
      <c r="V82" s="19"/>
      <c r="W82" s="19"/>
      <c r="X82" s="19"/>
      <c r="Y82" s="19"/>
      <c r="Z82" s="19"/>
    </row>
    <row r="83" spans="1:26" ht="15.75" customHeight="1" thickBot="1">
      <c r="A83" s="19"/>
      <c r="D83" s="19"/>
      <c r="E83" s="19"/>
      <c r="H83" s="19"/>
      <c r="I83" s="19"/>
      <c r="J83" s="19"/>
      <c r="K83" s="19"/>
      <c r="L83" s="19"/>
      <c r="M83" s="19"/>
      <c r="N83" s="19"/>
      <c r="O83" s="19"/>
      <c r="P83" s="19"/>
      <c r="Q83" s="19"/>
      <c r="R83" s="19"/>
      <c r="S83" s="19"/>
      <c r="T83" s="19"/>
      <c r="U83" s="19"/>
      <c r="V83" s="19"/>
      <c r="W83" s="19"/>
      <c r="X83" s="19"/>
      <c r="Y83" s="19"/>
      <c r="Z83" s="19"/>
    </row>
    <row r="84" spans="1:26" s="71" customFormat="1" ht="15.75" customHeight="1" thickBot="1">
      <c r="A84" s="10"/>
      <c r="B84" s="246" t="s">
        <v>133</v>
      </c>
      <c r="C84" s="247"/>
      <c r="D84" s="247"/>
      <c r="E84" s="248"/>
      <c r="H84" s="10"/>
      <c r="I84" s="10"/>
      <c r="J84" s="10"/>
      <c r="K84" s="10"/>
      <c r="L84" s="10"/>
      <c r="M84" s="10"/>
      <c r="N84" s="10"/>
      <c r="O84" s="10"/>
      <c r="P84" s="10"/>
      <c r="Q84" s="10"/>
      <c r="R84" s="10"/>
      <c r="S84" s="10"/>
      <c r="T84" s="10"/>
      <c r="U84" s="10"/>
      <c r="V84" s="10"/>
      <c r="W84" s="10"/>
      <c r="X84" s="10"/>
      <c r="Y84" s="10"/>
      <c r="Z84" s="10"/>
    </row>
    <row r="85" spans="1:26" s="91" customFormat="1" ht="15.75" customHeight="1">
      <c r="A85" s="67"/>
      <c r="B85" s="111"/>
      <c r="C85" s="112" t="s">
        <v>123</v>
      </c>
      <c r="D85" s="112" t="s">
        <v>124</v>
      </c>
      <c r="E85" s="88"/>
      <c r="H85" s="67"/>
      <c r="I85" s="67"/>
      <c r="J85" s="67"/>
      <c r="K85" s="67"/>
      <c r="L85" s="67"/>
      <c r="M85" s="67"/>
      <c r="N85" s="67"/>
      <c r="O85" s="67"/>
      <c r="P85" s="67"/>
      <c r="Q85" s="67"/>
      <c r="R85" s="67"/>
      <c r="S85" s="67"/>
      <c r="T85" s="67"/>
      <c r="U85" s="67"/>
      <c r="V85" s="67"/>
      <c r="W85" s="67"/>
      <c r="X85" s="67"/>
      <c r="Y85" s="67"/>
      <c r="Z85" s="67"/>
    </row>
    <row r="86" spans="1:26" s="91" customFormat="1" ht="15.75" customHeight="1">
      <c r="A86" s="67"/>
      <c r="B86" s="111" t="s">
        <v>125</v>
      </c>
      <c r="C86" s="119">
        <f>C78</f>
        <v>351305</v>
      </c>
      <c r="D86" s="119">
        <f>D78</f>
        <v>204000</v>
      </c>
      <c r="E86" s="88"/>
      <c r="H86" s="67"/>
      <c r="I86" s="67"/>
      <c r="J86" s="67"/>
      <c r="K86" s="67"/>
      <c r="L86" s="67"/>
      <c r="M86" s="67"/>
      <c r="N86" s="67"/>
      <c r="O86" s="67"/>
      <c r="P86" s="67"/>
      <c r="Q86" s="67"/>
      <c r="R86" s="67"/>
      <c r="S86" s="67"/>
      <c r="T86" s="67"/>
      <c r="U86" s="67"/>
      <c r="V86" s="67"/>
      <c r="W86" s="67"/>
      <c r="X86" s="67"/>
      <c r="Y86" s="67"/>
      <c r="Z86" s="67"/>
    </row>
    <row r="87" spans="1:26" s="91" customFormat="1" ht="15.75" customHeight="1">
      <c r="A87" s="67"/>
      <c r="B87" s="5" t="s">
        <v>128</v>
      </c>
      <c r="C87" s="20">
        <f>C79</f>
        <v>9.5</v>
      </c>
      <c r="D87" s="20">
        <f>D79</f>
        <v>20.5</v>
      </c>
      <c r="E87" s="88"/>
      <c r="H87" s="67"/>
      <c r="I87" s="67"/>
      <c r="J87" s="67"/>
      <c r="K87" s="67"/>
      <c r="L87" s="67"/>
      <c r="M87" s="67"/>
      <c r="N87" s="67"/>
      <c r="O87" s="67"/>
      <c r="P87" s="67"/>
      <c r="Q87" s="67"/>
      <c r="R87" s="67"/>
      <c r="S87" s="67"/>
      <c r="T87" s="67"/>
      <c r="U87" s="67"/>
      <c r="V87" s="67"/>
      <c r="W87" s="67"/>
      <c r="X87" s="67"/>
      <c r="Y87" s="67"/>
      <c r="Z87" s="67"/>
    </row>
    <row r="88" spans="1:26" s="91" customFormat="1" ht="15.75" customHeight="1">
      <c r="A88" s="67"/>
      <c r="B88" s="111" t="s">
        <v>85</v>
      </c>
      <c r="C88" s="64">
        <f>C86*C87</f>
        <v>3337397.5</v>
      </c>
      <c r="D88" s="64">
        <f>D86*D87</f>
        <v>4182000</v>
      </c>
      <c r="E88" s="92">
        <f>D88-C88</f>
        <v>844602.5</v>
      </c>
      <c r="H88" s="67"/>
      <c r="I88" s="67"/>
      <c r="J88" s="67"/>
      <c r="K88" s="67"/>
      <c r="L88" s="67"/>
      <c r="M88" s="67"/>
      <c r="N88" s="67"/>
      <c r="O88" s="67"/>
      <c r="P88" s="67"/>
      <c r="Q88" s="67"/>
      <c r="R88" s="67"/>
      <c r="S88" s="67"/>
      <c r="T88" s="67"/>
      <c r="U88" s="67"/>
      <c r="V88" s="67"/>
      <c r="W88" s="67"/>
      <c r="X88" s="67"/>
      <c r="Y88" s="67"/>
      <c r="Z88" s="67"/>
    </row>
    <row r="89" spans="1:26" s="91" customFormat="1" ht="15.75" customHeight="1">
      <c r="A89" s="67"/>
      <c r="B89" s="111" t="s">
        <v>102</v>
      </c>
      <c r="C89" s="85">
        <f>C81</f>
        <v>242400</v>
      </c>
      <c r="D89" s="125">
        <f>D81</f>
        <v>44100</v>
      </c>
      <c r="E89" s="92">
        <f>D89-C89</f>
        <v>-198300</v>
      </c>
      <c r="H89" s="67"/>
      <c r="I89" s="67"/>
      <c r="J89" s="67"/>
      <c r="K89" s="67"/>
      <c r="L89" s="67"/>
      <c r="M89" s="67"/>
      <c r="N89" s="67"/>
      <c r="O89" s="67"/>
      <c r="P89" s="67"/>
      <c r="Q89" s="67"/>
      <c r="R89" s="67"/>
      <c r="S89" s="67"/>
      <c r="T89" s="67"/>
      <c r="U89" s="67"/>
      <c r="V89" s="67"/>
      <c r="W89" s="67"/>
      <c r="X89" s="67"/>
      <c r="Y89" s="67"/>
      <c r="Z89" s="67"/>
    </row>
    <row r="90" spans="1:26" s="91" customFormat="1" ht="15.75" customHeight="1" thickBot="1">
      <c r="A90" s="67"/>
      <c r="B90" s="122"/>
      <c r="C90" s="121"/>
      <c r="D90" s="126" t="s">
        <v>130</v>
      </c>
      <c r="E90" s="118">
        <f>E88</f>
        <v>844602.5</v>
      </c>
      <c r="F90" s="67"/>
      <c r="G90" s="67"/>
      <c r="H90" s="67"/>
      <c r="I90" s="67"/>
      <c r="J90" s="67"/>
      <c r="K90" s="67"/>
      <c r="L90" s="67"/>
      <c r="M90" s="67"/>
      <c r="N90" s="67"/>
      <c r="O90" s="67"/>
      <c r="P90" s="67"/>
      <c r="Q90" s="67"/>
      <c r="R90" s="67"/>
      <c r="S90" s="67"/>
      <c r="T90" s="67"/>
      <c r="U90" s="67"/>
      <c r="V90" s="67"/>
      <c r="W90" s="67"/>
      <c r="X90" s="67"/>
      <c r="Y90" s="67"/>
      <c r="Z90" s="67"/>
    </row>
    <row r="91" spans="1:26" s="91" customFormat="1" ht="15.75" customHeight="1" thickBot="1">
      <c r="A91" s="67"/>
      <c r="B91" s="128"/>
      <c r="C91" s="129"/>
      <c r="D91" s="67"/>
      <c r="E91" s="67"/>
      <c r="F91" s="67"/>
      <c r="G91" s="67"/>
      <c r="H91" s="67"/>
      <c r="I91" s="67"/>
      <c r="J91" s="67"/>
      <c r="K91" s="67"/>
      <c r="L91" s="67"/>
      <c r="M91" s="67"/>
      <c r="N91" s="67"/>
      <c r="O91" s="67"/>
      <c r="P91" s="67"/>
      <c r="Q91" s="67"/>
      <c r="R91" s="67"/>
      <c r="S91" s="67"/>
      <c r="T91" s="67"/>
      <c r="U91" s="67"/>
      <c r="V91" s="67"/>
      <c r="W91" s="67"/>
      <c r="X91" s="67"/>
      <c r="Y91" s="67"/>
      <c r="Z91" s="67"/>
    </row>
    <row r="92" spans="1:26" s="91" customFormat="1" ht="15.75" customHeight="1" thickBot="1">
      <c r="A92" s="67"/>
      <c r="B92" s="246" t="s">
        <v>137</v>
      </c>
      <c r="C92" s="247"/>
      <c r="D92" s="247"/>
      <c r="E92" s="248"/>
      <c r="F92" s="67"/>
      <c r="G92" s="67"/>
      <c r="H92" s="67"/>
      <c r="I92" s="67"/>
      <c r="J92" s="67"/>
      <c r="K92" s="67"/>
      <c r="L92" s="67"/>
      <c r="M92" s="67"/>
      <c r="N92" s="67"/>
      <c r="O92" s="67"/>
      <c r="P92" s="67"/>
      <c r="Q92" s="67"/>
      <c r="R92" s="67"/>
      <c r="S92" s="67"/>
      <c r="T92" s="67"/>
      <c r="U92" s="67"/>
      <c r="V92" s="67"/>
      <c r="W92" s="67"/>
      <c r="X92" s="67"/>
      <c r="Y92" s="67"/>
      <c r="Z92" s="67"/>
    </row>
    <row r="93" spans="1:26" s="91" customFormat="1" ht="15.75" customHeight="1">
      <c r="A93" s="67"/>
      <c r="B93" s="111"/>
      <c r="C93" s="112"/>
      <c r="D93" s="112"/>
      <c r="E93" s="88"/>
      <c r="F93" s="67"/>
      <c r="G93" s="67"/>
      <c r="H93" s="67"/>
      <c r="I93" s="67"/>
      <c r="J93" s="67"/>
      <c r="K93" s="67"/>
      <c r="L93" s="67"/>
      <c r="M93" s="67"/>
      <c r="N93" s="67"/>
      <c r="O93" s="67"/>
      <c r="P93" s="67"/>
      <c r="Q93" s="67"/>
      <c r="R93" s="67"/>
      <c r="S93" s="67"/>
      <c r="T93" s="67"/>
      <c r="U93" s="67"/>
      <c r="V93" s="67"/>
      <c r="W93" s="67"/>
      <c r="X93" s="67"/>
      <c r="Y93" s="67"/>
      <c r="Z93" s="67"/>
    </row>
    <row r="94" spans="1:26" s="91" customFormat="1" ht="15.75" customHeight="1">
      <c r="A94" s="67"/>
      <c r="B94" s="111" t="s">
        <v>136</v>
      </c>
      <c r="C94" s="130">
        <f>D74</f>
        <v>1553035</v>
      </c>
      <c r="D94" s="119"/>
      <c r="E94" s="88"/>
      <c r="F94" s="67"/>
      <c r="G94" s="67"/>
      <c r="H94" s="67"/>
      <c r="I94" s="67"/>
      <c r="J94" s="67"/>
      <c r="K94" s="67"/>
      <c r="L94" s="67"/>
      <c r="M94" s="67"/>
      <c r="N94" s="67"/>
      <c r="O94" s="67"/>
      <c r="P94" s="67"/>
      <c r="Q94" s="67"/>
      <c r="R94" s="67"/>
      <c r="S94" s="67"/>
      <c r="T94" s="67"/>
      <c r="U94" s="67"/>
      <c r="V94" s="67"/>
      <c r="W94" s="67"/>
      <c r="X94" s="67"/>
      <c r="Y94" s="67"/>
      <c r="Z94" s="67"/>
    </row>
    <row r="95" spans="1:26" s="91" customFormat="1" ht="15.75" customHeight="1">
      <c r="A95" s="67"/>
      <c r="B95" s="5" t="s">
        <v>138</v>
      </c>
      <c r="C95" s="20">
        <f>G74</f>
        <v>0</v>
      </c>
      <c r="D95" s="20"/>
      <c r="E95" s="88"/>
      <c r="F95" s="67"/>
      <c r="G95" s="67"/>
      <c r="H95" s="67"/>
      <c r="I95" s="67"/>
      <c r="J95" s="67"/>
      <c r="K95" s="67"/>
      <c r="L95" s="67"/>
      <c r="M95" s="67"/>
      <c r="N95" s="67"/>
      <c r="O95" s="67"/>
      <c r="P95" s="67"/>
      <c r="Q95" s="67"/>
      <c r="R95" s="67"/>
      <c r="S95" s="67"/>
      <c r="T95" s="67"/>
      <c r="U95" s="67"/>
      <c r="V95" s="67"/>
      <c r="W95" s="67"/>
      <c r="X95" s="67"/>
      <c r="Y95" s="67"/>
      <c r="Z95" s="67"/>
    </row>
    <row r="96" spans="1:26" s="91" customFormat="1" ht="15.75" customHeight="1">
      <c r="A96" s="67"/>
      <c r="B96" s="111" t="s">
        <v>129</v>
      </c>
      <c r="C96" s="64">
        <f>E82</f>
        <v>198300</v>
      </c>
      <c r="D96" s="64"/>
      <c r="E96" s="92"/>
      <c r="F96" s="67"/>
      <c r="G96" s="67"/>
      <c r="H96" s="67"/>
      <c r="I96" s="67"/>
      <c r="J96" s="67"/>
      <c r="K96" s="67"/>
      <c r="L96" s="67"/>
      <c r="M96" s="67"/>
      <c r="N96" s="67"/>
      <c r="O96" s="67"/>
      <c r="P96" s="67"/>
      <c r="Q96" s="67"/>
      <c r="R96" s="67"/>
      <c r="S96" s="67"/>
      <c r="T96" s="67"/>
      <c r="U96" s="67"/>
      <c r="V96" s="67"/>
      <c r="W96" s="67"/>
      <c r="X96" s="67"/>
      <c r="Y96" s="67"/>
      <c r="Z96" s="67"/>
    </row>
    <row r="97" spans="1:26" s="91" customFormat="1" ht="15.75" customHeight="1">
      <c r="A97" s="67"/>
      <c r="B97" s="111" t="s">
        <v>139</v>
      </c>
      <c r="C97" s="64">
        <f>E90</f>
        <v>844602.5</v>
      </c>
      <c r="D97" s="125"/>
      <c r="E97" s="92"/>
      <c r="F97" s="67"/>
      <c r="G97" s="67"/>
      <c r="H97" s="67"/>
      <c r="I97" s="67"/>
      <c r="J97" s="67"/>
      <c r="K97" s="67"/>
      <c r="L97" s="67"/>
      <c r="M97" s="67"/>
      <c r="N97" s="67"/>
      <c r="O97" s="67"/>
      <c r="P97" s="67"/>
      <c r="Q97" s="67"/>
      <c r="R97" s="67"/>
      <c r="S97" s="67"/>
      <c r="T97" s="67"/>
      <c r="U97" s="67"/>
      <c r="V97" s="67"/>
      <c r="W97" s="67"/>
      <c r="X97" s="67"/>
      <c r="Y97" s="67"/>
      <c r="Z97" s="67"/>
    </row>
    <row r="98" spans="1:26" s="91" customFormat="1" ht="15.75" customHeight="1" thickBot="1">
      <c r="A98" s="67"/>
      <c r="B98" s="122"/>
      <c r="C98" s="121"/>
      <c r="D98" s="126"/>
      <c r="E98" s="118">
        <f>C94-C95+C96-C97</f>
        <v>906732.5</v>
      </c>
      <c r="F98" s="67"/>
      <c r="G98" s="67"/>
      <c r="H98" s="67"/>
      <c r="I98" s="67"/>
      <c r="J98" s="67"/>
      <c r="K98" s="67"/>
      <c r="L98" s="67"/>
      <c r="M98" s="67"/>
      <c r="N98" s="67"/>
      <c r="O98" s="67"/>
      <c r="P98" s="67"/>
      <c r="Q98" s="67"/>
      <c r="R98" s="67"/>
      <c r="S98" s="67"/>
      <c r="T98" s="67"/>
      <c r="U98" s="67"/>
      <c r="V98" s="67"/>
      <c r="W98" s="67"/>
      <c r="X98" s="67"/>
      <c r="Y98" s="67"/>
      <c r="Z98" s="67"/>
    </row>
    <row r="99" spans="1:26" s="91" customFormat="1" ht="15.75" customHeight="1">
      <c r="A99" s="67"/>
      <c r="B99" s="67"/>
      <c r="E99" s="67"/>
      <c r="F99" s="67"/>
      <c r="G99" s="67"/>
      <c r="H99" s="67"/>
      <c r="I99" s="67"/>
      <c r="J99" s="67"/>
      <c r="K99" s="67"/>
      <c r="L99" s="67"/>
      <c r="M99" s="67"/>
      <c r="N99" s="67"/>
      <c r="O99" s="67"/>
      <c r="P99" s="67"/>
      <c r="Q99" s="67"/>
      <c r="R99" s="67"/>
      <c r="S99" s="67"/>
      <c r="T99" s="67"/>
      <c r="U99" s="67"/>
      <c r="V99" s="67"/>
      <c r="W99" s="67"/>
      <c r="X99" s="67"/>
      <c r="Y99" s="67"/>
      <c r="Z99" s="67"/>
    </row>
    <row r="100" spans="1:26" s="91" customFormat="1" ht="15.75" customHeight="1">
      <c r="A100" s="67"/>
      <c r="B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spans="1:26" s="91" customFormat="1"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spans="1:26" s="91" customFormat="1"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spans="1:26"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sheetData>
  <mergeCells count="17">
    <mergeCell ref="B76:E76"/>
    <mergeCell ref="B84:E84"/>
    <mergeCell ref="B92:E92"/>
    <mergeCell ref="B12:I12"/>
    <mergeCell ref="B5:E5"/>
    <mergeCell ref="A58:I58"/>
    <mergeCell ref="B60:C60"/>
    <mergeCell ref="B68:D68"/>
    <mergeCell ref="E68:G68"/>
    <mergeCell ref="C10:D10"/>
    <mergeCell ref="B3:I3"/>
    <mergeCell ref="H42:I42"/>
    <mergeCell ref="F42:G42"/>
    <mergeCell ref="D42:E42"/>
    <mergeCell ref="B42:C42"/>
    <mergeCell ref="F32:I32"/>
    <mergeCell ref="B32:E32"/>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4EDB-846D-3D4D-9985-2D6C166A2D24}">
  <sheetPr codeName="Feuil5"/>
  <dimension ref="A1:H24"/>
  <sheetViews>
    <sheetView workbookViewId="0">
      <selection activeCell="C5" sqref="C5"/>
    </sheetView>
  </sheetViews>
  <sheetFormatPr baseColWidth="10" defaultRowHeight="15"/>
  <cols>
    <col min="1" max="1" width="10.83203125" style="7"/>
    <col min="2" max="2" width="22.5" style="7" bestFit="1" customWidth="1"/>
    <col min="3" max="3" width="13.83203125" style="7" bestFit="1" customWidth="1"/>
    <col min="4" max="4" width="15.6640625" style="7" bestFit="1" customWidth="1"/>
    <col min="5" max="16384" width="10.83203125" style="7"/>
  </cols>
  <sheetData>
    <row r="1" spans="1:8">
      <c r="C1" s="7" t="s">
        <v>144</v>
      </c>
      <c r="D1" s="7" t="s">
        <v>145</v>
      </c>
      <c r="F1" s="7" t="s">
        <v>147</v>
      </c>
      <c r="G1" s="7">
        <v>0.1</v>
      </c>
    </row>
    <row r="2" spans="1:8">
      <c r="A2" s="7" t="s">
        <v>2</v>
      </c>
      <c r="F2" s="7" t="s">
        <v>147</v>
      </c>
      <c r="G2" s="7">
        <v>0.25</v>
      </c>
      <c r="H2" s="12" t="s">
        <v>148</v>
      </c>
    </row>
    <row r="3" spans="1:8">
      <c r="A3" s="71">
        <v>1</v>
      </c>
      <c r="B3" s="137" t="s">
        <v>44</v>
      </c>
      <c r="C3" s="130">
        <f>Ennocé!M11</f>
        <v>13</v>
      </c>
      <c r="D3" s="18">
        <f>Feuil3!E10</f>
        <v>13</v>
      </c>
      <c r="E3" s="7">
        <f>IF(C3/D3&gt;0.998,1,0)</f>
        <v>1</v>
      </c>
      <c r="F3" s="7">
        <f t="shared" ref="F3:F9" si="0">IF(C3/D3&lt;1.002,1,0)</f>
        <v>1</v>
      </c>
      <c r="G3" s="7">
        <f t="shared" ref="G3:G15" si="1">IF(E3+F3=2,1,0)</f>
        <v>1</v>
      </c>
      <c r="H3" s="7">
        <f>G3*$G$1</f>
        <v>0.1</v>
      </c>
    </row>
    <row r="4" spans="1:8">
      <c r="A4" s="71">
        <v>2</v>
      </c>
      <c r="B4" s="113" t="s">
        <v>100</v>
      </c>
      <c r="C4" s="17">
        <f>Ennocé!K31</f>
        <v>7.5</v>
      </c>
      <c r="D4" s="18">
        <f>Feuil3!C30</f>
        <v>7.5</v>
      </c>
      <c r="E4" s="7">
        <f>IF(C4/D4&gt;0.998,1,0)</f>
        <v>1</v>
      </c>
      <c r="F4" s="7">
        <f t="shared" si="0"/>
        <v>1</v>
      </c>
      <c r="G4" s="7">
        <f t="shared" si="1"/>
        <v>1</v>
      </c>
      <c r="H4" s="7">
        <f>G4*$G$2</f>
        <v>0.25</v>
      </c>
    </row>
    <row r="5" spans="1:8">
      <c r="A5" s="71"/>
      <c r="B5" s="113" t="s">
        <v>101</v>
      </c>
      <c r="C5" s="130">
        <v>1440000</v>
      </c>
      <c r="D5" s="18">
        <f>Feuil3!E30</f>
        <v>144000</v>
      </c>
      <c r="E5" s="7">
        <f t="shared" ref="E5:E15" si="2">IF(C5/D5&gt;0.998,1,0)</f>
        <v>1</v>
      </c>
      <c r="F5" s="7">
        <f t="shared" si="0"/>
        <v>0</v>
      </c>
      <c r="G5" s="7">
        <f t="shared" si="1"/>
        <v>0</v>
      </c>
      <c r="H5" s="7">
        <f t="shared" ref="H5:H23" si="3">G5*$G$2</f>
        <v>0</v>
      </c>
    </row>
    <row r="6" spans="1:8">
      <c r="A6" s="71">
        <v>3</v>
      </c>
      <c r="B6" s="113" t="s">
        <v>27</v>
      </c>
      <c r="C6" s="130">
        <f>Ennocé!M39</f>
        <v>2</v>
      </c>
      <c r="D6" s="18">
        <f>Feuil3!E38</f>
        <v>2</v>
      </c>
      <c r="E6" s="7">
        <f t="shared" si="2"/>
        <v>1</v>
      </c>
      <c r="F6" s="7">
        <f t="shared" si="0"/>
        <v>1</v>
      </c>
      <c r="G6" s="7">
        <f t="shared" si="1"/>
        <v>1</v>
      </c>
      <c r="H6" s="7">
        <f t="shared" si="3"/>
        <v>0.25</v>
      </c>
    </row>
    <row r="7" spans="1:8">
      <c r="A7" s="71">
        <v>4</v>
      </c>
      <c r="B7" s="112" t="s">
        <v>32</v>
      </c>
      <c r="C7" s="130">
        <f>Ennocé!O41</f>
        <v>98400.449999999837</v>
      </c>
      <c r="D7" s="18">
        <f>-1*(Feuil3!G34*Feuil3!G36-Feuil3!G35+(Ennocé!K31+Ennocé!M39)*Feuil3!G34+Ennocé!M31)</f>
        <v>98400</v>
      </c>
      <c r="E7" s="7">
        <f t="shared" si="2"/>
        <v>1</v>
      </c>
      <c r="F7" s="7">
        <f t="shared" si="0"/>
        <v>1</v>
      </c>
      <c r="G7" s="7">
        <f t="shared" si="1"/>
        <v>1</v>
      </c>
      <c r="H7" s="7">
        <f t="shared" si="3"/>
        <v>0.25</v>
      </c>
    </row>
    <row r="8" spans="1:8">
      <c r="A8" s="71">
        <v>5</v>
      </c>
      <c r="B8" s="155" t="s">
        <v>141</v>
      </c>
      <c r="C8" s="130">
        <f>Ennocé!K48</f>
        <v>3.5</v>
      </c>
      <c r="D8" s="18">
        <f>C3-C4-C6</f>
        <v>3.5</v>
      </c>
      <c r="E8" s="7">
        <f t="shared" si="2"/>
        <v>1</v>
      </c>
      <c r="F8" s="7">
        <f t="shared" si="0"/>
        <v>1</v>
      </c>
      <c r="G8" s="7">
        <f t="shared" si="1"/>
        <v>1</v>
      </c>
      <c r="H8" s="7">
        <f t="shared" si="3"/>
        <v>0.25</v>
      </c>
    </row>
    <row r="9" spans="1:8">
      <c r="A9" s="71"/>
      <c r="B9" s="155" t="s">
        <v>41</v>
      </c>
      <c r="C9" s="162">
        <f>Ennocé!K49</f>
        <v>0.26923076923076922</v>
      </c>
      <c r="D9" s="164">
        <f>C8/C3</f>
        <v>0.26923076923076922</v>
      </c>
      <c r="E9" s="7">
        <f t="shared" si="2"/>
        <v>1</v>
      </c>
      <c r="F9" s="7">
        <f t="shared" si="0"/>
        <v>1</v>
      </c>
      <c r="G9" s="7">
        <f t="shared" si="1"/>
        <v>1</v>
      </c>
      <c r="H9" s="7">
        <f t="shared" si="3"/>
        <v>0.25</v>
      </c>
    </row>
    <row r="10" spans="1:8">
      <c r="A10" s="71">
        <v>6</v>
      </c>
      <c r="B10" s="112" t="s">
        <v>103</v>
      </c>
      <c r="C10" s="163">
        <f>Ennocé!M48</f>
        <v>69257.271428571388</v>
      </c>
      <c r="D10" s="163">
        <f>(C5+C7)/(C3-C4-C6)</f>
        <v>439542.98571428563</v>
      </c>
      <c r="E10" s="7">
        <f>IF(C10/D10=1,1,0)</f>
        <v>0</v>
      </c>
      <c r="F10" s="7">
        <f>IF(C10/D10=1,1,0)</f>
        <v>0</v>
      </c>
      <c r="G10" s="7">
        <f t="shared" si="1"/>
        <v>0</v>
      </c>
      <c r="H10" s="7">
        <f t="shared" si="3"/>
        <v>0</v>
      </c>
    </row>
    <row r="11" spans="1:8">
      <c r="A11" s="71"/>
      <c r="B11" s="112" t="s">
        <v>104</v>
      </c>
      <c r="C11" s="87">
        <f>Ennocé!M52</f>
        <v>900344.52857142803</v>
      </c>
      <c r="D11" s="101">
        <f>C10*C3</f>
        <v>900344.52857142803</v>
      </c>
      <c r="E11" s="7">
        <f>IF(C11/D11=1,1,0)</f>
        <v>1</v>
      </c>
      <c r="F11" s="7">
        <f>IF(C11/D11=1,1,0)</f>
        <v>1</v>
      </c>
      <c r="G11" s="7">
        <f t="shared" si="1"/>
        <v>1</v>
      </c>
      <c r="H11" s="7">
        <f t="shared" si="3"/>
        <v>0.25</v>
      </c>
    </row>
    <row r="12" spans="1:8">
      <c r="A12" s="71">
        <v>7</v>
      </c>
      <c r="B12" s="113" t="s">
        <v>34</v>
      </c>
      <c r="C12" s="87">
        <f>Ennocé!O47</f>
        <v>6899655.4714285722</v>
      </c>
      <c r="D12" s="21">
        <f>Feuil3!G43*Feuil4!C3-C11</f>
        <v>6899655.4714285722</v>
      </c>
      <c r="E12" s="7">
        <f>IF(C12/D12=1,1,0)</f>
        <v>1</v>
      </c>
      <c r="F12" s="7">
        <f>IF(C12/D12=1,1,0)</f>
        <v>1</v>
      </c>
      <c r="G12" s="7">
        <f t="shared" si="1"/>
        <v>1</v>
      </c>
      <c r="H12" s="7">
        <f t="shared" si="3"/>
        <v>0.25</v>
      </c>
    </row>
    <row r="13" spans="1:8">
      <c r="A13" s="71"/>
      <c r="B13" s="113" t="s">
        <v>142</v>
      </c>
      <c r="C13" s="163">
        <f>Ennocé!O51</f>
        <v>530742.72857142857</v>
      </c>
      <c r="D13" s="163">
        <f>Feuil3!G43-C10</f>
        <v>530742.72857142857</v>
      </c>
      <c r="E13" s="7">
        <f>IF(C13/D13&gt;0.999,1,0)</f>
        <v>1</v>
      </c>
      <c r="F13" s="7">
        <f>IF(C13/D13&lt;1.001,1,0)</f>
        <v>1</v>
      </c>
      <c r="G13" s="7">
        <f t="shared" si="1"/>
        <v>1</v>
      </c>
      <c r="H13" s="7">
        <f t="shared" si="3"/>
        <v>0.25</v>
      </c>
    </row>
    <row r="14" spans="1:8">
      <c r="A14" s="71"/>
      <c r="B14" s="113" t="s">
        <v>35</v>
      </c>
      <c r="C14" s="162">
        <f>Ennocé!O55</f>
        <v>0.88457121428571439</v>
      </c>
      <c r="D14" s="164">
        <f>C13/Feuil3!G43</f>
        <v>0.88457121428571428</v>
      </c>
      <c r="E14" s="7">
        <f>IF(C14/D14&gt;0.9995,1,0)</f>
        <v>1</v>
      </c>
      <c r="F14" s="7">
        <f>IF(C14/D14&lt;1.0005,1,0)</f>
        <v>1</v>
      </c>
      <c r="G14" s="7">
        <f t="shared" si="1"/>
        <v>1</v>
      </c>
      <c r="H14" s="7">
        <f t="shared" si="3"/>
        <v>0.25</v>
      </c>
    </row>
    <row r="15" spans="1:8">
      <c r="A15" s="71">
        <v>8</v>
      </c>
      <c r="B15" s="113" t="s">
        <v>114</v>
      </c>
      <c r="C15" s="71">
        <f>Ennocé!Q50</f>
        <v>13.036529369066763</v>
      </c>
      <c r="D15" s="17">
        <f>(Feuil3!I46*(Feuil4!C4+Feuil4!C6)+Feuil4!C7+Feuil4!C5+Feuil3!I43)/Feuil3!I46</f>
        <v>16.725631431377291</v>
      </c>
      <c r="E15" s="7">
        <f t="shared" si="2"/>
        <v>0</v>
      </c>
      <c r="F15" s="7">
        <f>IF(C15/D15&lt;1.002,1,0)</f>
        <v>1</v>
      </c>
      <c r="G15" s="7">
        <f t="shared" si="1"/>
        <v>0</v>
      </c>
      <c r="H15" s="7">
        <f t="shared" si="3"/>
        <v>0</v>
      </c>
    </row>
    <row r="16" spans="1:8">
      <c r="A16" s="71"/>
      <c r="B16" s="71"/>
      <c r="C16" s="71"/>
    </row>
    <row r="17" spans="1:8">
      <c r="A17" s="80" t="s">
        <v>21</v>
      </c>
      <c r="B17" s="113"/>
      <c r="C17" s="80"/>
    </row>
    <row r="18" spans="1:8">
      <c r="A18" s="80">
        <v>1</v>
      </c>
      <c r="B18" s="113" t="s">
        <v>120</v>
      </c>
      <c r="C18" s="165">
        <f>Ennocé!K66</f>
        <v>21350</v>
      </c>
      <c r="D18" s="17">
        <f>Feuil3!C65</f>
        <v>21350.000000000004</v>
      </c>
      <c r="E18" s="7">
        <f>IF(C18/D18=1,1,0)</f>
        <v>1</v>
      </c>
      <c r="F18" s="7">
        <f>IF(C18/D18&lt;=1,1,0)</f>
        <v>1</v>
      </c>
      <c r="G18" s="7">
        <f t="shared" ref="G18:G23" si="4">IF(E18+F18=2,1,0)</f>
        <v>1</v>
      </c>
      <c r="H18" s="7">
        <f t="shared" si="3"/>
        <v>0.25</v>
      </c>
    </row>
    <row r="19" spans="1:8">
      <c r="A19" s="80">
        <v>2</v>
      </c>
      <c r="B19" s="113" t="s">
        <v>136</v>
      </c>
      <c r="C19" s="165">
        <f>Ennocé!L75</f>
        <v>1553035</v>
      </c>
      <c r="D19" s="17">
        <f>Feuil3!D72-Feuil4!C3*Feuil3!C26</f>
        <v>1553035</v>
      </c>
      <c r="E19" s="7">
        <f>IF(C19/D19&gt;0.9998,1,0)</f>
        <v>1</v>
      </c>
      <c r="F19" s="7">
        <f>IF(C19/D19&lt;1.0002,1,0)</f>
        <v>1</v>
      </c>
      <c r="G19" s="7">
        <f t="shared" si="4"/>
        <v>1</v>
      </c>
      <c r="H19" s="7">
        <f t="shared" si="3"/>
        <v>0.25</v>
      </c>
    </row>
    <row r="20" spans="1:8">
      <c r="A20" s="80">
        <v>3</v>
      </c>
      <c r="B20" s="113" t="s">
        <v>138</v>
      </c>
      <c r="C20" s="165">
        <f>Ennocé!O75</f>
        <v>0</v>
      </c>
      <c r="D20" s="17">
        <v>0</v>
      </c>
      <c r="E20" s="7">
        <f>IF(C20=D20,1,0)</f>
        <v>1</v>
      </c>
      <c r="F20" s="7">
        <f>IF(C20=D20,1,0)</f>
        <v>1</v>
      </c>
      <c r="G20" s="7">
        <f t="shared" si="4"/>
        <v>1</v>
      </c>
      <c r="H20" s="7">
        <f t="shared" si="3"/>
        <v>0.25</v>
      </c>
    </row>
    <row r="21" spans="1:8">
      <c r="A21" s="104">
        <v>4</v>
      </c>
      <c r="B21" s="155" t="s">
        <v>129</v>
      </c>
      <c r="C21" s="165">
        <f>Ennocé!M83</f>
        <v>219650.44999999984</v>
      </c>
      <c r="D21" s="18">
        <f>-1*(Feuil3!D81-Feuil4!C5-Feuil4!C7)</f>
        <v>1494300.4499999997</v>
      </c>
      <c r="E21" s="7">
        <f t="shared" ref="E21:E23" si="5">IF(C21/D21&gt;0.9998,1,0)</f>
        <v>0</v>
      </c>
      <c r="F21" s="7">
        <f>IF(C21/D21&lt;1.0002,1,0)</f>
        <v>1</v>
      </c>
      <c r="G21" s="7">
        <f t="shared" si="4"/>
        <v>0</v>
      </c>
      <c r="H21" s="7">
        <f t="shared" si="3"/>
        <v>0</v>
      </c>
    </row>
    <row r="22" spans="1:8">
      <c r="A22" s="104">
        <v>5</v>
      </c>
      <c r="B22" s="155" t="s">
        <v>130</v>
      </c>
      <c r="C22" s="165">
        <f>Ennocé!M91</f>
        <v>844603.5</v>
      </c>
      <c r="D22" s="17">
        <f>Feuil3!D88-(Feuil3!C86*(Feuil4!C4+Feuil4!C6))</f>
        <v>844602.5</v>
      </c>
      <c r="E22" s="7">
        <f t="shared" si="5"/>
        <v>1</v>
      </c>
      <c r="F22" s="7">
        <f>IF(C22/D22&lt;1.0002,1,0)</f>
        <v>1</v>
      </c>
      <c r="G22" s="7">
        <f t="shared" si="4"/>
        <v>1</v>
      </c>
      <c r="H22" s="7">
        <f t="shared" si="3"/>
        <v>0.25</v>
      </c>
    </row>
    <row r="23" spans="1:8">
      <c r="A23" s="104">
        <v>6</v>
      </c>
      <c r="B23" s="155" t="s">
        <v>143</v>
      </c>
      <c r="C23" s="165">
        <f>Ennocé!M99</f>
        <v>906731.94999999972</v>
      </c>
      <c r="D23" s="17">
        <f>C19-C22+C21</f>
        <v>928081.94999999984</v>
      </c>
      <c r="E23" s="7">
        <f t="shared" si="5"/>
        <v>0</v>
      </c>
      <c r="F23" s="7">
        <f>IF(C23/D23&lt;1.0002,1,0)</f>
        <v>1</v>
      </c>
      <c r="G23" s="7">
        <f t="shared" si="4"/>
        <v>0</v>
      </c>
      <c r="H23" s="7">
        <f t="shared" si="3"/>
        <v>0</v>
      </c>
    </row>
    <row r="24" spans="1:8">
      <c r="G24" s="166" t="s">
        <v>149</v>
      </c>
      <c r="H24" s="166">
        <f>15.4+SUM(H3:H23)</f>
        <v>18.75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Directives</vt:lpstr>
      <vt:lpstr>Ennocé</vt:lpstr>
      <vt:lpstr>Feuil2</vt:lpstr>
      <vt:lpstr>Feuil3</vt:lpstr>
      <vt:lpstr>Feuil4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Y. Aksoy</dc:creator>
  <cp:lastModifiedBy>Christopher Rose</cp:lastModifiedBy>
  <cp:lastPrinted>2020-02-13T15:58:53Z</cp:lastPrinted>
  <dcterms:created xsi:type="dcterms:W3CDTF">2020-01-04T16:15:50Z</dcterms:created>
  <dcterms:modified xsi:type="dcterms:W3CDTF">2020-06-08T19:58:10Z</dcterms:modified>
</cp:coreProperties>
</file>