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ives" sheetId="1" r:id="rId4"/>
    <sheet state="visible" name="Ennoncé" sheetId="2" r:id="rId5"/>
    <sheet state="hidden" name="Feuil3" sheetId="3" r:id="rId6"/>
    <sheet state="hidden" name="Feuil4" sheetId="4" r:id="rId7"/>
    <sheet state="hidden" name="Feuil5" sheetId="5" r:id="rId8"/>
  </sheets>
  <definedNames/>
  <calcPr/>
  <extLst>
    <ext uri="GoogleSheetsCustomDataVersion1">
      <go:sheetsCustomData xmlns:go="http://customooxmlschemas.google.com/" r:id="rId9" roundtripDataSignature="AMtx7mhGJIWWL9B5VYZnsgWJHerhuh86Gw=="/>
    </ext>
  </extLst>
</workbook>
</file>

<file path=xl/sharedStrings.xml><?xml version="1.0" encoding="utf-8"?>
<sst xmlns="http://schemas.openxmlformats.org/spreadsheetml/2006/main" count="383" uniqueCount="188">
  <si>
    <t>DIRECTIVES IMPORTANTES</t>
  </si>
  <si>
    <t>Utiliser seulement une version d'Excel qui est installé sur un ordinateur pour éditer</t>
  </si>
  <si>
    <t>Étapes du TP</t>
  </si>
  <si>
    <t>1- Télécharger sur votre ordinateur le fichier Excel</t>
  </si>
  <si>
    <t>2- Renomer le fichier avec votre numéro de matricule - LAB5 - Gr.lab</t>
  </si>
  <si>
    <t xml:space="preserve">Exemple: </t>
  </si>
  <si>
    <t>Si vous avez le numéro de matricule 1827096 et vous êtes inscrit dans votre dossier étudiant sous le groupe lab 5</t>
  </si>
  <si>
    <t>1827096 - LAB5 - Gr.5-A2020.xlsx</t>
  </si>
  <si>
    <t>Dans le doute, copier/coller l'exemple et modifier le nom du fichier.</t>
  </si>
  <si>
    <t xml:space="preserve">Ne pas vous tromper dans votre matricule, espaces, caractères, numéro de groupe, etc.													
														</t>
  </si>
  <si>
    <t>3- Effectuer et compléter le TP</t>
  </si>
  <si>
    <t xml:space="preserve"> Effectuer vos calculs à l'aide d'Excel seulement, pas de calculatrice. Excel garde toutes les décimales même si elles ne sont pas montrées.</t>
  </si>
  <si>
    <t xml:space="preserve"> Mettre les réponses dans les cases en jaunes seulement</t>
  </si>
  <si>
    <t xml:space="preserve">  Il est possible que pour certaines questions il n'y ait pas de réponse. Dans ce cas, mettre 0 dans la cellule en jaune.</t>
  </si>
  <si>
    <t xml:space="preserve"> NE PAS MODIFIER LE FICHIER (ajouter des lignes ou des colonnes, fusionner, etc.).</t>
  </si>
  <si>
    <t xml:space="preserve"> Ne pas changer le format de la réponse.</t>
  </si>
  <si>
    <t xml:space="preserve"> Ne pas faire de copier/coller ou de couper/coller.</t>
  </si>
  <si>
    <t xml:space="preserve"> Vous pouvez utiliser la section « Notes personnelles non notées » pour mettre ce que vous voulez. Cette section ne sera pas corrigée.</t>
  </si>
  <si>
    <t xml:space="preserve"> Respecter les signes dans le tableau du calcul de la VAN</t>
  </si>
  <si>
    <t>4- Déposer le dans la BONNE boite de dépôt.</t>
  </si>
  <si>
    <t>3 points sur 20 sont donnés pour suivre la démarche parfaitement</t>
  </si>
  <si>
    <t>Amusez vous bien !!!!</t>
  </si>
  <si>
    <t>NOM :</t>
  </si>
  <si>
    <t>Prén. :</t>
  </si>
  <si>
    <t>Matricule</t>
  </si>
  <si>
    <t>Gr.</t>
  </si>
  <si>
    <t>SSH-3201 - Économique de l’ingénieur TP 4 et TP 5</t>
  </si>
  <si>
    <t>Automne 2020</t>
  </si>
  <si>
    <t>PARTIE 1</t>
  </si>
  <si>
    <t>Vous travaillez depuis maintenant 10 ans pour l’entreprise Cov inc. qui se spécialise en équipements de protection bactérienne. Voyant qu’il y a présentement une belle opportunité de marché Post covid-19, une idée a germé et vous aimeriez l’exploiter. Ces 2 derniers mois, elle a investi 12 500 $ en recherche et développement et vous êtes en train d’analyser les données d’analyse de marché que vous aviez commandée auprès d’une firme spécialisée. Cov inc. vient de recevoir la facture de 10 000 $ pour le travail effectué et elle a 30 jours pour faire le payement.</t>
  </si>
  <si>
    <t>a)</t>
  </si>
  <si>
    <t>Coût d'achat</t>
  </si>
  <si>
    <t>Coût d'acquisition équipement</t>
  </si>
  <si>
    <t>Frais notariés</t>
  </si>
  <si>
    <t>Durée de vie utile</t>
  </si>
  <si>
    <t>ans</t>
  </si>
  <si>
    <t>Droits de mutation</t>
  </si>
  <si>
    <t>Valeur de revente après 25 ans</t>
  </si>
  <si>
    <t>Évaluation de la ville</t>
  </si>
  <si>
    <t>Amortissement</t>
  </si>
  <si>
    <t>/ année</t>
  </si>
  <si>
    <t>Terrain</t>
  </si>
  <si>
    <t xml:space="preserve">Amortissement cumulé </t>
  </si>
  <si>
    <t>Bâtisse</t>
  </si>
  <si>
    <t>après 8 ans</t>
  </si>
  <si>
    <t>Pour réaliser ce projet d'une durée de 8 ans, elle devra faire l’acquisition d’un nouvel immeuble avec terrain. Après plusieurs recherches, vous avez trouvé une usine à proximité de son usine principale. En regardant le compte de taxes, l’on constate que le terrain est évalué à 546 000 $ et que la bâtisse est évaluée à 294 000 $. Après plusieurs négociations, vous considérez que vous seriez capable d’en faire faire l’acquisition pour 954 000 $.</t>
  </si>
  <si>
    <t>% Terrain</t>
  </si>
  <si>
    <t>Valeur de récupération</t>
  </si>
  <si>
    <t>% Bâtisse</t>
  </si>
  <si>
    <t>équip. après 8 ans</t>
  </si>
  <si>
    <t>Coût d'acquisition terrain</t>
  </si>
  <si>
    <t>Coût d'acquisition bâtisse</t>
  </si>
  <si>
    <t>Valeur de récupération du terrain</t>
  </si>
  <si>
    <t>À noter que des frais notariés de 4 750$ et des droits de mutation de 21 450 $ devront également être déboursés pour conclure cette transaction.</t>
  </si>
  <si>
    <t xml:space="preserve">Débours </t>
  </si>
  <si>
    <t xml:space="preserve">Équipement </t>
  </si>
  <si>
    <t xml:space="preserve">Au bout de 8 ans, l’immeuble aura une valeur de revente estimée de 120 000 $ et le terrain devrait prendre 3% de valeur par année. À la fin des 8 années, le terrain sera vendu à sa valeur marchande. </t>
  </si>
  <si>
    <t>Immeuble</t>
  </si>
  <si>
    <t>b)</t>
  </si>
  <si>
    <t>De plus, elle devra investir dans du nouvel équipement évaluer à 327 000 $, installation et formations de base incluses. Cet équipement possèderait une vie utile de 25 ans. À la fin de sa vie utile, la valeur de revente sera de 35 000 $. On considère que ce type d’équipement perd toujours la même valeur à  chaque année.</t>
  </si>
  <si>
    <t xml:space="preserve">Année </t>
  </si>
  <si>
    <t>Données</t>
  </si>
  <si>
    <t>Ventes en unité</t>
  </si>
  <si>
    <t>Après plusieurs discussions en comité, avec le département des ventes, le département de marketing et la firme de consultation, il est clair que la quantité que l’on pourrait vendre de notre produit représentent la variable la plus incertaine de ce projet. À cet effet, le comité a établi 5 valeurs de cette variable et révèle la distribution de probabilités suivante : </t>
  </si>
  <si>
    <t>Flux monétaires nets d'exploitation</t>
  </si>
  <si>
    <t>Investissements</t>
  </si>
  <si>
    <t>Invest. équipement =</t>
  </si>
  <si>
    <t>Invest. immeuble =</t>
  </si>
  <si>
    <t>Invest. terrain =</t>
  </si>
  <si>
    <t>FDR =</t>
  </si>
  <si>
    <t xml:space="preserve">Années 1 à 4 (fin d’année) </t>
  </si>
  <si>
    <t xml:space="preserve">Années 5 à 8 (fin d’année) </t>
  </si>
  <si>
    <t>Ventes annuelles prévues</t>
  </si>
  <si>
    <t>Valeurs de récupération</t>
  </si>
  <si>
    <t>Récup. équipement =</t>
  </si>
  <si>
    <t>Récup. immeuble =</t>
  </si>
  <si>
    <t>Récup. terrain =</t>
  </si>
  <si>
    <t>Récup. FDR =</t>
  </si>
  <si>
    <t>Flux monétaires</t>
  </si>
  <si>
    <t>Facteur d'actualisation</t>
  </si>
  <si>
    <t>Flux monétaires actualisés</t>
  </si>
  <si>
    <t xml:space="preserve">À cause de l’augmentation de la production, Il faudra dédier en début de projet un fonds de roulement de 20 000 $ et l’augmenter de 30 000 $ au début de la cinquième année. Le fonds de roulement sera récupéré à la fin du projet. </t>
  </si>
  <si>
    <t>Valeur actuelle nette</t>
  </si>
  <si>
    <t>c)</t>
  </si>
  <si>
    <t>f)</t>
  </si>
  <si>
    <t>(A/P; 11%; 8) =</t>
  </si>
  <si>
    <t>Années</t>
  </si>
  <si>
    <t>Flux monétaires act.</t>
  </si>
  <si>
    <t xml:space="preserve">Le comité a déterminé que l’on pouvait s’attendre à une contribution marginale unitaire (marge sur coût variable unitaire) avant impôt est de 25 $. Les charges d’exploitation fixes avant impôts, autres que l’amortissement comptable, devrait-être de 123 000 $ par année pour les quatres premières années et passeront par la suite à 242 000 $ par année pour les   années restantes du projet. </t>
  </si>
  <si>
    <t>Annuité équivalente</t>
  </si>
  <si>
    <t>d)</t>
  </si>
  <si>
    <t>Débours invest. Act. =</t>
  </si>
  <si>
    <t>VAN =</t>
  </si>
  <si>
    <t>Indice de Rentabilité</t>
  </si>
  <si>
    <t>Le taux de rendement acceptable minimum (TRAM) avant impôt est de 11%.</t>
  </si>
  <si>
    <t>e)</t>
  </si>
  <si>
    <t>i1 =</t>
  </si>
  <si>
    <t>TRI =</t>
  </si>
  <si>
    <t>nb de jours</t>
  </si>
  <si>
    <t>i2 =</t>
  </si>
  <si>
    <t xml:space="preserve">Travail à faire : </t>
  </si>
  <si>
    <t>VAN1 =</t>
  </si>
  <si>
    <t>VAN2 =</t>
  </si>
  <si>
    <t>a)  Mettre le coût d'acquisition et la valeur de récupération de l'équipement, du bâtiment et du terrain.</t>
  </si>
  <si>
    <t>TRI</t>
  </si>
  <si>
    <t xml:space="preserve">b)  Calculer la valeur actualisée nette (VAN) du projet </t>
  </si>
  <si>
    <t xml:space="preserve">c)  Calculer l’annuitée équivalente du projet </t>
  </si>
  <si>
    <t xml:space="preserve">d)  Calculer l’indice de rentabilité du projet </t>
  </si>
  <si>
    <t>g)</t>
  </si>
  <si>
    <t>e)  Calculer le taux de rendement interne (TRI) (par interpolation) du projet (soyez précis et prenez 1% entre les deux taux)</t>
  </si>
  <si>
    <t>Taux de réinvestissement =</t>
  </si>
  <si>
    <t>Année</t>
  </si>
  <si>
    <t>TRAM =</t>
  </si>
  <si>
    <t xml:space="preserve">f)  Calculer le délai de récupération avec rendement </t>
  </si>
  <si>
    <t xml:space="preserve">g)  Calculer le TRIM en considérant un taux de réinvestissement de 10% </t>
  </si>
  <si>
    <t>MP =</t>
  </si>
  <si>
    <t xml:space="preserve">h)  Donner une recommandation sur le projet en vous basant sur vos résultats </t>
  </si>
  <si>
    <t>MF =</t>
  </si>
  <si>
    <t>TRIM =</t>
  </si>
  <si>
    <t>TRIM</t>
  </si>
  <si>
    <t>h)</t>
  </si>
  <si>
    <t>Tout d'abord, la VAN est positive, donc le projet de 8 ans devrait aller de l'avant. Dans le futur l'annuité équivalente de 156 995,49$ nous permettra de comparer plusieurs projets, échelonnés sur différentes périodes, entre eux. Grâce à notre IR, on sait que pour 1$ d'investi on obtient 0,60$ de VAN. Notre TRI de 22,16% est supérieur au TRAM de 11%, donc le projet est encore une fois intéressant. On a estimé que le temps nécessaire pour récupérer les débours d'investissements sera de 6 ans et 152 jours. Il faudra jugé ultérieurement si ce délai dépasse un délai fixé.</t>
  </si>
  <si>
    <t>Été 2020</t>
  </si>
  <si>
    <t>Débours</t>
  </si>
  <si>
    <t>Évaluation</t>
  </si>
  <si>
    <t>proportion</t>
  </si>
  <si>
    <t>Immeuble et terrain</t>
  </si>
  <si>
    <t>Notaires</t>
  </si>
  <si>
    <t>Taxes</t>
  </si>
  <si>
    <t>Total</t>
  </si>
  <si>
    <t>Fond de  roulement</t>
  </si>
  <si>
    <t>À noter que des frais notariés de 4 550$ et des droits de mutation de 21 450 $ devront également être déboursés pour conclure cette transaction.</t>
  </si>
  <si>
    <t xml:space="preserve">Charges fixes </t>
  </si>
  <si>
    <t>Contribution marginale par u</t>
  </si>
  <si>
    <t>Contribution marginael tot</t>
  </si>
  <si>
    <t xml:space="preserve">Fond de roulement </t>
  </si>
  <si>
    <t>Probabilité</t>
  </si>
  <si>
    <t>Équipement</t>
  </si>
  <si>
    <t xml:space="preserve">Immeuble </t>
  </si>
  <si>
    <t xml:space="preserve">Terrain </t>
  </si>
  <si>
    <t>(A/P,11%,8)</t>
  </si>
  <si>
    <t>Flux monétaire</t>
  </si>
  <si>
    <t>Cumul</t>
  </si>
  <si>
    <t>14</t>
  </si>
  <si>
    <t>VAN</t>
  </si>
  <si>
    <t>Investissement</t>
  </si>
  <si>
    <t>15</t>
  </si>
  <si>
    <t>Taux (1% de différence)</t>
  </si>
  <si>
    <t>Partie 1</t>
  </si>
  <si>
    <t>i1</t>
  </si>
  <si>
    <t>van1</t>
  </si>
  <si>
    <t>i2</t>
  </si>
  <si>
    <t>van2</t>
  </si>
  <si>
    <t>-0,5 point</t>
  </si>
  <si>
    <t>16</t>
  </si>
  <si>
    <t>Taux de réinvestissement</t>
  </si>
  <si>
    <t>TRAM</t>
  </si>
  <si>
    <t>Capitalisation FM</t>
  </si>
  <si>
    <t>MF</t>
  </si>
  <si>
    <t>Partie 2</t>
  </si>
  <si>
    <t>MP</t>
  </si>
  <si>
    <t>Calculer la VAN après impôt en cosnidérant que :</t>
  </si>
  <si>
    <t xml:space="preserve">Le taux de déduction pour amortissement fiscal (DPA) qui s’applique à l’équipement est de 20 % calculé sur le solde non amorti. </t>
  </si>
  <si>
    <t xml:space="preserve">Le taux de DPA qui s’applique à l’immeuble est de 4% calculé sur le solde non amorti </t>
  </si>
  <si>
    <t xml:space="preserve">L’entreprise est assujettie à un taux d’impôt marginal de 22,6 % et son taux de rendement acceptable minimum (TRAM) est de 8,5 % après impôt. </t>
  </si>
  <si>
    <t xml:space="preserve">À la disposition des actifs en fin de projet, il ne restera plus d'équipements de cette catégorie dans l'entreprise par contre, il restera d'autres immeubles appartenant à cette même catégorie dans l’entreprise. Sauf indication contraire, les entrées et les sorties de fonds se produiront en fin de période. </t>
  </si>
  <si>
    <t>On vous demande finalement d'effectuer une analyse de sensibilité sur la contribution marginale en la faisant varier de plus 10% et d'en tirer une conclusion. Indiquer l'impact en % sur la VAN.</t>
  </si>
  <si>
    <t>Étudiant</t>
  </si>
  <si>
    <t>Réponse simulée</t>
  </si>
  <si>
    <t>points</t>
  </si>
  <si>
    <t>Pointage</t>
  </si>
  <si>
    <t>Nb de point</t>
  </si>
  <si>
    <t>TOTAL</t>
  </si>
  <si>
    <t>Note finale</t>
  </si>
  <si>
    <t>Note minimale</t>
  </si>
  <si>
    <t>Lab 5 -TP 4</t>
  </si>
  <si>
    <t>Vous travaillez depuis maintenant 10 ans pour l’entreprise Cov inc. qui se spécialise en équipements de protection bactérienne. Voyant qu’il y a présentement une belle opportunité de marché Post covid-19, une idée a germé et vous aimeriez l’exploiter. Ces 10 derniers mois, elle a investi 121 000 $ en recherche et développement et vous êtes en train d’analyser les données d’analyse de marché que vous aviez commandée auprès d’une firme spécialisée. Cov inc. vient de recevoir la facture de 17 000 $ pour le travail effectué et elle a 45 jours pour faire le payement.</t>
  </si>
  <si>
    <t>Pour réaliser ce projet d'une durée de 8 ans, elle devra faire l’acquisition d’un nouvel immeuble avec terrain. Après plusieurs recherches, vous avez trouvé une usine à proximité de son usine principale. En regardant le compte de taxes, l’on constate que le terrain est évalué à 480 000 $ et que la bâtisse est évaluée à 720 000 $. Après plusieurs négociations, vous considérez que vous seriez capable d’en faire faire l’acquisition pour 1 450 000 $.</t>
  </si>
  <si>
    <t>À noter que des frais notariés de 6 550 $ et des droits de mutation de 28 250 $ devront également être déboursés pour conclure cette transaction.</t>
  </si>
  <si>
    <t xml:space="preserve">Au bout de 8 ans, l’immeuble aura une valeur de revente estimée de 630 000 $ et le terrain devrait prendre 4% de valeur par année. À la fin des 8 années, le terrain sera vendu à sa valeur marchande. </t>
  </si>
  <si>
    <t>De plus, elle devra investir dans du nouvel équipement évaluer à 438 000 $, installation et formations de base incluses. Cet équipement possèderait une vie utile de 20 ans. À la fin de sa vie utile, la valeur de revente sera de 75 000 $. On considère que ce type d’équipement perd toujours la même valeur à  chaque année.</t>
  </si>
  <si>
    <t>Après plusieurs discussions en comité, avec le département des ventes, le département de marketing et la firme de consultation, il est clair que la quantité que l’on pourrait vendre de notre produit représentent la variable la plus incertaine de ce projet. À cet effet, le comité a établi des valeurs de cette variable et révèle la distribution de probabilités suivante pour les 8 années de production : </t>
  </si>
  <si>
    <t>Années 1 à 4</t>
  </si>
  <si>
    <t>Années 5 à 8</t>
  </si>
  <si>
    <t xml:space="preserve">À cause de l’augmentation de la production, Il faudra dédier en début de projet un fonds de roulement de 30 000 $ et l’augmenter de 20 000 $ au début de la cinquième année. Le fonds de roulement sera récupéré à la fin du projet. </t>
  </si>
  <si>
    <t>-1 point</t>
  </si>
  <si>
    <t xml:space="preserve">Le comité a déterminé que l’on pouvait s’attendre à une contribution marginale unitaire (marge sur coût variable unitaire) avant impôt est de 30 $. Les charges d’exploitation fixes avant impôts, autres que l’amortissement comptable, devrait-être de 157 000 $ par année pour les quatres premières années et passeront par la suite à 290 000 $ par année pour les années restantes du projet. </t>
  </si>
  <si>
    <t>Le taux de rendement acceptable minimum (TRAM) avant impôt est de 12%.</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</si>
</sst>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quot; &quot;* #,##0&quot;  &quot;&quot;$&quot;&quot; &quot;;&quot; &quot;* \(#,##0&quot;) &quot;&quot;$&quot;&quot; &quot;;&quot; &quot;* &quot;-&quot;??&quot;  &quot;&quot;$&quot;&quot; &quot;"/>
    <numFmt numFmtId="165" formatCode="&quot; &quot;* #,##0.00&quot;    &quot;;&quot; &quot;* \(#,##0.00&quot;)   &quot;;&quot; &quot;* &quot;-&quot;??&quot;    &quot;"/>
    <numFmt numFmtId="166" formatCode="_ * #,##0.00_)\ &quot;$&quot;_ ;_ * \(#,##0.00\)\ &quot;$&quot;_ ;_ * &quot;-&quot;??_)\ &quot;$&quot;_ ;_ @_ "/>
    <numFmt numFmtId="167" formatCode="&quot; &quot;* #,##0&quot;    &quot;;&quot; &quot;* \(#,##0&quot;)   &quot;;&quot; &quot;* &quot;-&quot;??&quot;    &quot;"/>
    <numFmt numFmtId="168" formatCode="&quot; &quot;* #,##0.00&quot;  &quot;&quot;$&quot;&quot; &quot;;&quot; &quot;* \(#,##0.00&quot;) &quot;&quot;$&quot;&quot; &quot;;&quot; &quot;* &quot;-&quot;??&quot;  &quot;&quot;$&quot;&quot; &quot;"/>
    <numFmt numFmtId="169" formatCode="#,##0&quot; u&quot;"/>
    <numFmt numFmtId="170" formatCode="#,##0&quot; u.&quot;"/>
    <numFmt numFmtId="171" formatCode="0.0000"/>
    <numFmt numFmtId="172" formatCode="&quot; &quot;* #,##0.00000&quot;  &quot;;&quot; &quot;* \(#,##0.00000&quot;) &quot;;&quot; &quot;* &quot;-&quot;??&quot;  &quot;"/>
    <numFmt numFmtId="173" formatCode="_ * #,##0_)\ &quot;$&quot;_ ;_ * \(#,##0\)\ &quot;$&quot;_ ;_ * &quot;-&quot;??_)\ &quot;$&quot;_ ;_ @_ "/>
    <numFmt numFmtId="174" formatCode="#,##0&quot; ans&quot;"/>
    <numFmt numFmtId="175" formatCode="#,##0&quot; jours&quot;"/>
    <numFmt numFmtId="176" formatCode="&quot; &quot;* #,##0.00&quot;  &quot;;&quot; &quot;* \(#,##0.00&quot;) &quot;;&quot; &quot;* &quot;-&quot;??&quot;  &quot;"/>
    <numFmt numFmtId="177" formatCode="#,##0&quot; &quot;&quot;$&quot;&quot; &quot;;#,##0&quot; &quot;&quot;$&quot;&quot;-&quot;"/>
    <numFmt numFmtId="178" formatCode="#,##0&quot; &quot;&quot;$&quot;"/>
  </numFmts>
  <fonts count="13">
    <font>
      <sz val="11.0"/>
      <color rgb="FF000000"/>
      <name val="Helvetica Neue"/>
      <scheme val="minor"/>
    </font>
    <font>
      <b/>
      <sz val="24.0"/>
      <color rgb="FF000000"/>
      <name val="Arial"/>
    </font>
    <font/>
    <font>
      <sz val="11.0"/>
      <color rgb="FF000000"/>
      <name val="Arial"/>
    </font>
    <font>
      <sz val="12.0"/>
      <color rgb="FF000000"/>
      <name val="Arial"/>
    </font>
    <font>
      <b/>
      <sz val="22.0"/>
      <color rgb="FF000000"/>
      <name val="Arial"/>
    </font>
    <font>
      <b/>
      <sz val="12.0"/>
      <color rgb="FF000000"/>
      <name val="Arial"/>
    </font>
    <font>
      <b/>
      <u/>
      <sz val="12.0"/>
      <color rgb="FF000000"/>
      <name val="Arial"/>
    </font>
    <font>
      <b/>
      <sz val="12.0"/>
      <color rgb="FF000000"/>
      <name val="Calibri"/>
    </font>
    <font>
      <sz val="12.0"/>
      <color rgb="FF000000"/>
      <name val="Calibri"/>
    </font>
    <font>
      <b/>
      <u/>
      <sz val="12.0"/>
      <color rgb="FF000000"/>
      <name val="Calibri"/>
    </font>
    <font>
      <sz val="11.0"/>
      <color rgb="FF000000"/>
      <name val="Calibri"/>
    </font>
    <font>
      <b/>
      <sz val="11.0"/>
      <color rgb="FF000000"/>
      <name val="Calibri"/>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BDD6EE"/>
        <bgColor rgb="FFBDD6EE"/>
      </patternFill>
    </fill>
    <fill>
      <patternFill patternType="solid">
        <fgColor theme="7"/>
        <bgColor theme="7"/>
      </patternFill>
    </fill>
    <fill>
      <patternFill patternType="solid">
        <fgColor rgb="FFD8D8D8"/>
        <bgColor rgb="FFD8D8D8"/>
      </patternFill>
    </fill>
    <fill>
      <patternFill patternType="solid">
        <fgColor rgb="FFBFBFBF"/>
        <bgColor rgb="FFBFBFBF"/>
      </patternFill>
    </fill>
    <fill>
      <patternFill patternType="solid">
        <fgColor rgb="FFF2F2F2"/>
        <bgColor rgb="FFF2F2F2"/>
      </patternFill>
    </fill>
  </fills>
  <borders count="161">
    <border/>
    <border>
      <left style="thin">
        <color rgb="FFAAAAAA"/>
      </left>
      <top style="thin">
        <color rgb="FFAAAAAA"/>
      </top>
    </border>
    <border>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bottom style="thin">
        <color rgb="FFAAAAAA"/>
      </bottom>
    </border>
    <border>
      <bottom style="thin">
        <color rgb="FFAAAAAA"/>
      </bottom>
    </border>
    <border>
      <right style="thin">
        <color rgb="FFAAAAAA"/>
      </right>
      <bottom style="thin">
        <color rgb="FFAAAAAA"/>
      </bottom>
    </border>
    <border>
      <left style="thin">
        <color rgb="FFAAAAAA"/>
      </left>
      <top style="thin">
        <color rgb="FFAAAAAA"/>
      </top>
      <bottom style="thin">
        <color rgb="FFAAAAAA"/>
      </bottom>
    </border>
    <border>
      <top style="thin">
        <color rgb="FFAAAAAA"/>
      </top>
      <bottom style="thin">
        <color rgb="FFAAAAAA"/>
      </bottom>
    </border>
    <border>
      <right style="thin">
        <color rgb="FFAAAAAA"/>
      </right>
      <top style="thin">
        <color rgb="FFAAAAAA"/>
      </top>
      <bottom style="thin">
        <color rgb="FFAAAAAA"/>
      </bottom>
    </border>
    <border>
      <left style="thin">
        <color rgb="FFAAAAAA"/>
      </left>
      <right/>
      <top style="thin">
        <color rgb="FFAAAAAA"/>
      </top>
    </border>
    <border>
      <left style="thin">
        <color rgb="FFAAAAAA"/>
      </left>
      <right/>
    </border>
    <border>
      <left/>
      <top/>
    </border>
    <border>
      <top/>
    </border>
    <border>
      <right/>
      <top/>
    </border>
    <border>
      <left/>
      <top style="thin">
        <color rgb="FFAAAAAA"/>
      </top>
    </border>
    <border>
      <left style="thin">
        <color rgb="FFAAAAAA"/>
      </left>
      <right/>
      <bottom style="thin">
        <color rgb="FFAAAAAA"/>
      </bottom>
    </border>
    <border>
      <left/>
      <bottom/>
    </border>
    <border>
      <bottom/>
    </border>
    <border>
      <right/>
      <bottom/>
    </border>
    <border>
      <left/>
      <bottom style="thin">
        <color rgb="FFAAAAAA"/>
      </bottom>
    </border>
    <border>
      <right/>
      <top style="thin">
        <color rgb="FFAAAAAA"/>
      </top>
      <bottom style="thin">
        <color rgb="FFAAAAAA"/>
      </bottom>
    </border>
    <border>
      <left/>
      <right/>
      <top/>
      <bottom/>
    </border>
    <border>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top/>
      <bottom/>
    </border>
    <border>
      <top/>
      <bottom/>
    </border>
    <border>
      <right/>
      <top/>
      <bottom/>
    </border>
    <border>
      <left style="thin">
        <color rgb="FFAAAAAA"/>
      </left>
      <right style="thin">
        <color rgb="FFAAAAAA"/>
      </right>
      <top/>
      <bottom style="thin">
        <color rgb="FFAAAAAA"/>
      </bottom>
    </border>
    <border>
      <left style="thin">
        <color rgb="FFAAAAAA"/>
      </left>
      <right style="thin">
        <color rgb="FF000000"/>
      </right>
      <top style="thin">
        <color rgb="FFAAAAAA"/>
      </top>
      <bottom style="thin">
        <color rgb="FFAAAAAA"/>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top style="thin">
        <color rgb="FF000000"/>
      </top>
      <bottom style="thin">
        <color rgb="FFAAAAAA"/>
      </bottom>
    </border>
    <border>
      <top style="thin">
        <color rgb="FF000000"/>
      </top>
      <bottom style="thin">
        <color rgb="FFAAAAAA"/>
      </bottom>
    </border>
    <border>
      <right style="thin">
        <color rgb="FFAAAAAA"/>
      </right>
      <top style="thin">
        <color rgb="FF000000"/>
      </top>
      <bottom style="thin">
        <color rgb="FFAAAAAA"/>
      </bottom>
    </border>
    <border>
      <left style="thin">
        <color rgb="FFAAAAAA"/>
      </left>
      <right style="thin">
        <color rgb="FFAAAAAA"/>
      </right>
      <top style="thin">
        <color rgb="FF000000"/>
      </top>
      <bottom style="thin">
        <color rgb="FFAAAAAA"/>
      </bottom>
    </border>
    <border>
      <left style="thin">
        <color rgb="FFAAAAAA"/>
      </left>
    </border>
    <border>
      <right style="thin">
        <color rgb="FFAAAAAA"/>
      </right>
    </border>
    <border>
      <left style="thin">
        <color rgb="FFAAAAAA"/>
      </left>
      <right style="thin">
        <color rgb="FFAAAAAA"/>
      </right>
      <top style="thin">
        <color rgb="FFAAAAAA"/>
      </top>
      <bottom style="medium">
        <color rgb="FF000000"/>
      </bottom>
    </border>
    <border>
      <left style="thin">
        <color rgb="FFAAAAAA"/>
      </left>
      <right style="medium">
        <color rgb="FF000000"/>
      </right>
      <top style="thin">
        <color rgb="FFAAAAAA"/>
      </top>
      <bottom style="thin">
        <color rgb="FFAAAAAA"/>
      </bottom>
    </border>
    <border>
      <left style="medium">
        <color rgb="FF000000"/>
      </left>
      <right style="thin">
        <color rgb="FFAAAAAA"/>
      </right>
      <top style="medium">
        <color rgb="FF000000"/>
      </top>
      <bottom style="thin">
        <color rgb="FFAAAAAA"/>
      </bottom>
    </border>
    <border>
      <left style="thin">
        <color rgb="FFAAAAAA"/>
      </left>
      <right style="thin">
        <color rgb="FFAAAAAA"/>
      </right>
      <top style="medium">
        <color rgb="FF000000"/>
      </top>
      <bottom style="thin">
        <color rgb="FFAAAAAA"/>
      </bottom>
    </border>
    <border>
      <left style="thin">
        <color rgb="FFAAAAAA"/>
      </left>
      <right style="medium">
        <color rgb="FF000000"/>
      </right>
      <top style="medium">
        <color rgb="FF000000"/>
      </top>
      <bottom style="thin">
        <color rgb="FFAAAAAA"/>
      </bottom>
    </border>
    <border>
      <left style="medium">
        <color rgb="FF000000"/>
      </left>
      <right style="thin">
        <color rgb="FFAAAAAA"/>
      </right>
      <top style="thin">
        <color rgb="FFAAAAAA"/>
      </top>
      <bottom style="thin">
        <color rgb="FFAAAAAA"/>
      </bottom>
    </border>
    <border>
      <left style="medium">
        <color rgb="FF000000"/>
      </left>
      <right style="medium">
        <color rgb="FF000000"/>
      </right>
      <top style="thin">
        <color rgb="FFAAAAAA"/>
      </top>
      <bottom style="medium">
        <color rgb="FF000000"/>
      </bottom>
    </border>
    <border>
      <left style="medium">
        <color rgb="FF000000"/>
      </left>
      <right style="thin">
        <color rgb="FFAAAAAA"/>
      </right>
      <top style="medium">
        <color rgb="FF000000"/>
      </top>
      <bottom style="medium">
        <color rgb="FF000000"/>
      </bottom>
    </border>
    <border>
      <left style="thin">
        <color rgb="FFAAAAAA"/>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AAAAAA"/>
      </bottom>
    </border>
    <border>
      <left style="medium">
        <color rgb="FF000000"/>
      </left>
      <right/>
      <top style="medium">
        <color rgb="FF000000"/>
      </top>
      <bottom/>
    </border>
    <border>
      <left/>
      <right style="medium">
        <color rgb="FF000000"/>
      </right>
      <top style="medium">
        <color rgb="FF000000"/>
      </top>
      <bottom/>
    </border>
    <border>
      <left style="medium">
        <color rgb="FF000000"/>
      </left>
      <right style="medium">
        <color rgb="FF000000"/>
      </right>
      <top style="thin">
        <color rgb="FFAAAAAA"/>
      </top>
      <bottom style="thin">
        <color rgb="FFAAAAAA"/>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style="medium">
        <color rgb="FF000000"/>
      </right>
      <top/>
      <bottom style="medium">
        <color rgb="FF000000"/>
      </bottom>
    </border>
    <border>
      <left style="medium">
        <color rgb="FF000000"/>
      </left>
      <right style="thin">
        <color rgb="FFAAAAAA"/>
      </right>
      <top style="thin">
        <color rgb="FFAAAAAA"/>
      </top>
      <bottom style="medium">
        <color rgb="FF000000"/>
      </bottom>
    </border>
    <border>
      <left style="thin">
        <color rgb="FFAAAAAA"/>
      </left>
      <right style="medium">
        <color rgb="FF000000"/>
      </right>
      <top style="thin">
        <color rgb="FFAAAAAA"/>
      </top>
      <bottom style="medium">
        <color rgb="FF000000"/>
      </bottom>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AAAAAA"/>
      </left>
      <right style="thin">
        <color rgb="FFAAAAAA"/>
      </right>
      <top style="medium">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top style="medium">
        <color rgb="FF000000"/>
      </top>
      <bottom style="thin">
        <color rgb="FFAAAAAA"/>
      </bottom>
    </border>
    <border>
      <right style="thin">
        <color rgb="FF000000"/>
      </right>
      <top style="medium">
        <color rgb="FF000000"/>
      </top>
      <bottom style="thin">
        <color rgb="FFAAAAAA"/>
      </bottom>
    </border>
    <border>
      <left style="thin">
        <color rgb="FF000000"/>
      </left>
      <right style="medium">
        <color rgb="FF000000"/>
      </right>
      <top style="medium">
        <color rgb="FF000000"/>
      </top>
      <bottom/>
    </border>
    <border>
      <left style="medium">
        <color rgb="FF000000"/>
      </left>
      <top style="thin">
        <color rgb="FFAAAAAA"/>
      </top>
      <bottom style="thin">
        <color rgb="FFAAAAAA"/>
      </bottom>
    </border>
    <border>
      <right style="thin">
        <color rgb="FF000000"/>
      </right>
      <top style="thin">
        <color rgb="FFAAAAAA"/>
      </top>
      <bottom style="thin">
        <color rgb="FFAAAAAA"/>
      </bottom>
    </border>
    <border>
      <left style="thin">
        <color rgb="FF000000"/>
      </left>
      <right style="medium">
        <color rgb="FF000000"/>
      </right>
      <top/>
      <bottom/>
    </border>
    <border>
      <left style="medium">
        <color rgb="FF000000"/>
      </left>
      <top style="thin">
        <color rgb="FFAAAAAA"/>
      </top>
      <bottom style="medium">
        <color rgb="FF000000"/>
      </bottom>
    </border>
    <border>
      <right style="thin">
        <color rgb="FF000000"/>
      </right>
      <top style="thin">
        <color rgb="FFAAAAAA"/>
      </top>
      <bottom style="medium">
        <color rgb="FF000000"/>
      </bottom>
    </border>
    <border>
      <left style="thin">
        <color rgb="FF000000"/>
      </left>
      <right style="medium">
        <color rgb="FF000000"/>
      </right>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AAAAAA"/>
      </top>
      <bottom style="thin">
        <color rgb="FF000000"/>
      </bottom>
    </border>
    <border>
      <right style="thin">
        <color rgb="FF000000"/>
      </right>
      <top style="thin">
        <color rgb="FFAAAAAA"/>
      </top>
      <bottom style="thin">
        <color rgb="FF000000"/>
      </bottom>
    </border>
    <border>
      <left style="thin">
        <color rgb="FF000000"/>
      </left>
      <right style="medium">
        <color rgb="FF000000"/>
      </right>
      <top/>
      <bottom style="thin">
        <color rgb="FF000000"/>
      </bottom>
    </border>
    <border>
      <left style="medium">
        <color rgb="FF000000"/>
      </left>
      <right style="thin">
        <color rgb="FFAAAAAA"/>
      </right>
      <top style="thin">
        <color rgb="FFAAAAAA"/>
      </top>
      <bottom style="thin">
        <color rgb="FF000000"/>
      </bottom>
    </border>
    <border>
      <left style="thin">
        <color rgb="FFAAAAAA"/>
      </left>
      <right style="thin">
        <color rgb="FFAAAAAA"/>
      </right>
      <top style="thin">
        <color rgb="FFAAAAAA"/>
      </top>
      <bottom style="thin">
        <color rgb="FF000000"/>
      </bottom>
    </border>
    <border>
      <left style="thin">
        <color rgb="FFAAAAAA"/>
      </left>
      <right style="medium">
        <color rgb="FF000000"/>
      </right>
      <top style="thin">
        <color rgb="FFAAAAAA"/>
      </top>
      <bottom style="thin">
        <color rgb="FF000000"/>
      </bottom>
    </border>
    <border>
      <left style="medium">
        <color rgb="FF000000"/>
      </left>
      <top style="thin">
        <color rgb="FF000000"/>
      </top>
    </border>
    <border>
      <right style="medium">
        <color rgb="FF000000"/>
      </right>
      <top style="thin">
        <color rgb="FF000000"/>
      </top>
    </border>
    <border>
      <left style="medium">
        <color rgb="FF000000"/>
      </left>
      <top style="thin">
        <color rgb="FF000000"/>
      </top>
      <bottom style="thin">
        <color rgb="FFAAAAAA"/>
      </bottom>
    </border>
    <border>
      <right style="thin">
        <color rgb="FF000000"/>
      </right>
      <top style="thin">
        <color rgb="FF000000"/>
      </top>
      <bottom style="thin">
        <color rgb="FFAAAAAA"/>
      </bottom>
    </border>
    <border>
      <left style="thin">
        <color rgb="FF000000"/>
      </left>
      <right style="medium">
        <color rgb="FF000000"/>
      </right>
      <top style="thin">
        <color rgb="FF000000"/>
      </top>
      <bottom/>
    </border>
    <border>
      <left style="medium">
        <color rgb="FF000000"/>
      </left>
      <right style="thin">
        <color rgb="FFAAAAAA"/>
      </right>
      <top style="thin">
        <color rgb="FF000000"/>
      </top>
      <bottom style="thin">
        <color rgb="FFAAAAAA"/>
      </bottom>
    </border>
    <border>
      <left style="thin">
        <color rgb="FFAAAAAA"/>
      </left>
      <right style="medium">
        <color rgb="FF000000"/>
      </right>
      <top style="thin">
        <color rgb="FF000000"/>
      </top>
      <bottom style="thin">
        <color rgb="FFAAAAAA"/>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right/>
      <top style="thin">
        <color rgb="FF000000"/>
      </top>
      <bottom/>
    </border>
    <border>
      <left/>
      <right/>
      <top style="thin">
        <color rgb="FF000000"/>
      </top>
      <bottom/>
    </border>
    <border>
      <left/>
      <right style="medium">
        <color rgb="FF000000"/>
      </right>
      <top style="thin">
        <color rgb="FF000000"/>
      </top>
      <bottom/>
    </border>
    <border>
      <left style="medium">
        <color rgb="FF000000"/>
      </left>
      <right style="thin">
        <color rgb="FFAAAAAA"/>
      </right>
      <top/>
      <bottom style="medium">
        <color rgb="FF000000"/>
      </bottom>
    </border>
    <border>
      <left style="thin">
        <color rgb="FFAAAAAA"/>
      </left>
      <right style="thin">
        <color rgb="FFAAAAAA"/>
      </right>
      <top/>
      <bottom style="medium">
        <color rgb="FF000000"/>
      </bottom>
    </border>
    <border>
      <left style="thin">
        <color rgb="FFAAAAAA"/>
      </left>
      <top style="thin">
        <color rgb="FFAAAAAA"/>
      </top>
      <bottom style="medium">
        <color rgb="FF000000"/>
      </bottom>
    </border>
    <border>
      <right style="thin">
        <color rgb="FFAAAAAA"/>
      </right>
      <top style="thin">
        <color rgb="FFAAAAAA"/>
      </top>
      <bottom style="medium">
        <color rgb="FF000000"/>
      </bottom>
    </border>
    <border>
      <right style="thin">
        <color rgb="FFAAAAAA"/>
      </right>
      <top style="medium">
        <color rgb="FF000000"/>
      </top>
      <bottom style="thin">
        <color rgb="FFAAAAAA"/>
      </bottom>
    </border>
    <border>
      <left style="thin">
        <color rgb="FFAAAAAA"/>
      </lef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medium">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AAAAAA"/>
      </right>
      <top style="medium">
        <color rgb="FF000000"/>
      </top>
      <bottom/>
    </border>
    <border>
      <left style="thin">
        <color rgb="FFAAAAAA"/>
      </left>
      <right style="medium">
        <color rgb="FF000000"/>
      </right>
      <top style="medium">
        <color rgb="FF000000"/>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AAAAAA"/>
      </right>
      <top style="thin">
        <color rgb="FF000000"/>
      </top>
      <bottom style="thin">
        <color rgb="FF000000"/>
      </bottom>
    </border>
    <border>
      <left style="thin">
        <color rgb="FFAAAAAA"/>
      </left>
      <right style="thin">
        <color rgb="FF000000"/>
      </right>
      <top style="thin">
        <color rgb="FF000000"/>
      </top>
      <bottom style="thin">
        <color rgb="FF000000"/>
      </bottom>
    </border>
    <border>
      <left style="medium">
        <color rgb="FF000000"/>
      </left>
      <right style="thin">
        <color rgb="FFAAAAAA"/>
      </right>
      <top style="medium">
        <color rgb="FF000000"/>
      </top>
      <bottom style="thin">
        <color rgb="FF000000"/>
      </bottom>
    </border>
    <border>
      <left style="thin">
        <color rgb="FFAAAAAA"/>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AAAAAA"/>
      </bottom>
    </border>
    <border>
      <left style="thin">
        <color rgb="FF000000"/>
      </left>
      <right/>
      <top style="thin">
        <color rgb="FF000000"/>
      </top>
      <bottom/>
    </border>
    <border>
      <left style="medium">
        <color rgb="FF000000"/>
      </left>
      <right style="thin">
        <color rgb="FF000000"/>
      </right>
      <top style="thin">
        <color rgb="FFAAAAAA"/>
      </top>
      <bottom style="thin">
        <color rgb="FFAAAAAA"/>
      </bottom>
    </border>
    <border>
      <left style="thin">
        <color rgb="FF000000"/>
      </left>
      <right/>
      <top/>
      <bottom/>
    </border>
    <border>
      <left style="medium">
        <color rgb="FF000000"/>
      </left>
      <right style="thin">
        <color rgb="FF000000"/>
      </right>
      <top style="thin">
        <color rgb="FFAAAAAA"/>
      </top>
      <bottom style="medium">
        <color rgb="FF000000"/>
      </bottom>
    </border>
    <border>
      <left style="thin">
        <color rgb="FF000000"/>
      </left>
      <right/>
      <top/>
      <bottom style="medium">
        <color rgb="FF000000"/>
      </bottom>
    </border>
    <border>
      <left style="thin">
        <color rgb="FFAAAAAA"/>
      </left>
      <right style="thin">
        <color rgb="FF000000"/>
      </right>
      <top style="medium">
        <color rgb="FF000000"/>
      </top>
      <bottom style="medium">
        <color rgb="FF000000"/>
      </bottom>
    </border>
    <border>
      <left/>
      <right style="thin">
        <color rgb="FFAAAAAA"/>
      </right>
      <top style="medium">
        <color rgb="FF000000"/>
      </top>
      <bottom style="medium">
        <color rgb="FF000000"/>
      </bottom>
    </border>
    <border>
      <left style="thin">
        <color rgb="FFAAAAAA"/>
      </left>
      <right/>
      <top style="medium">
        <color rgb="FF000000"/>
      </top>
      <bottom style="medium">
        <color rgb="FF000000"/>
      </bottom>
    </border>
    <border>
      <left style="thin">
        <color rgb="FFAAAAAA"/>
      </left>
      <right style="thin">
        <color rgb="FF000000"/>
      </right>
      <top style="medium">
        <color rgb="FF000000"/>
      </top>
      <bottom style="thin">
        <color rgb="FFAAAAAA"/>
      </bottom>
    </border>
    <border>
      <left style="thin">
        <color rgb="FFAAAAAA"/>
      </left>
      <right style="thin">
        <color rgb="FF000000"/>
      </right>
      <top style="thin">
        <color rgb="FFAAAAAA"/>
      </top>
      <bottom style="medium">
        <color rgb="FF000000"/>
      </bottom>
    </border>
    <border>
      <left style="thin">
        <color rgb="FFAAAAAA"/>
      </left>
      <right style="thin">
        <color rgb="FF000000"/>
      </right>
      <top style="thin">
        <color rgb="FFAAAAAA"/>
      </top>
      <bottom style="thin">
        <color rgb="FF000000"/>
      </bottom>
    </border>
    <border>
      <left style="thin">
        <color rgb="FFAAAAAA"/>
      </left>
      <right style="thin">
        <color rgb="FF000000"/>
      </right>
      <top style="thin">
        <color rgb="FF000000"/>
      </top>
      <bottom style="thin">
        <color rgb="FFAAAAAA"/>
      </bottom>
    </border>
    <border>
      <left/>
      <right style="thin">
        <color rgb="FFAAAAAA"/>
      </right>
      <top style="thin">
        <color rgb="FF000000"/>
      </top>
      <bottom/>
    </border>
    <border>
      <left style="thin">
        <color rgb="FFAAAAAA"/>
      </left>
      <right style="thin">
        <color rgb="FFAAAAAA"/>
      </right>
      <top style="thin">
        <color rgb="FF000000"/>
      </top>
      <bottom/>
    </border>
    <border>
      <left style="thin">
        <color rgb="FFAAAAAA"/>
      </left>
      <right/>
      <top style="thin">
        <color rgb="FF000000"/>
      </top>
      <bottom/>
    </border>
    <border>
      <left style="thin">
        <color rgb="FFAAAAAA"/>
      </left>
      <right style="medium">
        <color rgb="FF000000"/>
      </right>
      <top/>
      <bottom style="medium">
        <color rgb="FF000000"/>
      </bottom>
    </border>
    <border>
      <left style="thin">
        <color rgb="FFAAAAAA"/>
      </left>
      <right style="thin">
        <color rgb="FFAAAAAA"/>
      </right>
      <top style="medium">
        <color rgb="FF000000"/>
      </top>
      <bottom style="thin">
        <color rgb="FF000000"/>
      </bottom>
    </border>
    <border>
      <left style="thin">
        <color rgb="FF000000"/>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top style="medium">
        <color rgb="FF000000"/>
      </top>
      <bottom style="medium">
        <color rgb="FF000000"/>
      </bottom>
    </border>
    <border>
      <left style="medium">
        <color rgb="FF000000"/>
      </left>
      <right/>
      <top style="medium">
        <color rgb="FF000000"/>
      </top>
      <bottom style="thin">
        <color rgb="FFAAAAAA"/>
      </bottom>
    </border>
    <border>
      <left/>
      <right/>
      <top style="medium">
        <color rgb="FF000000"/>
      </top>
      <bottom/>
    </border>
    <border>
      <left/>
      <right style="thin">
        <color rgb="FFAAAAAA"/>
      </right>
      <top style="medium">
        <color rgb="FF000000"/>
      </top>
      <bottom style="thin">
        <color rgb="FFAAAAAA"/>
      </bottom>
    </border>
    <border>
      <left style="thin">
        <color rgb="FFAAAAAA"/>
      </left>
      <right/>
      <top style="medium">
        <color rgb="FF000000"/>
      </top>
      <bottom style="thin">
        <color rgb="FFAAAAAA"/>
      </bottom>
    </border>
    <border>
      <left style="medium">
        <color rgb="FF000000"/>
      </left>
      <right/>
      <top style="thin">
        <color rgb="FFAAAAAA"/>
      </top>
      <bottom style="thin">
        <color rgb="FFAAAAAA"/>
      </bottom>
    </border>
    <border>
      <left style="thin">
        <color rgb="FFAAAAAA"/>
      </left>
      <right/>
      <top style="thin">
        <color rgb="FFAAAAAA"/>
      </top>
      <bottom style="thin">
        <color rgb="FFAAAAAA"/>
      </bottom>
    </border>
    <border>
      <left style="medium">
        <color rgb="FF000000"/>
      </left>
      <right style="thin">
        <color rgb="FFAAAAAA"/>
      </right>
      <top/>
      <bottom style="thin">
        <color rgb="FF000000"/>
      </bottom>
    </border>
    <border>
      <left style="thin">
        <color rgb="FFAAAAAA"/>
      </left>
      <right style="thin">
        <color rgb="FFAAAAAA"/>
      </right>
      <top/>
      <bottom style="thin">
        <color rgb="FF000000"/>
      </bottom>
    </border>
    <border>
      <left style="medium">
        <color rgb="FF000000"/>
      </left>
      <right style="thin">
        <color rgb="FFAAAAAA"/>
      </right>
      <top style="thin">
        <color rgb="FF000000"/>
      </top>
      <bottom/>
    </border>
    <border>
      <left style="thin">
        <color rgb="FFAAAAAA"/>
      </left>
      <right style="medium">
        <color rgb="FF000000"/>
      </right>
      <top style="thin">
        <color rgb="FF000000"/>
      </top>
      <bottom/>
    </border>
  </borders>
  <cellStyleXfs count="1">
    <xf borderId="0" fillId="0" fontId="0" numFmtId="0" applyAlignment="1" applyFont="1"/>
  </cellStyleXfs>
  <cellXfs count="448">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center"/>
    </xf>
    <xf borderId="2" fillId="0" fontId="2" numFmtId="0" xfId="0" applyBorder="1" applyFont="1"/>
    <xf borderId="3" fillId="0" fontId="2" numFmtId="0" xfId="0" applyBorder="1" applyFont="1"/>
    <xf borderId="4" fillId="0" fontId="3" numFmtId="0" xfId="0" applyBorder="1" applyFont="1"/>
    <xf borderId="0" fillId="0" fontId="3" numFmtId="0" xfId="0" applyFont="1"/>
    <xf borderId="5" fillId="0" fontId="2" numFmtId="0" xfId="0" applyBorder="1" applyFont="1"/>
    <xf borderId="6" fillId="0" fontId="2" numFmtId="0" xfId="0" applyBorder="1" applyFont="1"/>
    <xf borderId="7" fillId="0" fontId="2" numFmtId="0" xfId="0" applyBorder="1" applyFont="1"/>
    <xf borderId="4" fillId="2" fontId="1" numFmtId="0" xfId="0" applyAlignment="1" applyBorder="1" applyFont="1">
      <alignment horizontal="center" vertical="center"/>
    </xf>
    <xf borderId="8" fillId="2" fontId="1" numFmtId="49" xfId="0" applyAlignment="1" applyBorder="1" applyFont="1" applyNumberFormat="1">
      <alignment horizontal="center" vertical="center"/>
    </xf>
    <xf borderId="9" fillId="0" fontId="2" numFmtId="0" xfId="0" applyBorder="1" applyFont="1"/>
    <xf borderId="10" fillId="0" fontId="2" numFmtId="0" xfId="0" applyBorder="1" applyFont="1"/>
    <xf borderId="4" fillId="2" fontId="4" numFmtId="49" xfId="0" applyBorder="1" applyFont="1" applyNumberFormat="1"/>
    <xf borderId="4" fillId="2" fontId="4" numFmtId="0" xfId="0" applyBorder="1" applyFont="1"/>
    <xf borderId="11" fillId="2" fontId="4" numFmtId="49" xfId="0" applyAlignment="1" applyBorder="1" applyFont="1" applyNumberFormat="1">
      <alignment horizontal="center" vertical="center"/>
    </xf>
    <xf borderId="8" fillId="2" fontId="4" numFmtId="49" xfId="0" applyAlignment="1" applyBorder="1" applyFont="1" applyNumberFormat="1">
      <alignment horizontal="left"/>
    </xf>
    <xf borderId="12" fillId="0" fontId="2" numFmtId="0" xfId="0" applyBorder="1" applyFont="1"/>
    <xf borderId="13" fillId="3" fontId="5" numFmtId="49" xfId="0" applyAlignment="1" applyBorder="1" applyFill="1" applyFont="1" applyNumberFormat="1">
      <alignment horizontal="center"/>
    </xf>
    <xf borderId="14" fillId="0" fontId="2" numFmtId="0" xfId="0" applyBorder="1" applyFont="1"/>
    <xf borderId="15" fillId="0" fontId="2" numFmtId="0" xfId="0" applyBorder="1" applyFont="1"/>
    <xf borderId="16" fillId="2" fontId="4" numFmtId="49" xfId="0" applyAlignment="1" applyBorder="1" applyFont="1" applyNumberFormat="1">
      <alignment horizontal="center" vertic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1" fillId="2" fontId="5" numFmtId="49" xfId="0" applyAlignment="1" applyBorder="1" applyFont="1" applyNumberFormat="1">
      <alignment horizontal="center" shrinkToFit="0" wrapText="1"/>
    </xf>
    <xf borderId="8" fillId="2" fontId="6" numFmtId="49" xfId="0" applyAlignment="1" applyBorder="1" applyFont="1" applyNumberFormat="1">
      <alignment horizontal="left"/>
    </xf>
    <xf borderId="22" fillId="0" fontId="2" numFmtId="0" xfId="0" applyBorder="1" applyFont="1"/>
    <xf borderId="23" fillId="3" fontId="4" numFmtId="0" xfId="0" applyBorder="1" applyFont="1"/>
    <xf borderId="24" fillId="2" fontId="4" numFmtId="0" xfId="0" applyBorder="1" applyFont="1"/>
    <xf borderId="4" fillId="2" fontId="4" numFmtId="0" xfId="0" applyAlignment="1" applyBorder="1" applyFont="1">
      <alignment horizontal="left"/>
    </xf>
    <xf borderId="25" fillId="2" fontId="4" numFmtId="0" xfId="0" applyBorder="1" applyFont="1"/>
    <xf borderId="26" fillId="4" fontId="7" numFmtId="49" xfId="0" applyAlignment="1" applyBorder="1" applyFill="1" applyFont="1" applyNumberFormat="1">
      <alignment horizontal="center"/>
    </xf>
    <xf borderId="27" fillId="0" fontId="2" numFmtId="0" xfId="0" applyBorder="1" applyFont="1"/>
    <xf borderId="28" fillId="0" fontId="2" numFmtId="0" xfId="0" applyBorder="1" applyFont="1"/>
    <xf borderId="29" fillId="2" fontId="4" numFmtId="0" xfId="0" applyBorder="1" applyFont="1"/>
    <xf borderId="8" fillId="2" fontId="4" numFmtId="49" xfId="0" applyAlignment="1" applyBorder="1" applyFont="1" applyNumberFormat="1">
      <alignment horizontal="center"/>
    </xf>
    <xf borderId="30" fillId="2" fontId="3" numFmtId="0" xfId="0" applyBorder="1" applyFont="1"/>
    <xf borderId="31" fillId="2" fontId="8" numFmtId="49" xfId="0" applyBorder="1" applyFont="1" applyNumberFormat="1"/>
    <xf borderId="31" fillId="3" fontId="9" numFmtId="49" xfId="0" applyBorder="1" applyFont="1" applyNumberFormat="1"/>
    <xf borderId="32" fillId="3" fontId="9" numFmtId="49" xfId="0" applyAlignment="1" applyBorder="1" applyFont="1" applyNumberFormat="1">
      <alignment horizontal="center"/>
    </xf>
    <xf borderId="33" fillId="0" fontId="2" numFmtId="0" xfId="0" applyBorder="1" applyFont="1"/>
    <xf borderId="31" fillId="3" fontId="9" numFmtId="0" xfId="0" applyBorder="1" applyFont="1"/>
    <xf borderId="31" fillId="2" fontId="8" numFmtId="49" xfId="0" applyAlignment="1" applyBorder="1" applyFont="1" applyNumberFormat="1">
      <alignment horizontal="right"/>
    </xf>
    <xf borderId="31" fillId="3" fontId="8" numFmtId="0" xfId="0" applyAlignment="1" applyBorder="1" applyFont="1">
      <alignment horizontal="right"/>
    </xf>
    <xf borderId="34" fillId="2" fontId="3" numFmtId="0" xfId="0" applyBorder="1" applyFont="1"/>
    <xf borderId="4" fillId="2" fontId="3" numFmtId="0" xfId="0" applyBorder="1" applyFont="1"/>
    <xf borderId="35" fillId="2" fontId="6" numFmtId="49" xfId="0" applyAlignment="1" applyBorder="1" applyFont="1" applyNumberFormat="1">
      <alignment horizontal="center" vertical="center"/>
    </xf>
    <xf borderId="36" fillId="0" fontId="2" numFmtId="0" xfId="0" applyBorder="1" applyFont="1"/>
    <xf borderId="37" fillId="0" fontId="2" numFmtId="0" xfId="0" applyBorder="1" applyFont="1"/>
    <xf borderId="38" fillId="2" fontId="6" numFmtId="0" xfId="0" applyAlignment="1" applyBorder="1" applyFont="1">
      <alignment vertical="center"/>
    </xf>
    <xf borderId="38" fillId="2" fontId="3" numFmtId="0" xfId="0" applyBorder="1" applyFont="1"/>
    <xf borderId="4" fillId="2" fontId="8" numFmtId="49" xfId="0" applyBorder="1" applyFont="1" applyNumberFormat="1"/>
    <xf borderId="1" fillId="2" fontId="9" numFmtId="49" xfId="0" applyAlignment="1" applyBorder="1" applyFont="1" applyNumberFormat="1">
      <alignment horizontal="left" shrinkToFit="0" vertical="center" wrapText="1"/>
    </xf>
    <xf borderId="39" fillId="0" fontId="2" numFmtId="0" xfId="0" applyBorder="1" applyFont="1"/>
    <xf borderId="40" fillId="0" fontId="2" numFmtId="0" xfId="0" applyBorder="1" applyFont="1"/>
    <xf borderId="41" fillId="2" fontId="8" numFmtId="49" xfId="0" applyBorder="1" applyFont="1" applyNumberFormat="1"/>
    <xf borderId="41" fillId="2" fontId="3" numFmtId="0" xfId="0" applyBorder="1" applyFont="1"/>
    <xf borderId="4" fillId="2" fontId="9" numFmtId="164" xfId="0" applyBorder="1" applyFont="1" applyNumberFormat="1"/>
    <xf borderId="42" fillId="2" fontId="3" numFmtId="0" xfId="0" applyBorder="1" applyFont="1"/>
    <xf borderId="43" fillId="2" fontId="9" numFmtId="165" xfId="0" applyBorder="1" applyFont="1" applyNumberFormat="1"/>
    <xf borderId="44" fillId="2" fontId="9" numFmtId="166" xfId="0" applyBorder="1" applyFont="1" applyNumberFormat="1"/>
    <xf borderId="44" fillId="2" fontId="9" numFmtId="165" xfId="0" applyBorder="1" applyFont="1" applyNumberFormat="1"/>
    <xf borderId="45" fillId="2" fontId="9" numFmtId="165" xfId="0" applyBorder="1" applyFont="1" applyNumberFormat="1"/>
    <xf borderId="46" fillId="2" fontId="3" numFmtId="0" xfId="0" applyBorder="1" applyFont="1"/>
    <xf borderId="46" fillId="2" fontId="9" numFmtId="165" xfId="0" applyBorder="1" applyFont="1" applyNumberFormat="1"/>
    <xf borderId="4" fillId="2" fontId="9" numFmtId="166" xfId="0" applyBorder="1" applyFont="1" applyNumberFormat="1"/>
    <xf borderId="4" fillId="2" fontId="9" numFmtId="165" xfId="0" applyBorder="1" applyFont="1" applyNumberFormat="1"/>
    <xf borderId="4" fillId="2" fontId="9" numFmtId="167" xfId="0" applyAlignment="1" applyBorder="1" applyFont="1" applyNumberFormat="1">
      <alignment horizontal="right"/>
    </xf>
    <xf borderId="42" fillId="2" fontId="9" numFmtId="165" xfId="0" applyBorder="1" applyFont="1" applyNumberFormat="1"/>
    <xf borderId="46" fillId="2" fontId="10" numFmtId="165" xfId="0" applyBorder="1" applyFont="1" applyNumberFormat="1"/>
    <xf borderId="4" fillId="2" fontId="8" numFmtId="165" xfId="0" applyBorder="1" applyFont="1" applyNumberFormat="1"/>
    <xf borderId="4" fillId="2" fontId="9" numFmtId="165" xfId="0" applyAlignment="1" applyBorder="1" applyFont="1" applyNumberFormat="1">
      <alignment horizontal="right"/>
    </xf>
    <xf borderId="46" fillId="2" fontId="9" numFmtId="165" xfId="0" applyAlignment="1" applyBorder="1" applyFont="1" applyNumberFormat="1">
      <alignment horizontal="left"/>
    </xf>
    <xf borderId="4" fillId="2" fontId="9" numFmtId="9" xfId="0" applyBorder="1" applyFont="1" applyNumberFormat="1"/>
    <xf borderId="4" fillId="5" fontId="9" numFmtId="166" xfId="0" applyBorder="1" applyFill="1" applyFont="1" applyNumberFormat="1"/>
    <xf borderId="41" fillId="2" fontId="9" numFmtId="166" xfId="0" applyBorder="1" applyFont="1" applyNumberFormat="1"/>
    <xf borderId="41" fillId="2" fontId="9" numFmtId="165" xfId="0" applyBorder="1" applyFont="1" applyNumberFormat="1"/>
    <xf borderId="47" fillId="2" fontId="9" numFmtId="0" xfId="0" applyBorder="1" applyFont="1"/>
    <xf borderId="48" fillId="2" fontId="8" numFmtId="49" xfId="0" applyAlignment="1" applyBorder="1" applyFont="1" applyNumberFormat="1">
      <alignment horizontal="center"/>
    </xf>
    <xf borderId="49" fillId="2" fontId="8" numFmtId="49" xfId="0" applyBorder="1" applyFont="1" applyNumberFormat="1"/>
    <xf borderId="46" fillId="2" fontId="9" numFmtId="0" xfId="0" applyBorder="1" applyFont="1"/>
    <xf borderId="4" fillId="2" fontId="9" numFmtId="0" xfId="0" applyBorder="1" applyFont="1"/>
    <xf borderId="42" fillId="2" fontId="9" numFmtId="0" xfId="0" applyBorder="1" applyFont="1"/>
    <xf borderId="4" fillId="2" fontId="8" numFmtId="0" xfId="0" applyAlignment="1" applyBorder="1" applyFont="1">
      <alignment horizontal="center"/>
    </xf>
    <xf borderId="50" fillId="2" fontId="8" numFmtId="49" xfId="0" applyBorder="1" applyFont="1" applyNumberFormat="1"/>
    <xf borderId="51" fillId="3" fontId="9" numFmtId="164" xfId="0" applyBorder="1" applyFont="1" applyNumberFormat="1"/>
    <xf borderId="52" fillId="3" fontId="9" numFmtId="168" xfId="0" applyBorder="1" applyFont="1" applyNumberFormat="1"/>
    <xf borderId="4" fillId="2" fontId="9" numFmtId="0" xfId="0" applyAlignment="1" applyBorder="1" applyFont="1">
      <alignment horizontal="center"/>
    </xf>
    <xf borderId="53" fillId="2" fontId="8" numFmtId="49" xfId="0" applyBorder="1" applyFont="1" applyNumberFormat="1"/>
    <xf borderId="54" fillId="3" fontId="9" numFmtId="164" xfId="0" applyBorder="1" applyFont="1" applyNumberFormat="1"/>
    <xf borderId="55" fillId="3" fontId="9" numFmtId="168" xfId="0" applyBorder="1" applyFont="1" applyNumberFormat="1"/>
    <xf borderId="47" fillId="2" fontId="8" numFmtId="49" xfId="0" applyBorder="1" applyFont="1" applyNumberFormat="1"/>
    <xf borderId="56" fillId="3" fontId="9" numFmtId="164" xfId="0" applyBorder="1" applyFont="1" applyNumberFormat="1"/>
    <xf borderId="57" fillId="3" fontId="9" numFmtId="168" xfId="0" applyBorder="1" applyFont="1" applyNumberFormat="1"/>
    <xf borderId="58" fillId="2" fontId="9" numFmtId="0" xfId="0" applyBorder="1" applyFont="1"/>
    <xf borderId="41" fillId="2" fontId="9" numFmtId="0" xfId="0" applyBorder="1" applyFont="1"/>
    <xf borderId="59" fillId="2" fontId="9" numFmtId="0" xfId="0" applyBorder="1" applyFont="1"/>
    <xf borderId="44" fillId="2" fontId="3" numFmtId="0" xfId="0" applyBorder="1" applyFont="1"/>
    <xf borderId="41" fillId="2" fontId="8" numFmtId="0" xfId="0" applyBorder="1" applyFont="1"/>
    <xf borderId="41" fillId="2" fontId="9" numFmtId="0" xfId="0" applyAlignment="1" applyBorder="1" applyFont="1">
      <alignment horizontal="center" vertical="center"/>
    </xf>
    <xf borderId="60" fillId="2" fontId="8" numFmtId="49" xfId="0" applyAlignment="1" applyBorder="1" applyFont="1" applyNumberFormat="1">
      <alignment horizontal="left"/>
    </xf>
    <xf borderId="61" fillId="0" fontId="2" numFmtId="0" xfId="0" applyBorder="1" applyFont="1"/>
    <xf borderId="62" fillId="6" fontId="8" numFmtId="49" xfId="0" applyAlignment="1" applyBorder="1" applyFill="1" applyFont="1" applyNumberFormat="1">
      <alignment horizontal="center"/>
    </xf>
    <xf borderId="48" fillId="2" fontId="8" numFmtId="0" xfId="0" applyAlignment="1" applyBorder="1" applyFont="1">
      <alignment horizontal="center"/>
    </xf>
    <xf borderId="63" fillId="2" fontId="8" numFmtId="0" xfId="0" applyAlignment="1" applyBorder="1" applyFont="1">
      <alignment horizontal="center"/>
    </xf>
    <xf borderId="49" fillId="2" fontId="8" numFmtId="0" xfId="0" applyAlignment="1" applyBorder="1" applyFont="1">
      <alignment horizontal="center"/>
    </xf>
    <xf borderId="46" fillId="2" fontId="8" numFmtId="0" xfId="0" applyAlignment="1" applyBorder="1" applyFont="1">
      <alignment horizontal="center"/>
    </xf>
    <xf borderId="62" fillId="6" fontId="9" numFmtId="9" xfId="0" applyAlignment="1" applyBorder="1" applyFont="1" applyNumberFormat="1">
      <alignment horizontal="center"/>
    </xf>
    <xf borderId="64" fillId="2" fontId="9" numFmtId="169" xfId="0" applyAlignment="1" applyBorder="1" applyFont="1" applyNumberFormat="1">
      <alignment horizontal="center"/>
    </xf>
    <xf borderId="65" fillId="3" fontId="9" numFmtId="169" xfId="0" applyAlignment="1" applyBorder="1" applyFont="1" applyNumberFormat="1">
      <alignment horizontal="center"/>
    </xf>
    <xf borderId="66" fillId="3" fontId="9" numFmtId="169" xfId="0" applyAlignment="1" applyBorder="1" applyFont="1" applyNumberFormat="1">
      <alignment horizontal="center"/>
    </xf>
    <xf borderId="46" fillId="2" fontId="9" numFmtId="169" xfId="0" applyAlignment="1" applyBorder="1" applyFont="1" applyNumberFormat="1">
      <alignment horizontal="center"/>
    </xf>
    <xf borderId="4" fillId="2" fontId="9" numFmtId="169" xfId="0" applyAlignment="1" applyBorder="1" applyFont="1" applyNumberFormat="1">
      <alignment horizontal="center"/>
    </xf>
    <xf borderId="67" fillId="2" fontId="8" numFmtId="0" xfId="0" applyAlignment="1" applyBorder="1" applyFont="1">
      <alignment horizontal="left"/>
    </xf>
    <xf borderId="68" fillId="0" fontId="2" numFmtId="0" xfId="0" applyBorder="1" applyFont="1"/>
    <xf borderId="69" fillId="6" fontId="9" numFmtId="0" xfId="0" applyAlignment="1" applyBorder="1" applyFont="1">
      <alignment horizontal="center"/>
    </xf>
    <xf borderId="43" fillId="2" fontId="9" numFmtId="164" xfId="0" applyAlignment="1" applyBorder="1" applyFont="1" applyNumberFormat="1">
      <alignment horizontal="center"/>
    </xf>
    <xf borderId="44" fillId="2" fontId="9" numFmtId="164" xfId="0" applyAlignment="1" applyBorder="1" applyFont="1" applyNumberFormat="1">
      <alignment horizontal="center"/>
    </xf>
    <xf borderId="46" fillId="2" fontId="9" numFmtId="164" xfId="0" applyAlignment="1" applyBorder="1" applyFont="1" applyNumberFormat="1">
      <alignment horizontal="center"/>
    </xf>
    <xf borderId="4" fillId="2" fontId="9" numFmtId="164" xfId="0" applyAlignment="1" applyBorder="1" applyFont="1" applyNumberFormat="1">
      <alignment horizontal="center"/>
    </xf>
    <xf borderId="70" fillId="2" fontId="8" numFmtId="0" xfId="0" applyAlignment="1" applyBorder="1" applyFont="1">
      <alignment horizontal="left"/>
    </xf>
    <xf borderId="71" fillId="0" fontId="2" numFmtId="0" xfId="0" applyBorder="1" applyFont="1"/>
    <xf borderId="72" fillId="6" fontId="9" numFmtId="166" xfId="0" applyAlignment="1" applyBorder="1" applyFont="1" applyNumberFormat="1">
      <alignment horizontal="center"/>
    </xf>
    <xf borderId="46" fillId="2" fontId="9" numFmtId="164" xfId="0" applyBorder="1" applyFont="1" applyNumberFormat="1"/>
    <xf borderId="73" fillId="2" fontId="8" numFmtId="0" xfId="0" applyAlignment="1" applyBorder="1" applyFont="1">
      <alignment horizontal="left"/>
    </xf>
    <xf borderId="74" fillId="0" fontId="2" numFmtId="0" xfId="0" applyBorder="1" applyFont="1"/>
    <xf borderId="75" fillId="6" fontId="9" numFmtId="166" xfId="0" applyAlignment="1" applyBorder="1" applyFont="1" applyNumberFormat="1">
      <alignment horizontal="center"/>
    </xf>
    <xf borderId="58" fillId="2" fontId="9" numFmtId="164" xfId="0" applyAlignment="1" applyBorder="1" applyFont="1" applyNumberFormat="1">
      <alignment horizontal="center"/>
    </xf>
    <xf borderId="41" fillId="2" fontId="9" numFmtId="164" xfId="0" applyBorder="1" applyFont="1" applyNumberFormat="1"/>
    <xf borderId="59" fillId="2" fontId="9" numFmtId="164" xfId="0" applyBorder="1" applyFont="1" applyNumberFormat="1"/>
    <xf borderId="76" fillId="0" fontId="2" numFmtId="0" xfId="0" applyBorder="1" applyFont="1"/>
    <xf borderId="77" fillId="0" fontId="2" numFmtId="0" xfId="0" applyBorder="1" applyFont="1"/>
    <xf borderId="48" fillId="2" fontId="9" numFmtId="164" xfId="0" applyBorder="1" applyFont="1" applyNumberFormat="1"/>
    <xf borderId="63" fillId="2" fontId="9" numFmtId="164" xfId="0" applyBorder="1" applyFont="1" applyNumberFormat="1"/>
    <xf borderId="67" fillId="2" fontId="8" numFmtId="49" xfId="0" applyAlignment="1" applyBorder="1" applyFont="1" applyNumberFormat="1">
      <alignment horizontal="left"/>
    </xf>
    <xf borderId="69" fillId="6" fontId="9" numFmtId="166" xfId="0" applyAlignment="1" applyBorder="1" applyFont="1" applyNumberFormat="1">
      <alignment horizontal="center"/>
    </xf>
    <xf borderId="44" fillId="2" fontId="9" numFmtId="164" xfId="0" applyBorder="1" applyFont="1" applyNumberFormat="1"/>
    <xf borderId="45" fillId="2" fontId="9" numFmtId="0" xfId="0" applyBorder="1" applyFont="1"/>
    <xf borderId="46" fillId="2" fontId="9" numFmtId="164" xfId="0" applyAlignment="1" applyBorder="1" applyFont="1" applyNumberFormat="1">
      <alignment horizontal="right"/>
    </xf>
    <xf borderId="72" fillId="6" fontId="9" numFmtId="0" xfId="0" applyAlignment="1" applyBorder="1" applyFont="1">
      <alignment horizontal="center"/>
    </xf>
    <xf borderId="78" fillId="2" fontId="9" numFmtId="49" xfId="0" applyAlignment="1" applyBorder="1" applyFont="1" applyNumberFormat="1">
      <alignment horizontal="center" vertical="center"/>
    </xf>
    <xf borderId="79" fillId="0" fontId="2" numFmtId="0" xfId="0" applyBorder="1" applyFont="1"/>
    <xf borderId="80" fillId="2" fontId="9" numFmtId="0" xfId="0" applyAlignment="1" applyBorder="1" applyFont="1">
      <alignment horizontal="left" vertical="center"/>
    </xf>
    <xf borderId="81" fillId="0" fontId="2" numFmtId="0" xfId="0" applyBorder="1" applyFont="1"/>
    <xf borderId="82" fillId="6" fontId="9" numFmtId="0" xfId="0" applyAlignment="1" applyBorder="1" applyFont="1">
      <alignment horizontal="center"/>
    </xf>
    <xf borderId="83" fillId="2" fontId="9" numFmtId="0" xfId="0" applyBorder="1" applyFont="1"/>
    <xf borderId="84" fillId="2" fontId="9" numFmtId="0" xfId="0" applyBorder="1" applyFont="1"/>
    <xf borderId="84" fillId="2" fontId="9" numFmtId="164" xfId="0" applyBorder="1" applyFont="1" applyNumberFormat="1"/>
    <xf borderId="85" fillId="2" fontId="9" numFmtId="0" xfId="0" applyBorder="1" applyFont="1"/>
    <xf borderId="86" fillId="2" fontId="9" numFmtId="49" xfId="0" applyAlignment="1" applyBorder="1" applyFont="1" applyNumberFormat="1">
      <alignment horizontal="center" shrinkToFit="0" vertical="center" wrapText="1"/>
    </xf>
    <xf borderId="87" fillId="0" fontId="2" numFmtId="0" xfId="0" applyBorder="1" applyFont="1"/>
    <xf borderId="88" fillId="2" fontId="8" numFmtId="49" xfId="0" applyAlignment="1" applyBorder="1" applyFont="1" applyNumberFormat="1">
      <alignment horizontal="left"/>
    </xf>
    <xf borderId="89" fillId="0" fontId="2" numFmtId="0" xfId="0" applyBorder="1" applyFont="1"/>
    <xf borderId="90" fillId="6" fontId="9" numFmtId="9" xfId="0" applyAlignment="1" applyBorder="1" applyFont="1" applyNumberFormat="1">
      <alignment horizontal="center"/>
    </xf>
    <xf borderId="91" fillId="2" fontId="9" numFmtId="164" xfId="0" applyAlignment="1" applyBorder="1" applyFont="1" applyNumberFormat="1">
      <alignment horizontal="center"/>
    </xf>
    <xf borderId="38" fillId="2" fontId="9" numFmtId="164" xfId="0" applyBorder="1" applyFont="1" applyNumberFormat="1"/>
    <xf borderId="92" fillId="2" fontId="9" numFmtId="164" xfId="0" applyBorder="1" applyFont="1" applyNumberFormat="1"/>
    <xf borderId="93" fillId="0" fontId="2" numFmtId="0" xfId="0" applyBorder="1" applyFont="1"/>
    <xf borderId="94" fillId="0" fontId="2" numFmtId="0" xfId="0" applyBorder="1" applyFont="1"/>
    <xf borderId="72" fillId="6" fontId="9" numFmtId="9" xfId="0" applyAlignment="1" applyBorder="1" applyFont="1" applyNumberFormat="1">
      <alignment horizontal="center"/>
    </xf>
    <xf borderId="42" fillId="2" fontId="9" numFmtId="164" xfId="0" applyBorder="1" applyFont="1" applyNumberFormat="1"/>
    <xf borderId="95" fillId="0" fontId="2" numFmtId="0" xfId="0" applyBorder="1" applyFont="1"/>
    <xf borderId="96" fillId="0" fontId="2" numFmtId="0" xfId="0" applyBorder="1" applyFont="1"/>
    <xf borderId="97" fillId="2" fontId="9" numFmtId="170" xfId="0" applyAlignment="1" applyBorder="1" applyFont="1" applyNumberFormat="1">
      <alignment horizontal="center" vertical="center"/>
    </xf>
    <xf borderId="98" fillId="0" fontId="2" numFmtId="0" xfId="0" applyBorder="1" applyFont="1"/>
    <xf borderId="44" fillId="2" fontId="9" numFmtId="170" xfId="0" applyAlignment="1" applyBorder="1" applyFont="1" applyNumberFormat="1">
      <alignment vertical="center"/>
    </xf>
    <xf borderId="44" fillId="2" fontId="9" numFmtId="9" xfId="0" applyAlignment="1" applyBorder="1" applyFont="1" applyNumberFormat="1">
      <alignment horizontal="center"/>
    </xf>
    <xf borderId="4" fillId="2" fontId="9" numFmtId="164" xfId="0" applyAlignment="1" applyBorder="1" applyFont="1" applyNumberFormat="1">
      <alignment horizontal="right"/>
    </xf>
    <xf borderId="4" fillId="2" fontId="9" numFmtId="170" xfId="0" applyAlignment="1" applyBorder="1" applyFont="1" applyNumberFormat="1">
      <alignment vertical="center"/>
    </xf>
    <xf borderId="4" fillId="2" fontId="9" numFmtId="9" xfId="0" applyAlignment="1" applyBorder="1" applyFont="1" applyNumberFormat="1">
      <alignment horizontal="center"/>
    </xf>
    <xf borderId="80" fillId="2" fontId="8" numFmtId="0" xfId="0" applyAlignment="1" applyBorder="1" applyFont="1">
      <alignment horizontal="left"/>
    </xf>
    <xf borderId="82" fillId="6" fontId="9" numFmtId="9" xfId="0" applyAlignment="1" applyBorder="1" applyFont="1" applyNumberFormat="1">
      <alignment horizontal="center"/>
    </xf>
    <xf borderId="83" fillId="2" fontId="9" numFmtId="164" xfId="0" applyAlignment="1" applyBorder="1" applyFont="1" applyNumberFormat="1">
      <alignment horizontal="center"/>
    </xf>
    <xf borderId="84" fillId="2" fontId="9" numFmtId="164" xfId="0" applyAlignment="1" applyBorder="1" applyFont="1" applyNumberFormat="1">
      <alignment horizontal="right"/>
    </xf>
    <xf borderId="99" fillId="3" fontId="8" numFmtId="164" xfId="0" applyAlignment="1" applyBorder="1" applyFont="1" applyNumberFormat="1">
      <alignment horizontal="center"/>
    </xf>
    <xf borderId="100" fillId="3" fontId="8" numFmtId="164" xfId="0" applyAlignment="1" applyBorder="1" applyFont="1" applyNumberFormat="1">
      <alignment horizontal="center"/>
    </xf>
    <xf borderId="101" fillId="3" fontId="8" numFmtId="164" xfId="0" applyAlignment="1" applyBorder="1" applyFont="1" applyNumberFormat="1">
      <alignment horizontal="center"/>
    </xf>
    <xf borderId="46" fillId="2" fontId="8" numFmtId="164" xfId="0" applyBorder="1" applyFont="1" applyNumberFormat="1"/>
    <xf borderId="4" fillId="2" fontId="8" numFmtId="164" xfId="0" applyBorder="1" applyFont="1" applyNumberFormat="1"/>
    <xf borderId="70" fillId="2" fontId="8" numFmtId="49" xfId="0" applyAlignment="1" applyBorder="1" applyFont="1" applyNumberFormat="1">
      <alignment horizontal="left"/>
    </xf>
    <xf borderId="54" fillId="7" fontId="9" numFmtId="171" xfId="0" applyAlignment="1" applyBorder="1" applyFill="1" applyFont="1" applyNumberFormat="1">
      <alignment horizontal="center"/>
    </xf>
    <xf borderId="23" fillId="7" fontId="9" numFmtId="171" xfId="0" applyAlignment="1" applyBorder="1" applyFont="1" applyNumberFormat="1">
      <alignment horizontal="center"/>
    </xf>
    <xf borderId="46" fillId="2" fontId="9" numFmtId="171" xfId="0" applyBorder="1" applyFont="1" applyNumberFormat="1"/>
    <xf borderId="4" fillId="2" fontId="9" numFmtId="171" xfId="0" applyBorder="1" applyFont="1" applyNumberFormat="1"/>
    <xf borderId="73" fillId="2" fontId="8" numFmtId="49" xfId="0" applyAlignment="1" applyBorder="1" applyFont="1" applyNumberFormat="1">
      <alignment horizontal="left"/>
    </xf>
    <xf borderId="75" fillId="6" fontId="9" numFmtId="9" xfId="0" applyAlignment="1" applyBorder="1" applyFont="1" applyNumberFormat="1">
      <alignment horizontal="center"/>
    </xf>
    <xf borderId="102" fillId="2" fontId="8" numFmtId="164" xfId="0" applyAlignment="1" applyBorder="1" applyFont="1" applyNumberFormat="1">
      <alignment horizontal="center"/>
    </xf>
    <xf borderId="103" fillId="2" fontId="8" numFmtId="164" xfId="0" applyAlignment="1" applyBorder="1" applyFont="1" applyNumberFormat="1">
      <alignment horizontal="center"/>
    </xf>
    <xf borderId="46" fillId="2" fontId="8" numFmtId="164" xfId="0" applyAlignment="1" applyBorder="1" applyFont="1" applyNumberFormat="1">
      <alignment horizontal="center"/>
    </xf>
    <xf borderId="4" fillId="2" fontId="8" numFmtId="164" xfId="0" applyAlignment="1" applyBorder="1" applyFont="1" applyNumberFormat="1">
      <alignment horizontal="center"/>
    </xf>
    <xf borderId="60" fillId="3" fontId="8" numFmtId="164" xfId="0" applyAlignment="1" applyBorder="1" applyFont="1" applyNumberFormat="1">
      <alignment horizontal="center" vertical="center"/>
    </xf>
    <xf borderId="43" fillId="2" fontId="9" numFmtId="0" xfId="0" applyBorder="1" applyFont="1"/>
    <xf borderId="44" fillId="2" fontId="9" numFmtId="0" xfId="0" applyBorder="1" applyFont="1"/>
    <xf borderId="104" fillId="2" fontId="8" numFmtId="49" xfId="0" applyAlignment="1" applyBorder="1" applyFont="1" applyNumberFormat="1">
      <alignment horizontal="left"/>
    </xf>
    <xf borderId="105" fillId="0" fontId="2" numFmtId="0" xfId="0" applyBorder="1" applyFont="1"/>
    <xf borderId="41" fillId="2" fontId="8" numFmtId="164" xfId="0" applyAlignment="1" applyBorder="1" applyFont="1" applyNumberFormat="1">
      <alignment horizontal="center" vertical="center"/>
    </xf>
    <xf borderId="67" fillId="2" fontId="8" numFmtId="0" xfId="0" applyAlignment="1" applyBorder="1" applyFont="1">
      <alignment horizontal="right"/>
    </xf>
    <xf borderId="106" fillId="0" fontId="2" numFmtId="0" xfId="0" applyBorder="1" applyFont="1"/>
    <xf borderId="107" fillId="2" fontId="8" numFmtId="172" xfId="0" applyAlignment="1" applyBorder="1" applyFont="1" applyNumberFormat="1">
      <alignment horizontal="center" vertical="center"/>
    </xf>
    <xf borderId="108" fillId="2" fontId="8" numFmtId="49" xfId="0" applyAlignment="1" applyBorder="1" applyFont="1" applyNumberFormat="1">
      <alignment horizontal="center"/>
    </xf>
    <xf borderId="109" fillId="2" fontId="8" numFmtId="0" xfId="0" applyBorder="1" applyFont="1"/>
    <xf borderId="110" fillId="2" fontId="8" numFmtId="0" xfId="0" applyBorder="1" applyFont="1"/>
    <xf borderId="73" fillId="2" fontId="8" numFmtId="49" xfId="0" applyAlignment="1" applyBorder="1" applyFont="1" applyNumberFormat="1">
      <alignment horizontal="center"/>
    </xf>
    <xf borderId="111" fillId="3" fontId="8" numFmtId="168" xfId="0" applyAlignment="1" applyBorder="1" applyFont="1" applyNumberFormat="1">
      <alignment horizontal="center" vertical="center"/>
    </xf>
    <xf borderId="46" fillId="2" fontId="9" numFmtId="49" xfId="0" applyBorder="1" applyFont="1" applyNumberFormat="1"/>
    <xf borderId="112" fillId="2" fontId="8" numFmtId="0" xfId="0" applyAlignment="1" applyBorder="1" applyFont="1">
      <alignment horizontal="center"/>
    </xf>
    <xf borderId="31" fillId="2" fontId="9" numFmtId="164" xfId="0" applyBorder="1" applyFont="1" applyNumberFormat="1"/>
    <xf borderId="113" fillId="2" fontId="9" numFmtId="164" xfId="0" applyBorder="1" applyFont="1" applyNumberFormat="1"/>
    <xf borderId="44" fillId="2" fontId="8" numFmtId="0" xfId="0" applyAlignment="1" applyBorder="1" applyFont="1">
      <alignment horizontal="left"/>
    </xf>
    <xf borderId="44" fillId="2" fontId="8" numFmtId="0" xfId="0" applyAlignment="1" applyBorder="1" applyFont="1">
      <alignment horizontal="center"/>
    </xf>
    <xf borderId="44" fillId="2" fontId="8" numFmtId="168" xfId="0" applyAlignment="1" applyBorder="1" applyFont="1" applyNumberFormat="1">
      <alignment horizontal="center" vertical="center"/>
    </xf>
    <xf borderId="41" fillId="2" fontId="8" numFmtId="168" xfId="0" applyAlignment="1" applyBorder="1" applyFont="1" applyNumberFormat="1">
      <alignment horizontal="center" vertical="center"/>
    </xf>
    <xf borderId="43" fillId="2" fontId="8" numFmtId="0" xfId="0" applyBorder="1" applyFont="1"/>
    <xf borderId="44" fillId="2" fontId="9" numFmtId="173" xfId="0" applyBorder="1" applyFont="1" applyNumberFormat="1"/>
    <xf borderId="44" fillId="2" fontId="8" numFmtId="164" xfId="0" applyAlignment="1" applyBorder="1" applyFont="1" applyNumberFormat="1">
      <alignment horizontal="right"/>
    </xf>
    <xf borderId="45" fillId="2" fontId="8" numFmtId="164" xfId="0" applyAlignment="1" applyBorder="1" applyFont="1" applyNumberFormat="1">
      <alignment horizontal="center" vertical="center"/>
    </xf>
    <xf borderId="58" fillId="2" fontId="8" numFmtId="0" xfId="0" applyBorder="1" applyFont="1"/>
    <xf borderId="59" fillId="2" fontId="8" numFmtId="168" xfId="0" applyAlignment="1" applyBorder="1" applyFont="1" applyNumberFormat="1">
      <alignment horizontal="center" vertical="center"/>
    </xf>
    <xf borderId="60" fillId="2" fontId="8" numFmtId="49" xfId="0" applyAlignment="1" applyBorder="1" applyFont="1" applyNumberFormat="1">
      <alignment horizontal="center"/>
    </xf>
    <xf borderId="114" fillId="3" fontId="8" numFmtId="165" xfId="0" applyAlignment="1" applyBorder="1" applyFont="1" applyNumberFormat="1">
      <alignment horizontal="center" vertical="center"/>
    </xf>
    <xf borderId="8" fillId="2" fontId="9" numFmtId="49" xfId="0" applyAlignment="1" applyBorder="1" applyFont="1" applyNumberFormat="1">
      <alignment horizontal="left" vertical="center"/>
    </xf>
    <xf borderId="41" fillId="2" fontId="8" numFmtId="49" xfId="0" applyAlignment="1" applyBorder="1" applyFont="1" applyNumberFormat="1">
      <alignment horizontal="left"/>
    </xf>
    <xf borderId="41" fillId="2" fontId="8" numFmtId="0" xfId="0" applyAlignment="1" applyBorder="1" applyFont="1">
      <alignment horizontal="left"/>
    </xf>
    <xf borderId="41" fillId="2" fontId="9" numFmtId="0" xfId="0" applyAlignment="1" applyBorder="1" applyFont="1">
      <alignment horizontal="center"/>
    </xf>
    <xf borderId="43" fillId="2" fontId="8" numFmtId="0" xfId="0" applyAlignment="1" applyBorder="1" applyFont="1">
      <alignment horizontal="left"/>
    </xf>
    <xf borderId="44" fillId="2" fontId="9" numFmtId="0" xfId="0" applyAlignment="1" applyBorder="1" applyFont="1">
      <alignment horizontal="center"/>
    </xf>
    <xf borderId="53" fillId="2" fontId="9" numFmtId="0" xfId="0" applyBorder="1" applyFont="1"/>
    <xf borderId="115" fillId="2" fontId="8" numFmtId="0" xfId="0" applyAlignment="1" applyBorder="1" applyFont="1">
      <alignment horizontal="center"/>
    </xf>
    <xf borderId="116" fillId="2" fontId="9" numFmtId="164" xfId="0" applyBorder="1" applyFont="1" applyNumberFormat="1"/>
    <xf borderId="117" fillId="2" fontId="9" numFmtId="164" xfId="0" applyBorder="1" applyFont="1" applyNumberFormat="1"/>
    <xf borderId="4" fillId="2" fontId="8" numFmtId="0" xfId="0" applyBorder="1" applyFont="1"/>
    <xf borderId="46" fillId="2" fontId="8" numFmtId="49" xfId="0" applyAlignment="1" applyBorder="1" applyFont="1" applyNumberFormat="1">
      <alignment horizontal="right"/>
    </xf>
    <xf borderId="4" fillId="2" fontId="8" numFmtId="10" xfId="0" applyAlignment="1" applyBorder="1" applyFont="1" applyNumberFormat="1">
      <alignment horizontal="left"/>
    </xf>
    <xf borderId="4" fillId="2" fontId="9" numFmtId="9" xfId="0" applyAlignment="1" applyBorder="1" applyFont="1" applyNumberFormat="1">
      <alignment horizontal="right"/>
    </xf>
    <xf borderId="4" fillId="2" fontId="8" numFmtId="10" xfId="0" applyAlignment="1" applyBorder="1" applyFont="1" applyNumberFormat="1">
      <alignment horizontal="center"/>
    </xf>
    <xf borderId="53" fillId="2" fontId="9" numFmtId="9" xfId="0" applyBorder="1" applyFont="1" applyNumberFormat="1"/>
    <xf borderId="118" fillId="2" fontId="8" numFmtId="49" xfId="0" applyAlignment="1" applyBorder="1" applyFont="1" applyNumberFormat="1">
      <alignment horizontal="center"/>
    </xf>
    <xf borderId="119" fillId="2" fontId="8" numFmtId="49" xfId="0" applyAlignment="1" applyBorder="1" applyFont="1" applyNumberFormat="1">
      <alignment horizontal="center"/>
    </xf>
    <xf borderId="43" fillId="2" fontId="9" numFmtId="164" xfId="0" applyBorder="1" applyFont="1" applyNumberFormat="1"/>
    <xf borderId="56" fillId="3" fontId="8" numFmtId="174" xfId="0" applyBorder="1" applyFont="1" applyNumberFormat="1"/>
    <xf borderId="57" fillId="3" fontId="8" numFmtId="175" xfId="0" applyBorder="1" applyFont="1" applyNumberFormat="1"/>
    <xf borderId="4" fillId="2" fontId="9" numFmtId="49" xfId="0" applyBorder="1" applyFont="1" applyNumberFormat="1"/>
    <xf borderId="46" fillId="2" fontId="8" numFmtId="0" xfId="0" applyAlignment="1" applyBorder="1" applyFont="1">
      <alignment horizontal="right"/>
    </xf>
    <xf borderId="4" fillId="2" fontId="8" numFmtId="164" xfId="0" applyAlignment="1" applyBorder="1" applyFont="1" applyNumberFormat="1">
      <alignment horizontal="left"/>
    </xf>
    <xf borderId="46" fillId="2" fontId="9" numFmtId="10" xfId="0" applyBorder="1" applyFont="1" applyNumberFormat="1"/>
    <xf borderId="4" fillId="2" fontId="8" numFmtId="173" xfId="0" applyAlignment="1" applyBorder="1" applyFont="1" applyNumberFormat="1">
      <alignment horizontal="left"/>
    </xf>
    <xf borderId="8" fillId="2" fontId="9" numFmtId="49" xfId="0" applyAlignment="1" applyBorder="1" applyFont="1" applyNumberFormat="1">
      <alignment horizontal="left"/>
    </xf>
    <xf borderId="64" fillId="2" fontId="8" numFmtId="0" xfId="0" applyAlignment="1" applyBorder="1" applyFont="1">
      <alignment horizontal="center"/>
    </xf>
    <xf borderId="66" fillId="3" fontId="8" numFmtId="10" xfId="0" applyBorder="1" applyFont="1" applyNumberFormat="1"/>
    <xf borderId="44" fillId="2" fontId="9" numFmtId="10" xfId="0" applyBorder="1" applyFont="1" applyNumberFormat="1"/>
    <xf borderId="43" fillId="2" fontId="8" numFmtId="49" xfId="0" applyBorder="1" applyFont="1" applyNumberFormat="1"/>
    <xf borderId="44" fillId="2" fontId="8" numFmtId="9" xfId="0" applyAlignment="1" applyBorder="1" applyFont="1" applyNumberFormat="1">
      <alignment horizontal="center" vertical="center"/>
    </xf>
    <xf borderId="45" fillId="2" fontId="9" numFmtId="0" xfId="0" applyAlignment="1" applyBorder="1" applyFont="1">
      <alignment horizontal="center"/>
    </xf>
    <xf borderId="46" fillId="2" fontId="8" numFmtId="49" xfId="0" applyBorder="1" applyFont="1" applyNumberFormat="1"/>
    <xf borderId="4" fillId="2" fontId="8" numFmtId="9" xfId="0" applyAlignment="1" applyBorder="1" applyFont="1" applyNumberFormat="1">
      <alignment horizontal="center" vertical="center"/>
    </xf>
    <xf borderId="46" fillId="2" fontId="8" numFmtId="0" xfId="0" applyBorder="1" applyFont="1"/>
    <xf borderId="4" fillId="2" fontId="8" numFmtId="0" xfId="0" applyAlignment="1" applyBorder="1" applyFont="1">
      <alignment horizontal="center" vertical="center"/>
    </xf>
    <xf borderId="42" fillId="2" fontId="8" numFmtId="0" xfId="0" applyBorder="1" applyFont="1"/>
    <xf borderId="4" fillId="2" fontId="9" numFmtId="176" xfId="0" applyAlignment="1" applyBorder="1" applyFont="1" applyNumberFormat="1">
      <alignment horizontal="right"/>
    </xf>
    <xf borderId="4" fillId="2" fontId="9" numFmtId="176" xfId="0" applyBorder="1" applyFont="1" applyNumberFormat="1"/>
    <xf borderId="42" fillId="2" fontId="9" numFmtId="176" xfId="0" applyBorder="1" applyFont="1" applyNumberFormat="1"/>
    <xf borderId="4" fillId="2" fontId="9" numFmtId="0" xfId="0" applyAlignment="1" applyBorder="1" applyFont="1">
      <alignment horizontal="right"/>
    </xf>
    <xf borderId="4" fillId="2" fontId="9" numFmtId="10" xfId="0" applyBorder="1" applyFont="1" applyNumberFormat="1"/>
    <xf borderId="4" fillId="2" fontId="9" numFmtId="0" xfId="0" applyAlignment="1" applyBorder="1" applyFont="1">
      <alignment shrinkToFit="0" vertical="center" wrapText="1"/>
    </xf>
    <xf borderId="64" fillId="2" fontId="8" numFmtId="49" xfId="0" applyBorder="1" applyFont="1" applyNumberFormat="1"/>
    <xf borderId="4" fillId="2" fontId="9" numFmtId="0" xfId="0" applyAlignment="1" applyBorder="1" applyFont="1">
      <alignment shrinkToFit="0" wrapText="1"/>
    </xf>
    <xf borderId="120" fillId="2" fontId="9" numFmtId="0" xfId="0" applyAlignment="1" applyBorder="1" applyFont="1">
      <alignment horizontal="left" shrinkToFit="0" vertical="center" wrapText="1"/>
    </xf>
    <xf borderId="121" fillId="0" fontId="2" numFmtId="0" xfId="0" applyBorder="1" applyFont="1"/>
    <xf borderId="122" fillId="0" fontId="2" numFmtId="0" xfId="0" applyBorder="1" applyFont="1"/>
    <xf borderId="123" fillId="0" fontId="2" numFmtId="0" xfId="0" applyBorder="1" applyFont="1"/>
    <xf borderId="124" fillId="0" fontId="2" numFmtId="0" xfId="0" applyBorder="1" applyFont="1"/>
    <xf borderId="125" fillId="0" fontId="2" numFmtId="0" xfId="0" applyBorder="1" applyFont="1"/>
    <xf borderId="4" fillId="2" fontId="8" numFmtId="10" xfId="0" applyBorder="1" applyFont="1" applyNumberFormat="1"/>
    <xf borderId="4" fillId="2" fontId="9" numFmtId="0" xfId="0" applyAlignment="1" applyBorder="1" applyFont="1">
      <alignment shrinkToFit="0" vertical="top" wrapText="1"/>
    </xf>
    <xf borderId="31" fillId="2" fontId="9" numFmtId="49" xfId="0" applyBorder="1" applyFont="1" applyNumberFormat="1"/>
    <xf borderId="126" fillId="2" fontId="9" numFmtId="49" xfId="0" applyBorder="1" applyFont="1" applyNumberFormat="1"/>
    <xf borderId="127" fillId="2" fontId="9" numFmtId="0" xfId="0" applyBorder="1" applyFont="1"/>
    <xf borderId="31" fillId="2" fontId="9" numFmtId="0" xfId="0" applyBorder="1" applyFont="1"/>
    <xf borderId="31" fillId="2" fontId="8" numFmtId="0" xfId="0" applyAlignment="1" applyBorder="1" applyFont="1">
      <alignment horizontal="right"/>
    </xf>
    <xf borderId="38" fillId="2" fontId="6" numFmtId="49" xfId="0" applyAlignment="1" applyBorder="1" applyFont="1" applyNumberFormat="1">
      <alignment vertical="center"/>
    </xf>
    <xf borderId="4" fillId="2" fontId="9" numFmtId="49" xfId="0" applyAlignment="1" applyBorder="1" applyFont="1" applyNumberFormat="1">
      <alignment shrinkToFit="0" vertical="center" wrapText="1"/>
    </xf>
    <xf borderId="48" fillId="2" fontId="8" numFmtId="49" xfId="0" applyBorder="1" applyFont="1" applyNumberFormat="1"/>
    <xf borderId="63" fillId="2" fontId="9" numFmtId="0" xfId="0" applyBorder="1" applyFont="1"/>
    <xf borderId="49" fillId="2" fontId="9" numFmtId="0" xfId="0" applyBorder="1" applyFont="1"/>
    <xf borderId="44" fillId="2" fontId="9" numFmtId="49" xfId="0" applyBorder="1" applyFont="1" applyNumberFormat="1"/>
    <xf borderId="45" fillId="2" fontId="9" numFmtId="49" xfId="0" applyBorder="1" applyFont="1" applyNumberFormat="1"/>
    <xf borderId="42" fillId="2" fontId="9" numFmtId="10" xfId="0" applyBorder="1" applyFont="1" applyNumberFormat="1"/>
    <xf borderId="4" fillId="2" fontId="9" numFmtId="169" xfId="0" applyBorder="1" applyFont="1" applyNumberFormat="1"/>
    <xf borderId="4" fillId="2" fontId="8" numFmtId="49" xfId="0" applyAlignment="1" applyBorder="1" applyFont="1" applyNumberFormat="1">
      <alignment horizontal="right"/>
    </xf>
    <xf borderId="4" fillId="2" fontId="9" numFmtId="174" xfId="0" applyBorder="1" applyFont="1" applyNumberFormat="1"/>
    <xf borderId="128" fillId="2" fontId="8" numFmtId="49" xfId="0" applyAlignment="1" applyBorder="1" applyFont="1" applyNumberFormat="1">
      <alignment horizontal="center"/>
    </xf>
    <xf borderId="129" fillId="2" fontId="8" numFmtId="49" xfId="0" applyBorder="1" applyFont="1" applyNumberFormat="1"/>
    <xf borderId="130" fillId="2" fontId="8" numFmtId="49" xfId="0" applyBorder="1" applyFont="1" applyNumberFormat="1"/>
    <xf borderId="131" fillId="3" fontId="9" numFmtId="164" xfId="0" applyBorder="1" applyFont="1" applyNumberFormat="1"/>
    <xf borderId="101" fillId="3" fontId="9" numFmtId="164" xfId="0" applyBorder="1" applyFont="1" applyNumberFormat="1"/>
    <xf borderId="132" fillId="2" fontId="8" numFmtId="49" xfId="0" applyBorder="1" applyFont="1" applyNumberFormat="1"/>
    <xf borderId="133" fillId="3" fontId="9" numFmtId="164" xfId="0" applyBorder="1" applyFont="1" applyNumberFormat="1"/>
    <xf borderId="55" fillId="3" fontId="9" numFmtId="164" xfId="0" applyBorder="1" applyFont="1" applyNumberFormat="1"/>
    <xf borderId="134" fillId="2" fontId="8" numFmtId="49" xfId="0" applyBorder="1" applyFont="1" applyNumberFormat="1"/>
    <xf borderId="135" fillId="3" fontId="9" numFmtId="164" xfId="0" applyBorder="1" applyFont="1" applyNumberFormat="1"/>
    <xf borderId="57" fillId="3" fontId="9" numFmtId="164" xfId="0" applyBorder="1" applyFont="1" applyNumberFormat="1"/>
    <xf borderId="136" fillId="2" fontId="8" numFmtId="0" xfId="0" applyBorder="1" applyFont="1"/>
    <xf borderId="137" fillId="2" fontId="9" numFmtId="169" xfId="0" applyAlignment="1" applyBorder="1" applyFont="1" applyNumberFormat="1">
      <alignment horizontal="center"/>
    </xf>
    <xf borderId="63" fillId="2" fontId="9" numFmtId="169" xfId="0" applyAlignment="1" applyBorder="1" applyFont="1" applyNumberFormat="1">
      <alignment horizontal="center"/>
    </xf>
    <xf borderId="138" fillId="2" fontId="9" numFmtId="169" xfId="0" applyAlignment="1" applyBorder="1" applyFont="1" applyNumberFormat="1">
      <alignment horizontal="center"/>
    </xf>
    <xf borderId="49" fillId="2" fontId="9" numFmtId="169" xfId="0" applyAlignment="1" applyBorder="1" applyFont="1" applyNumberFormat="1">
      <alignment horizontal="center"/>
    </xf>
    <xf borderId="139" fillId="2" fontId="8" numFmtId="0" xfId="0" applyBorder="1" applyFont="1"/>
    <xf borderId="69" fillId="6" fontId="9" numFmtId="177" xfId="0" applyAlignment="1" applyBorder="1" applyFont="1" applyNumberFormat="1">
      <alignment horizontal="center"/>
    </xf>
    <xf borderId="45" fillId="2" fontId="9" numFmtId="164" xfId="0" applyAlignment="1" applyBorder="1" applyFont="1" applyNumberFormat="1">
      <alignment horizontal="center"/>
    </xf>
    <xf borderId="30" fillId="2" fontId="8" numFmtId="0" xfId="0" applyBorder="1" applyFont="1"/>
    <xf borderId="72" fillId="6" fontId="9" numFmtId="177" xfId="0" applyAlignment="1" applyBorder="1" applyFont="1" applyNumberFormat="1">
      <alignment horizontal="center"/>
    </xf>
    <xf borderId="42" fillId="2" fontId="9" numFmtId="164" xfId="0" applyAlignment="1" applyBorder="1" applyFont="1" applyNumberFormat="1">
      <alignment horizontal="center"/>
    </xf>
    <xf borderId="58" fillId="2" fontId="8" numFmtId="49" xfId="0" applyBorder="1" applyFont="1" applyNumberFormat="1"/>
    <xf borderId="140" fillId="2" fontId="8" numFmtId="0" xfId="0" applyBorder="1" applyFont="1"/>
    <xf borderId="75" fillId="6" fontId="9" numFmtId="177" xfId="0" applyAlignment="1" applyBorder="1" applyFont="1" applyNumberFormat="1">
      <alignment horizontal="center"/>
    </xf>
    <xf borderId="41" fillId="2" fontId="9" numFmtId="164" xfId="0" applyAlignment="1" applyBorder="1" applyFont="1" applyNumberFormat="1">
      <alignment horizontal="center"/>
    </xf>
    <xf borderId="59" fillId="2" fontId="9" numFmtId="164" xfId="0" applyAlignment="1" applyBorder="1" applyFont="1" applyNumberFormat="1">
      <alignment horizontal="center"/>
    </xf>
    <xf borderId="63" fillId="2" fontId="8" numFmtId="0" xfId="0" applyBorder="1" applyFont="1"/>
    <xf borderId="49" fillId="2" fontId="8" numFmtId="0" xfId="0" applyBorder="1" applyFont="1"/>
    <xf borderId="63" fillId="2" fontId="9" numFmtId="164" xfId="0" applyAlignment="1" applyBorder="1" applyFont="1" applyNumberFormat="1">
      <alignment horizontal="center"/>
    </xf>
    <xf borderId="49" fillId="2" fontId="9" numFmtId="164" xfId="0" applyAlignment="1" applyBorder="1" applyFont="1" applyNumberFormat="1">
      <alignment horizontal="center"/>
    </xf>
    <xf borderId="42" fillId="2" fontId="9" numFmtId="164" xfId="0" applyAlignment="1" applyBorder="1" applyFont="1" applyNumberFormat="1">
      <alignment horizontal="right"/>
    </xf>
    <xf borderId="128" fillId="2" fontId="9" numFmtId="49" xfId="0" applyAlignment="1" applyBorder="1" applyFont="1" applyNumberFormat="1">
      <alignment vertical="center"/>
    </xf>
    <xf borderId="129" fillId="2" fontId="9" numFmtId="0" xfId="0" applyAlignment="1" applyBorder="1" applyFont="1">
      <alignment vertical="center"/>
    </xf>
    <xf borderId="83" fillId="2" fontId="9" numFmtId="0" xfId="0" applyAlignment="1" applyBorder="1" applyFont="1">
      <alignment vertical="center"/>
    </xf>
    <xf borderId="141" fillId="2" fontId="9" numFmtId="0" xfId="0" applyAlignment="1" applyBorder="1" applyFont="1">
      <alignment vertical="center"/>
    </xf>
    <xf borderId="83" fillId="2" fontId="9" numFmtId="164" xfId="0" applyAlignment="1" applyBorder="1" applyFont="1" applyNumberFormat="1">
      <alignment horizontal="right"/>
    </xf>
    <xf borderId="85" fillId="2" fontId="9" numFmtId="164" xfId="0" applyAlignment="1" applyBorder="1" applyFont="1" applyNumberFormat="1">
      <alignment horizontal="right"/>
    </xf>
    <xf borderId="91" fillId="2" fontId="9" numFmtId="49" xfId="0" applyAlignment="1" applyBorder="1" applyFont="1" applyNumberFormat="1">
      <alignment shrinkToFit="0" vertical="center" wrapText="1"/>
    </xf>
    <xf borderId="92" fillId="2" fontId="9" numFmtId="49" xfId="0" applyAlignment="1" applyBorder="1" applyFont="1" applyNumberFormat="1">
      <alignment vertical="center"/>
    </xf>
    <xf borderId="91" fillId="2" fontId="8" numFmtId="49" xfId="0" applyBorder="1" applyFont="1" applyNumberFormat="1"/>
    <xf borderId="142" fillId="2" fontId="8" numFmtId="0" xfId="0" applyBorder="1" applyFont="1"/>
    <xf borderId="91" fillId="2" fontId="9" numFmtId="164" xfId="0" applyAlignment="1" applyBorder="1" applyFont="1" applyNumberFormat="1">
      <alignment horizontal="right"/>
    </xf>
    <xf borderId="38" fillId="2" fontId="9" numFmtId="164" xfId="0" applyAlignment="1" applyBorder="1" applyFont="1" applyNumberFormat="1">
      <alignment horizontal="right"/>
    </xf>
    <xf borderId="92" fillId="2" fontId="9" numFmtId="164" xfId="0" applyAlignment="1" applyBorder="1" applyFont="1" applyNumberFormat="1">
      <alignment horizontal="right"/>
    </xf>
    <xf borderId="4" fillId="2" fontId="9" numFmtId="171" xfId="0" applyAlignment="1" applyBorder="1" applyFont="1" applyNumberFormat="1">
      <alignment horizontal="center"/>
    </xf>
    <xf borderId="46" fillId="2" fontId="9" numFmtId="0" xfId="0" applyAlignment="1" applyBorder="1" applyFont="1">
      <alignment shrinkToFit="0" vertical="center" wrapText="1"/>
    </xf>
    <xf borderId="42" fillId="2" fontId="9" numFmtId="0" xfId="0" applyAlignment="1" applyBorder="1" applyFont="1">
      <alignment vertical="center"/>
    </xf>
    <xf borderId="83" fillId="2" fontId="9" numFmtId="0" xfId="0" applyAlignment="1" applyBorder="1" applyFont="1">
      <alignment shrinkToFit="0" vertical="center" wrapText="1"/>
    </xf>
    <xf borderId="85" fillId="2" fontId="9" numFmtId="0" xfId="0" applyAlignment="1" applyBorder="1" applyFont="1">
      <alignment vertical="center"/>
    </xf>
    <xf borderId="91" fillId="2" fontId="9" numFmtId="170" xfId="0" applyAlignment="1" applyBorder="1" applyFont="1" applyNumberFormat="1">
      <alignment vertical="center"/>
    </xf>
    <xf borderId="92" fillId="2" fontId="9" numFmtId="9" xfId="0" applyAlignment="1" applyBorder="1" applyFont="1" applyNumberFormat="1">
      <alignment horizontal="center"/>
    </xf>
    <xf borderId="46" fillId="2" fontId="9" numFmtId="170" xfId="0" applyAlignment="1" applyBorder="1" applyFont="1" applyNumberFormat="1">
      <alignment vertical="center"/>
    </xf>
    <xf borderId="42" fillId="2" fontId="9" numFmtId="9" xfId="0" applyAlignment="1" applyBorder="1" applyFont="1" applyNumberFormat="1">
      <alignment horizontal="center"/>
    </xf>
    <xf borderId="83" fillId="2" fontId="8" numFmtId="0" xfId="0" applyBorder="1" applyFont="1"/>
    <xf borderId="141" fillId="2" fontId="8" numFmtId="0" xfId="0" applyBorder="1" applyFont="1"/>
    <xf borderId="90" fillId="6" fontId="9" numFmtId="167" xfId="0" applyBorder="1" applyFont="1" applyNumberFormat="1"/>
    <xf borderId="143" fillId="2" fontId="8" numFmtId="164" xfId="0" applyAlignment="1" applyBorder="1" applyFont="1" applyNumberFormat="1">
      <alignment horizontal="center"/>
    </xf>
    <xf borderId="144" fillId="2" fontId="8" numFmtId="164" xfId="0" applyAlignment="1" applyBorder="1" applyFont="1" applyNumberFormat="1">
      <alignment horizontal="center"/>
    </xf>
    <xf borderId="145" fillId="2" fontId="8" numFmtId="164" xfId="0" applyAlignment="1" applyBorder="1" applyFont="1" applyNumberFormat="1">
      <alignment horizontal="center"/>
    </xf>
    <xf borderId="46" fillId="2" fontId="9" numFmtId="167" xfId="0" applyBorder="1" applyFont="1" applyNumberFormat="1"/>
    <xf borderId="59" fillId="2" fontId="9" numFmtId="9" xfId="0" applyBorder="1" applyFont="1" applyNumberFormat="1"/>
    <xf borderId="58" fillId="2" fontId="9" numFmtId="170" xfId="0" applyAlignment="1" applyBorder="1" applyFont="1" applyNumberFormat="1">
      <alignment vertical="center"/>
    </xf>
    <xf borderId="59" fillId="2" fontId="9" numFmtId="9" xfId="0" applyAlignment="1" applyBorder="1" applyFont="1" applyNumberFormat="1">
      <alignment horizontal="center"/>
    </xf>
    <xf borderId="72" fillId="2" fontId="9" numFmtId="9" xfId="0" applyAlignment="1" applyBorder="1" applyFont="1" applyNumberFormat="1">
      <alignment horizontal="center"/>
    </xf>
    <xf borderId="55" fillId="7" fontId="9" numFmtId="171" xfId="0" applyAlignment="1" applyBorder="1" applyFont="1" applyNumberFormat="1">
      <alignment horizontal="center"/>
    </xf>
    <xf borderId="44" fillId="2" fontId="9" numFmtId="9" xfId="0" applyBorder="1" applyFont="1" applyNumberFormat="1"/>
    <xf borderId="146" fillId="2" fontId="8" numFmtId="164" xfId="0" applyAlignment="1" applyBorder="1" applyFont="1" applyNumberFormat="1">
      <alignment horizontal="center"/>
    </xf>
    <xf borderId="64" fillId="3" fontId="8" numFmtId="164" xfId="0" applyAlignment="1" applyBorder="1" applyFont="1" applyNumberFormat="1">
      <alignment vertical="center"/>
    </xf>
    <xf borderId="66" fillId="3" fontId="8" numFmtId="164" xfId="0" applyAlignment="1" applyBorder="1" applyFont="1" applyNumberFormat="1">
      <alignment vertical="center"/>
    </xf>
    <xf borderId="44" fillId="2" fontId="9" numFmtId="167" xfId="0" applyBorder="1" applyFont="1" applyNumberFormat="1"/>
    <xf borderId="44" fillId="2" fontId="8" numFmtId="0" xfId="0" applyBorder="1" applyFont="1"/>
    <xf borderId="147" fillId="2" fontId="8" numFmtId="172" xfId="0" applyAlignment="1" applyBorder="1" applyFont="1" applyNumberFormat="1">
      <alignment vertical="center"/>
    </xf>
    <xf borderId="129" fillId="2" fontId="8" numFmtId="172" xfId="0" applyAlignment="1" applyBorder="1" applyFont="1" applyNumberFormat="1">
      <alignment vertical="center"/>
    </xf>
    <xf borderId="108" fillId="2" fontId="8" numFmtId="49" xfId="0" applyBorder="1" applyFont="1" applyNumberFormat="1"/>
    <xf borderId="109" fillId="2" fontId="8" numFmtId="49" xfId="0" applyBorder="1" applyFont="1" applyNumberFormat="1"/>
    <xf borderId="110" fillId="2" fontId="8" numFmtId="49" xfId="0" applyBorder="1" applyFont="1" applyNumberFormat="1"/>
    <xf borderId="148" fillId="3" fontId="8" numFmtId="168" xfId="0" applyAlignment="1" applyBorder="1" applyFont="1" applyNumberFormat="1">
      <alignment vertical="center"/>
    </xf>
    <xf borderId="149" fillId="3" fontId="8" numFmtId="168" xfId="0" applyAlignment="1" applyBorder="1" applyFont="1" applyNumberFormat="1">
      <alignment vertical="center"/>
    </xf>
    <xf borderId="31" fillId="3" fontId="9" numFmtId="164" xfId="0" applyBorder="1" applyFont="1" applyNumberFormat="1"/>
    <xf borderId="46" fillId="2" fontId="9" numFmtId="0" xfId="0" applyAlignment="1" applyBorder="1" applyFont="1">
      <alignment horizontal="left"/>
    </xf>
    <xf borderId="113" fillId="3" fontId="9" numFmtId="164" xfId="0" applyBorder="1" applyFont="1" applyNumberFormat="1"/>
    <xf borderId="44" fillId="2" fontId="8" numFmtId="164" xfId="0" applyBorder="1" applyFont="1" applyNumberFormat="1"/>
    <xf borderId="45" fillId="2" fontId="8" numFmtId="168" xfId="0" applyAlignment="1" applyBorder="1" applyFont="1" applyNumberFormat="1">
      <alignment horizontal="center" vertical="center"/>
    </xf>
    <xf borderId="150" fillId="3" fontId="8" numFmtId="165" xfId="0" applyAlignment="1" applyBorder="1" applyFont="1" applyNumberFormat="1">
      <alignment vertical="center"/>
    </xf>
    <xf borderId="66" fillId="3" fontId="8" numFmtId="165" xfId="0" applyAlignment="1" applyBorder="1" applyFont="1" applyNumberFormat="1">
      <alignment vertical="center"/>
    </xf>
    <xf borderId="4" fillId="2" fontId="9" numFmtId="49" xfId="0" applyAlignment="1" applyBorder="1" applyFont="1" applyNumberFormat="1">
      <alignment vertical="center"/>
    </xf>
    <xf borderId="4" fillId="2" fontId="9" numFmtId="0" xfId="0" applyAlignment="1" applyBorder="1" applyFont="1">
      <alignment vertical="center"/>
    </xf>
    <xf borderId="46" fillId="2" fontId="8" numFmtId="49" xfId="0" applyAlignment="1" applyBorder="1" applyFont="1" applyNumberFormat="1">
      <alignment horizontal="left"/>
    </xf>
    <xf borderId="4" fillId="2" fontId="8" numFmtId="0" xfId="0" applyAlignment="1" applyBorder="1" applyFont="1">
      <alignment horizontal="left"/>
    </xf>
    <xf borderId="4" fillId="2" fontId="8" numFmtId="49" xfId="0" applyAlignment="1" applyBorder="1" applyFont="1" applyNumberFormat="1">
      <alignment horizontal="center"/>
    </xf>
    <xf borderId="46" fillId="2" fontId="8" numFmtId="0" xfId="0" applyAlignment="1" applyBorder="1" applyFont="1">
      <alignment horizontal="left"/>
    </xf>
    <xf borderId="64" fillId="2" fontId="8" numFmtId="49" xfId="0" applyAlignment="1" applyBorder="1" applyFont="1" applyNumberFormat="1">
      <alignment horizontal="center"/>
    </xf>
    <xf borderId="4" fillId="2" fontId="9" numFmtId="49" xfId="0" applyAlignment="1" applyBorder="1" applyFont="1" applyNumberFormat="1">
      <alignment shrinkToFit="0" wrapText="1"/>
    </xf>
    <xf borderId="43" fillId="2" fontId="8" numFmtId="0" xfId="0" applyAlignment="1" applyBorder="1" applyFont="1">
      <alignment shrinkToFit="0" vertical="center" wrapText="1"/>
    </xf>
    <xf borderId="44" fillId="2" fontId="8" numFmtId="0" xfId="0" applyAlignment="1" applyBorder="1" applyFont="1">
      <alignment shrinkToFit="0" vertical="center" wrapText="1"/>
    </xf>
    <xf borderId="45" fillId="2" fontId="8" numFmtId="0" xfId="0" applyAlignment="1" applyBorder="1" applyFont="1">
      <alignment shrinkToFit="0" vertical="center" wrapText="1"/>
    </xf>
    <xf borderId="46" fillId="2" fontId="8" numFmtId="0" xfId="0" applyAlignment="1" applyBorder="1" applyFont="1">
      <alignment shrinkToFit="0" vertical="center" wrapText="1"/>
    </xf>
    <xf borderId="4" fillId="2" fontId="8" numFmtId="0" xfId="0" applyAlignment="1" applyBorder="1" applyFont="1">
      <alignment shrinkToFit="0" vertical="center" wrapText="1"/>
    </xf>
    <xf borderId="42" fillId="2" fontId="8" numFmtId="0" xfId="0" applyAlignment="1" applyBorder="1" applyFont="1">
      <alignment shrinkToFit="0" vertical="center" wrapText="1"/>
    </xf>
    <xf borderId="58" fillId="2" fontId="8" numFmtId="0" xfId="0" applyAlignment="1" applyBorder="1" applyFont="1">
      <alignment shrinkToFit="0" vertical="center" wrapText="1"/>
    </xf>
    <xf borderId="41" fillId="2" fontId="8" numFmtId="0" xfId="0" applyAlignment="1" applyBorder="1" applyFont="1">
      <alignment shrinkToFit="0" vertical="center" wrapText="1"/>
    </xf>
    <xf borderId="59" fillId="2" fontId="8" numFmtId="0" xfId="0" applyAlignment="1" applyBorder="1" applyFont="1">
      <alignment shrinkToFit="0" vertical="center" wrapText="1"/>
    </xf>
    <xf borderId="4" fillId="2" fontId="9" numFmtId="49" xfId="0" applyAlignment="1" applyBorder="1" applyFont="1" applyNumberFormat="1">
      <alignment shrinkToFit="0" vertical="top" wrapText="1"/>
    </xf>
    <xf borderId="4" fillId="2" fontId="11" numFmtId="49" xfId="0" applyBorder="1" applyFont="1" applyNumberFormat="1"/>
    <xf borderId="4" fillId="2" fontId="11" numFmtId="0" xfId="0" applyBorder="1" applyFont="1"/>
    <xf borderId="4" fillId="2" fontId="12" numFmtId="49" xfId="0" applyAlignment="1" applyBorder="1" applyFont="1" applyNumberFormat="1">
      <alignment horizontal="center"/>
    </xf>
    <xf borderId="4" fillId="2" fontId="9" numFmtId="2" xfId="0" applyBorder="1" applyFont="1" applyNumberFormat="1"/>
    <xf borderId="4" fillId="2" fontId="9" numFmtId="168" xfId="0" applyBorder="1" applyFont="1" applyNumberFormat="1"/>
    <xf borderId="4" fillId="2" fontId="9" numFmtId="175" xfId="0" applyBorder="1" applyFont="1" applyNumberFormat="1"/>
    <xf borderId="84" fillId="2" fontId="3" numFmtId="0" xfId="0" applyBorder="1" applyFont="1"/>
    <xf borderId="84" fillId="2" fontId="9" numFmtId="10" xfId="0" applyBorder="1" applyFont="1" applyNumberFormat="1"/>
    <xf borderId="84" fillId="2" fontId="11" numFmtId="0" xfId="0" applyBorder="1" applyFont="1"/>
    <xf borderId="84" fillId="2" fontId="9" numFmtId="2" xfId="0" applyBorder="1" applyFont="1" applyNumberFormat="1"/>
    <xf borderId="38" fillId="2" fontId="9" numFmtId="0" xfId="0" applyBorder="1" applyFont="1"/>
    <xf borderId="38" fillId="2" fontId="11" numFmtId="0" xfId="0" applyBorder="1" applyFont="1"/>
    <xf borderId="38" fillId="2" fontId="9" numFmtId="2" xfId="0" applyBorder="1" applyFont="1" applyNumberFormat="1"/>
    <xf borderId="4" fillId="2" fontId="12" numFmtId="49" xfId="0" applyBorder="1" applyFont="1" applyNumberFormat="1"/>
    <xf borderId="4" fillId="2" fontId="12" numFmtId="2" xfId="0" applyBorder="1" applyFont="1" applyNumberFormat="1"/>
    <xf borderId="34" fillId="2" fontId="9" numFmtId="164" xfId="0" applyBorder="1" applyFont="1" applyNumberFormat="1"/>
    <xf borderId="4" fillId="2" fontId="3" numFmtId="49" xfId="0" applyBorder="1" applyFont="1" applyNumberFormat="1"/>
    <xf borderId="4" fillId="2" fontId="3" numFmtId="2" xfId="0" applyBorder="1" applyFont="1" applyNumberFormat="1"/>
    <xf borderId="46" fillId="2" fontId="9" numFmtId="168" xfId="0" applyBorder="1" applyFont="1" applyNumberFormat="1"/>
    <xf borderId="136" fillId="2" fontId="9" numFmtId="0" xfId="0" applyBorder="1" applyFont="1"/>
    <xf borderId="139" fillId="2" fontId="9" numFmtId="0" xfId="0" applyBorder="1" applyFont="1"/>
    <xf borderId="151" fillId="2" fontId="9" numFmtId="164" xfId="0" applyAlignment="1" applyBorder="1" applyFont="1" applyNumberFormat="1">
      <alignment horizontal="center"/>
    </xf>
    <xf borderId="152" fillId="8" fontId="9" numFmtId="164" xfId="0" applyAlignment="1" applyBorder="1" applyFill="1" applyFont="1" applyNumberFormat="1">
      <alignment horizontal="center"/>
    </xf>
    <xf borderId="153" fillId="2" fontId="9" numFmtId="164" xfId="0" applyAlignment="1" applyBorder="1" applyFont="1" applyNumberFormat="1">
      <alignment horizontal="center"/>
    </xf>
    <xf borderId="154" fillId="2" fontId="9" numFmtId="164" xfId="0" applyAlignment="1" applyBorder="1" applyFont="1" applyNumberFormat="1">
      <alignment horizontal="center"/>
    </xf>
    <xf borderId="30" fillId="2" fontId="9" numFmtId="0" xfId="0" applyBorder="1" applyFont="1"/>
    <xf borderId="155" fillId="2" fontId="9" numFmtId="164" xfId="0" applyAlignment="1" applyBorder="1" applyFont="1" applyNumberFormat="1">
      <alignment horizontal="center"/>
    </xf>
    <xf borderId="23" fillId="8" fontId="9" numFmtId="164" xfId="0" applyBorder="1" applyFont="1" applyNumberFormat="1"/>
    <xf borderId="24" fillId="2" fontId="9" numFmtId="164" xfId="0" applyAlignment="1" applyBorder="1" applyFont="1" applyNumberFormat="1">
      <alignment horizontal="center"/>
    </xf>
    <xf borderId="29" fillId="2" fontId="9" numFmtId="164" xfId="0" applyAlignment="1" applyBorder="1" applyFont="1" applyNumberFormat="1">
      <alignment horizontal="center"/>
    </xf>
    <xf borderId="140" fillId="2" fontId="9" numFmtId="0" xfId="0" applyBorder="1" applyFont="1"/>
    <xf borderId="103" fillId="2" fontId="9" numFmtId="164" xfId="0" applyBorder="1" applyFont="1" applyNumberFormat="1"/>
    <xf borderId="49" fillId="2" fontId="9" numFmtId="164" xfId="0" applyBorder="1" applyFont="1" applyNumberFormat="1"/>
    <xf borderId="118" fillId="2" fontId="9" numFmtId="164" xfId="0" applyAlignment="1" applyBorder="1" applyFont="1" applyNumberFormat="1">
      <alignment horizontal="center"/>
    </xf>
    <xf borderId="54" fillId="8" fontId="9" numFmtId="164" xfId="0" applyAlignment="1" applyBorder="1" applyFont="1" applyNumberFormat="1">
      <alignment horizontal="right"/>
    </xf>
    <xf borderId="24" fillId="2" fontId="9" numFmtId="164" xfId="0" applyBorder="1" applyFont="1" applyNumberFormat="1"/>
    <xf borderId="25" fillId="2" fontId="9" numFmtId="164" xfId="0" applyBorder="1" applyFont="1" applyNumberFormat="1"/>
    <xf borderId="156" fillId="2" fontId="9" numFmtId="164" xfId="0" applyBorder="1" applyFont="1" applyNumberFormat="1"/>
    <xf borderId="157" fillId="2" fontId="9" numFmtId="0" xfId="0" applyBorder="1" applyFont="1"/>
    <xf borderId="158" fillId="2" fontId="9" numFmtId="0" xfId="0" applyBorder="1" applyFont="1"/>
    <xf borderId="142" fillId="2" fontId="9" numFmtId="0" xfId="0" applyBorder="1" applyFont="1"/>
    <xf borderId="92" fillId="2" fontId="9" numFmtId="0" xfId="0" applyBorder="1" applyFont="1"/>
    <xf borderId="141" fillId="2" fontId="9" numFmtId="0" xfId="0" applyBorder="1" applyFont="1"/>
    <xf borderId="90" fillId="6" fontId="9" numFmtId="178" xfId="0" applyAlignment="1" applyBorder="1" applyFont="1" applyNumberFormat="1">
      <alignment horizontal="center"/>
    </xf>
    <xf borderId="159" fillId="2" fontId="8" numFmtId="164" xfId="0" applyAlignment="1" applyBorder="1" applyFont="1" applyNumberFormat="1">
      <alignment horizontal="center"/>
    </xf>
    <xf borderId="160" fillId="2" fontId="8" numFmtId="164" xfId="0" applyAlignment="1" applyBorder="1" applyFont="1" applyNumberFormat="1">
      <alignment horizontal="center"/>
    </xf>
    <xf borderId="66" fillId="2" fontId="9" numFmtId="0" xfId="0" applyBorder="1" applyFont="1"/>
    <xf borderId="43" fillId="2" fontId="9" numFmtId="49" xfId="0" applyBorder="1" applyFont="1" applyNumberFormat="1"/>
    <xf borderId="129" fillId="2" fontId="9" numFmtId="0" xfId="0" applyBorder="1" applyFont="1"/>
    <xf borderId="149" fillId="2" fontId="9" numFmtId="0" xfId="0" applyBorder="1" applyFont="1"/>
    <xf borderId="66" fillId="2" fontId="9" numFmtId="165" xfId="0" applyBorder="1" applyFont="1" applyNumberFormat="1"/>
  </cellXfs>
  <cellStyles count="1">
    <cellStyle xfId="0" name="Normal" builtinId="0"/>
  </cellStyles>
  <dxfs count="1">
    <dxf>
      <font>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11.75"/>
  </cols>
  <sheetData>
    <row r="1" ht="14.25" customHeight="1">
      <c r="A1" s="1" t="s">
        <v>0</v>
      </c>
      <c r="B1" s="2"/>
      <c r="C1" s="2"/>
      <c r="D1" s="2"/>
      <c r="E1" s="2"/>
      <c r="F1" s="2"/>
      <c r="G1" s="2"/>
      <c r="H1" s="2"/>
      <c r="I1" s="2"/>
      <c r="J1" s="2"/>
      <c r="K1" s="2"/>
      <c r="L1" s="2"/>
      <c r="M1" s="2"/>
      <c r="N1" s="2"/>
      <c r="O1" s="3"/>
      <c r="P1" s="4"/>
      <c r="Q1" s="5"/>
      <c r="R1" s="5"/>
      <c r="S1" s="5"/>
      <c r="T1" s="5"/>
      <c r="U1" s="5"/>
      <c r="V1" s="5"/>
      <c r="W1" s="5"/>
      <c r="X1" s="5"/>
      <c r="Y1" s="5"/>
      <c r="Z1" s="5"/>
    </row>
    <row r="2" ht="15.0" customHeight="1">
      <c r="A2" s="6"/>
      <c r="B2" s="7"/>
      <c r="C2" s="7"/>
      <c r="D2" s="7"/>
      <c r="E2" s="7"/>
      <c r="F2" s="7"/>
      <c r="G2" s="7"/>
      <c r="H2" s="7"/>
      <c r="I2" s="7"/>
      <c r="J2" s="7"/>
      <c r="K2" s="7"/>
      <c r="L2" s="7"/>
      <c r="M2" s="7"/>
      <c r="N2" s="7"/>
      <c r="O2" s="8"/>
      <c r="P2" s="4"/>
      <c r="Q2" s="5"/>
      <c r="R2" s="5"/>
      <c r="S2" s="5"/>
      <c r="T2" s="5"/>
      <c r="U2" s="5"/>
      <c r="V2" s="5"/>
      <c r="W2" s="5"/>
      <c r="X2" s="5"/>
      <c r="Y2" s="5"/>
      <c r="Z2" s="5"/>
    </row>
    <row r="3" ht="30.0" customHeight="1">
      <c r="A3" s="9"/>
      <c r="B3" s="9"/>
      <c r="C3" s="9"/>
      <c r="D3" s="9"/>
      <c r="E3" s="9"/>
      <c r="F3" s="9"/>
      <c r="G3" s="9"/>
      <c r="H3" s="9"/>
      <c r="I3" s="9"/>
      <c r="J3" s="9"/>
      <c r="K3" s="9"/>
      <c r="L3" s="9"/>
      <c r="M3" s="9"/>
      <c r="N3" s="9"/>
      <c r="O3" s="9"/>
      <c r="P3" s="4"/>
      <c r="Q3" s="5"/>
      <c r="R3" s="5"/>
      <c r="S3" s="5"/>
      <c r="T3" s="5"/>
      <c r="U3" s="5"/>
      <c r="V3" s="5"/>
      <c r="W3" s="5"/>
      <c r="X3" s="5"/>
      <c r="Y3" s="5"/>
      <c r="Z3" s="5"/>
    </row>
    <row r="4" ht="30.0" customHeight="1">
      <c r="A4" s="10" t="s">
        <v>1</v>
      </c>
      <c r="B4" s="11"/>
      <c r="C4" s="11"/>
      <c r="D4" s="11"/>
      <c r="E4" s="11"/>
      <c r="F4" s="11"/>
      <c r="G4" s="11"/>
      <c r="H4" s="11"/>
      <c r="I4" s="11"/>
      <c r="J4" s="11"/>
      <c r="K4" s="11"/>
      <c r="L4" s="11"/>
      <c r="M4" s="11"/>
      <c r="N4" s="11"/>
      <c r="O4" s="12"/>
      <c r="P4" s="4"/>
      <c r="Q4" s="5"/>
      <c r="R4" s="5"/>
      <c r="S4" s="5"/>
      <c r="T4" s="5"/>
      <c r="U4" s="5"/>
      <c r="V4" s="5"/>
      <c r="W4" s="5"/>
      <c r="X4" s="5"/>
      <c r="Y4" s="5"/>
      <c r="Z4" s="5"/>
    </row>
    <row r="5" ht="14.25" customHeight="1">
      <c r="A5" s="4"/>
      <c r="B5" s="4"/>
      <c r="C5" s="4"/>
      <c r="D5" s="4"/>
      <c r="E5" s="4"/>
      <c r="F5" s="4"/>
      <c r="G5" s="4"/>
      <c r="H5" s="4"/>
      <c r="I5" s="4"/>
      <c r="J5" s="4"/>
      <c r="K5" s="4"/>
      <c r="L5" s="4"/>
      <c r="M5" s="4"/>
      <c r="N5" s="4"/>
      <c r="O5" s="4"/>
      <c r="P5" s="4"/>
      <c r="Q5" s="5"/>
      <c r="R5" s="5"/>
      <c r="S5" s="5"/>
      <c r="T5" s="5"/>
      <c r="U5" s="5"/>
      <c r="V5" s="5"/>
      <c r="W5" s="5"/>
      <c r="X5" s="5"/>
      <c r="Y5" s="5"/>
      <c r="Z5" s="5"/>
    </row>
    <row r="6" ht="15.75" customHeight="1">
      <c r="A6" s="13" t="s">
        <v>2</v>
      </c>
      <c r="B6" s="14"/>
      <c r="C6" s="14"/>
      <c r="D6" s="14"/>
      <c r="E6" s="14"/>
      <c r="F6" s="14"/>
      <c r="G6" s="14"/>
      <c r="H6" s="14"/>
      <c r="I6" s="14"/>
      <c r="J6" s="14"/>
      <c r="K6" s="4"/>
      <c r="L6" s="4"/>
      <c r="M6" s="4"/>
      <c r="N6" s="4"/>
      <c r="O6" s="4"/>
      <c r="P6" s="4"/>
      <c r="Q6" s="5"/>
      <c r="R6" s="5"/>
      <c r="S6" s="5"/>
      <c r="T6" s="5"/>
      <c r="U6" s="5"/>
      <c r="V6" s="5"/>
      <c r="W6" s="5"/>
      <c r="X6" s="5"/>
      <c r="Y6" s="5"/>
      <c r="Z6" s="5"/>
    </row>
    <row r="7" ht="15.75" customHeight="1">
      <c r="A7" s="13" t="s">
        <v>3</v>
      </c>
      <c r="B7" s="14"/>
      <c r="C7" s="14"/>
      <c r="D7" s="14"/>
      <c r="E7" s="14"/>
      <c r="F7" s="14"/>
      <c r="G7" s="14"/>
      <c r="H7" s="14"/>
      <c r="I7" s="14"/>
      <c r="J7" s="14"/>
      <c r="K7" s="4"/>
      <c r="L7" s="4"/>
      <c r="M7" s="4"/>
      <c r="N7" s="4"/>
      <c r="O7" s="4"/>
      <c r="P7" s="4"/>
      <c r="Q7" s="5"/>
      <c r="R7" s="5"/>
      <c r="S7" s="5"/>
      <c r="T7" s="5"/>
      <c r="U7" s="5"/>
      <c r="V7" s="5"/>
      <c r="W7" s="5"/>
      <c r="X7" s="5"/>
      <c r="Y7" s="5"/>
      <c r="Z7" s="5"/>
    </row>
    <row r="8" ht="15.75" customHeight="1">
      <c r="A8" s="13" t="s">
        <v>4</v>
      </c>
      <c r="B8" s="14"/>
      <c r="C8" s="14"/>
      <c r="D8" s="14"/>
      <c r="E8" s="14"/>
      <c r="F8" s="14"/>
      <c r="G8" s="14"/>
      <c r="H8" s="14"/>
      <c r="I8" s="14"/>
      <c r="J8" s="14"/>
      <c r="K8" s="4"/>
      <c r="L8" s="4"/>
      <c r="M8" s="4"/>
      <c r="N8" s="4"/>
      <c r="O8" s="4"/>
      <c r="P8" s="4"/>
      <c r="Q8" s="5"/>
      <c r="R8" s="5"/>
      <c r="S8" s="5"/>
      <c r="T8" s="5"/>
      <c r="U8" s="5"/>
      <c r="V8" s="5"/>
      <c r="W8" s="5"/>
      <c r="X8" s="5"/>
      <c r="Y8" s="5"/>
      <c r="Z8" s="5"/>
    </row>
    <row r="9" ht="15.75" customHeight="1">
      <c r="A9" s="15" t="s">
        <v>5</v>
      </c>
      <c r="B9" s="16" t="s">
        <v>6</v>
      </c>
      <c r="C9" s="11"/>
      <c r="D9" s="11"/>
      <c r="E9" s="11"/>
      <c r="F9" s="11"/>
      <c r="G9" s="11"/>
      <c r="H9" s="11"/>
      <c r="I9" s="11"/>
      <c r="J9" s="11"/>
      <c r="K9" s="11"/>
      <c r="L9" s="11"/>
      <c r="M9" s="12"/>
      <c r="N9" s="4"/>
      <c r="O9" s="4"/>
      <c r="P9" s="4"/>
      <c r="Q9" s="5"/>
      <c r="R9" s="5"/>
      <c r="S9" s="5"/>
      <c r="T9" s="5"/>
      <c r="U9" s="5"/>
      <c r="V9" s="5"/>
      <c r="W9" s="5"/>
      <c r="X9" s="5"/>
      <c r="Y9" s="5"/>
      <c r="Z9" s="5"/>
    </row>
    <row r="10" ht="14.25" customHeight="1">
      <c r="A10" s="17"/>
      <c r="B10" s="18" t="s">
        <v>7</v>
      </c>
      <c r="C10" s="19"/>
      <c r="D10" s="19"/>
      <c r="E10" s="19"/>
      <c r="F10" s="19"/>
      <c r="G10" s="20"/>
      <c r="H10" s="21" t="s">
        <v>8</v>
      </c>
      <c r="I10" s="2"/>
      <c r="J10" s="2"/>
      <c r="K10" s="2"/>
      <c r="L10" s="2"/>
      <c r="M10" s="3"/>
      <c r="N10" s="4"/>
      <c r="O10" s="4"/>
      <c r="P10" s="4"/>
      <c r="Q10" s="5"/>
      <c r="R10" s="5"/>
      <c r="S10" s="5"/>
      <c r="T10" s="5"/>
      <c r="U10" s="5"/>
      <c r="V10" s="5"/>
      <c r="W10" s="5"/>
      <c r="X10" s="5"/>
      <c r="Y10" s="5"/>
      <c r="Z10" s="5"/>
    </row>
    <row r="11" ht="14.25" customHeight="1">
      <c r="A11" s="22"/>
      <c r="B11" s="23"/>
      <c r="C11" s="24"/>
      <c r="D11" s="24"/>
      <c r="E11" s="24"/>
      <c r="F11" s="24"/>
      <c r="G11" s="25"/>
      <c r="H11" s="26"/>
      <c r="I11" s="7"/>
      <c r="J11" s="7"/>
      <c r="K11" s="7"/>
      <c r="L11" s="7"/>
      <c r="M11" s="8"/>
      <c r="N11" s="4"/>
      <c r="O11" s="4"/>
      <c r="P11" s="4"/>
      <c r="Q11" s="5"/>
      <c r="R11" s="5"/>
      <c r="S11" s="5"/>
      <c r="T11" s="5"/>
      <c r="U11" s="5"/>
      <c r="V11" s="5"/>
      <c r="W11" s="5"/>
      <c r="X11" s="5"/>
      <c r="Y11" s="5"/>
      <c r="Z11" s="5"/>
    </row>
    <row r="12" ht="8.25" customHeight="1">
      <c r="A12" s="27" t="s">
        <v>9</v>
      </c>
      <c r="B12" s="2"/>
      <c r="C12" s="2"/>
      <c r="D12" s="2"/>
      <c r="E12" s="2"/>
      <c r="F12" s="2"/>
      <c r="G12" s="2"/>
      <c r="H12" s="2"/>
      <c r="I12" s="2"/>
      <c r="J12" s="2"/>
      <c r="K12" s="2"/>
      <c r="L12" s="2"/>
      <c r="M12" s="2"/>
      <c r="N12" s="2"/>
      <c r="O12" s="2"/>
      <c r="P12" s="3"/>
      <c r="Q12" s="5"/>
      <c r="R12" s="5"/>
      <c r="S12" s="5"/>
      <c r="T12" s="5"/>
      <c r="U12" s="5"/>
      <c r="V12" s="5"/>
      <c r="W12" s="5"/>
      <c r="X12" s="5"/>
      <c r="Y12" s="5"/>
      <c r="Z12" s="5"/>
    </row>
    <row r="13" ht="71.25" customHeight="1">
      <c r="A13" s="6"/>
      <c r="B13" s="7"/>
      <c r="C13" s="7"/>
      <c r="D13" s="7"/>
      <c r="E13" s="7"/>
      <c r="F13" s="7"/>
      <c r="G13" s="7"/>
      <c r="H13" s="7"/>
      <c r="I13" s="7"/>
      <c r="J13" s="7"/>
      <c r="K13" s="7"/>
      <c r="L13" s="7"/>
      <c r="M13" s="7"/>
      <c r="N13" s="7"/>
      <c r="O13" s="7"/>
      <c r="P13" s="8"/>
      <c r="Q13" s="5"/>
      <c r="R13" s="5"/>
      <c r="S13" s="5"/>
      <c r="T13" s="5"/>
      <c r="U13" s="5"/>
      <c r="V13" s="5"/>
      <c r="W13" s="5"/>
      <c r="X13" s="5"/>
      <c r="Y13" s="5"/>
      <c r="Z13" s="5"/>
    </row>
    <row r="14" ht="14.25" customHeight="1">
      <c r="A14" s="4"/>
      <c r="B14" s="4"/>
      <c r="C14" s="4"/>
      <c r="D14" s="4"/>
      <c r="E14" s="4"/>
      <c r="F14" s="4"/>
      <c r="G14" s="4"/>
      <c r="H14" s="4"/>
      <c r="I14" s="4"/>
      <c r="J14" s="4"/>
      <c r="K14" s="4"/>
      <c r="L14" s="4"/>
      <c r="M14" s="4"/>
      <c r="N14" s="4"/>
      <c r="O14" s="4"/>
      <c r="P14" s="4"/>
      <c r="Q14" s="5"/>
      <c r="R14" s="5"/>
      <c r="S14" s="5"/>
      <c r="T14" s="5"/>
      <c r="U14" s="5"/>
      <c r="V14" s="5"/>
      <c r="W14" s="5"/>
      <c r="X14" s="5"/>
      <c r="Y14" s="5"/>
      <c r="Z14" s="5"/>
    </row>
    <row r="15" ht="15.75" customHeight="1">
      <c r="A15" s="28" t="s">
        <v>10</v>
      </c>
      <c r="B15" s="11"/>
      <c r="C15" s="12"/>
      <c r="D15" s="14"/>
      <c r="E15" s="14"/>
      <c r="F15" s="14"/>
      <c r="G15" s="14"/>
      <c r="H15" s="14"/>
      <c r="I15" s="14"/>
      <c r="J15" s="14"/>
      <c r="K15" s="14"/>
      <c r="L15" s="4"/>
      <c r="M15" s="4"/>
      <c r="N15" s="4"/>
      <c r="O15" s="4"/>
      <c r="P15" s="4"/>
      <c r="Q15" s="5"/>
      <c r="R15" s="5"/>
      <c r="S15" s="5"/>
      <c r="T15" s="5"/>
      <c r="U15" s="5"/>
      <c r="V15" s="5"/>
      <c r="W15" s="5"/>
      <c r="X15" s="5"/>
      <c r="Y15" s="5"/>
      <c r="Z15" s="5"/>
    </row>
    <row r="16" ht="15.75" customHeight="1">
      <c r="A16" s="16" t="s">
        <v>11</v>
      </c>
      <c r="B16" s="11"/>
      <c r="C16" s="11"/>
      <c r="D16" s="11"/>
      <c r="E16" s="11"/>
      <c r="F16" s="11"/>
      <c r="G16" s="11"/>
      <c r="H16" s="11"/>
      <c r="I16" s="11"/>
      <c r="J16" s="11"/>
      <c r="K16" s="11"/>
      <c r="L16" s="11"/>
      <c r="M16" s="12"/>
      <c r="N16" s="4"/>
      <c r="O16" s="4"/>
      <c r="P16" s="4"/>
      <c r="Q16" s="5"/>
      <c r="R16" s="5"/>
      <c r="S16" s="5"/>
      <c r="T16" s="5"/>
      <c r="U16" s="5"/>
      <c r="V16" s="5"/>
      <c r="W16" s="5"/>
      <c r="X16" s="5"/>
      <c r="Y16" s="5"/>
      <c r="Z16" s="5"/>
    </row>
    <row r="17" ht="15.75" customHeight="1">
      <c r="A17" s="16" t="s">
        <v>12</v>
      </c>
      <c r="B17" s="11"/>
      <c r="C17" s="11"/>
      <c r="D17" s="11"/>
      <c r="E17" s="29"/>
      <c r="F17" s="30"/>
      <c r="G17" s="31"/>
      <c r="H17" s="14"/>
      <c r="I17" s="14"/>
      <c r="J17" s="14"/>
      <c r="K17" s="14"/>
      <c r="L17" s="4"/>
      <c r="M17" s="4"/>
      <c r="N17" s="4"/>
      <c r="O17" s="4"/>
      <c r="P17" s="4"/>
      <c r="Q17" s="5"/>
      <c r="R17" s="5"/>
      <c r="S17" s="5"/>
      <c r="T17" s="5"/>
      <c r="U17" s="5"/>
      <c r="V17" s="5"/>
      <c r="W17" s="5"/>
      <c r="X17" s="5"/>
      <c r="Y17" s="5"/>
      <c r="Z17" s="5"/>
    </row>
    <row r="18" ht="15.75" customHeight="1">
      <c r="A18" s="16" t="s">
        <v>13</v>
      </c>
      <c r="B18" s="11"/>
      <c r="C18" s="11"/>
      <c r="D18" s="11"/>
      <c r="E18" s="11"/>
      <c r="F18" s="11"/>
      <c r="G18" s="11"/>
      <c r="H18" s="11"/>
      <c r="I18" s="11"/>
      <c r="J18" s="11"/>
      <c r="K18" s="11"/>
      <c r="L18" s="11"/>
      <c r="M18" s="12"/>
      <c r="N18" s="4"/>
      <c r="O18" s="4"/>
      <c r="P18" s="4"/>
      <c r="Q18" s="5"/>
      <c r="R18" s="5"/>
      <c r="S18" s="5"/>
      <c r="T18" s="5"/>
      <c r="U18" s="5"/>
      <c r="V18" s="5"/>
      <c r="W18" s="5"/>
      <c r="X18" s="5"/>
      <c r="Y18" s="5"/>
      <c r="Z18" s="5"/>
    </row>
    <row r="19" ht="15.75" customHeight="1">
      <c r="A19" s="16" t="s">
        <v>14</v>
      </c>
      <c r="B19" s="11"/>
      <c r="C19" s="11"/>
      <c r="D19" s="11"/>
      <c r="E19" s="11"/>
      <c r="F19" s="11"/>
      <c r="G19" s="11"/>
      <c r="H19" s="11"/>
      <c r="I19" s="11"/>
      <c r="J19" s="11"/>
      <c r="K19" s="11"/>
      <c r="L19" s="11"/>
      <c r="M19" s="12"/>
      <c r="N19" s="4"/>
      <c r="O19" s="4"/>
      <c r="P19" s="4"/>
      <c r="Q19" s="5"/>
      <c r="R19" s="5"/>
      <c r="S19" s="5"/>
      <c r="T19" s="5"/>
      <c r="U19" s="5"/>
      <c r="V19" s="5"/>
      <c r="W19" s="5"/>
      <c r="X19" s="5"/>
      <c r="Y19" s="5"/>
      <c r="Z19" s="5"/>
    </row>
    <row r="20" ht="15.75" customHeight="1">
      <c r="A20" s="16" t="s">
        <v>15</v>
      </c>
      <c r="B20" s="11"/>
      <c r="C20" s="11"/>
      <c r="D20" s="11"/>
      <c r="E20" s="11"/>
      <c r="F20" s="11"/>
      <c r="G20" s="11"/>
      <c r="H20" s="11"/>
      <c r="I20" s="11"/>
      <c r="J20" s="11"/>
      <c r="K20" s="11"/>
      <c r="L20" s="11"/>
      <c r="M20" s="12"/>
      <c r="N20" s="4"/>
      <c r="O20" s="4"/>
      <c r="P20" s="4"/>
      <c r="Q20" s="5"/>
      <c r="R20" s="5"/>
      <c r="S20" s="5"/>
      <c r="T20" s="5"/>
      <c r="U20" s="5"/>
      <c r="V20" s="5"/>
      <c r="W20" s="5"/>
      <c r="X20" s="5"/>
      <c r="Y20" s="5"/>
      <c r="Z20" s="5"/>
    </row>
    <row r="21" ht="15.75" customHeight="1">
      <c r="A21" s="16" t="s">
        <v>16</v>
      </c>
      <c r="B21" s="11"/>
      <c r="C21" s="11"/>
      <c r="D21" s="11"/>
      <c r="E21" s="11"/>
      <c r="F21" s="11"/>
      <c r="G21" s="11"/>
      <c r="H21" s="11"/>
      <c r="I21" s="11"/>
      <c r="J21" s="11"/>
      <c r="K21" s="11"/>
      <c r="L21" s="11"/>
      <c r="M21" s="12"/>
      <c r="N21" s="4"/>
      <c r="O21" s="4"/>
      <c r="P21" s="4"/>
      <c r="Q21" s="5"/>
      <c r="R21" s="5"/>
      <c r="S21" s="5"/>
      <c r="T21" s="5"/>
      <c r="U21" s="5"/>
      <c r="V21" s="5"/>
      <c r="W21" s="5"/>
      <c r="X21" s="5"/>
      <c r="Y21" s="5"/>
      <c r="Z21" s="5"/>
    </row>
    <row r="22" ht="15.75" customHeight="1">
      <c r="A22" s="16" t="s">
        <v>17</v>
      </c>
      <c r="B22" s="11"/>
      <c r="C22" s="11"/>
      <c r="D22" s="11"/>
      <c r="E22" s="11"/>
      <c r="F22" s="11"/>
      <c r="G22" s="11"/>
      <c r="H22" s="11"/>
      <c r="I22" s="11"/>
      <c r="J22" s="11"/>
      <c r="K22" s="11"/>
      <c r="L22" s="11"/>
      <c r="M22" s="12"/>
      <c r="N22" s="4"/>
      <c r="O22" s="4"/>
      <c r="P22" s="4"/>
      <c r="Q22" s="5"/>
      <c r="R22" s="5"/>
      <c r="S22" s="5"/>
      <c r="T22" s="5"/>
      <c r="U22" s="5"/>
      <c r="V22" s="5"/>
      <c r="W22" s="5"/>
      <c r="X22" s="5"/>
      <c r="Y22" s="5"/>
      <c r="Z22" s="5"/>
    </row>
    <row r="23" ht="15.75" customHeight="1">
      <c r="A23" s="16" t="s">
        <v>18</v>
      </c>
      <c r="B23" s="11"/>
      <c r="C23" s="11"/>
      <c r="D23" s="11"/>
      <c r="E23" s="11"/>
      <c r="F23" s="11"/>
      <c r="G23" s="11"/>
      <c r="H23" s="11"/>
      <c r="I23" s="11"/>
      <c r="J23" s="11"/>
      <c r="K23" s="11"/>
      <c r="L23" s="11"/>
      <c r="M23" s="12"/>
      <c r="N23" s="4"/>
      <c r="O23" s="4"/>
      <c r="P23" s="4"/>
      <c r="Q23" s="5"/>
      <c r="R23" s="5"/>
      <c r="S23" s="5"/>
      <c r="T23" s="5"/>
      <c r="U23" s="5"/>
      <c r="V23" s="5"/>
      <c r="W23" s="5"/>
      <c r="X23" s="5"/>
      <c r="Y23" s="5"/>
      <c r="Z23" s="5"/>
    </row>
    <row r="24" ht="15.75" customHeight="1">
      <c r="A24" s="32"/>
      <c r="B24" s="32"/>
      <c r="C24" s="32"/>
      <c r="D24" s="32"/>
      <c r="E24" s="32"/>
      <c r="F24" s="32"/>
      <c r="G24" s="32"/>
      <c r="H24" s="32"/>
      <c r="I24" s="32"/>
      <c r="J24" s="32"/>
      <c r="K24" s="32"/>
      <c r="L24" s="32"/>
      <c r="M24" s="32"/>
      <c r="N24" s="4"/>
      <c r="O24" s="4"/>
      <c r="P24" s="4"/>
      <c r="Q24" s="5"/>
      <c r="R24" s="5"/>
      <c r="S24" s="5"/>
      <c r="T24" s="5"/>
      <c r="U24" s="5"/>
      <c r="V24" s="5"/>
      <c r="W24" s="5"/>
      <c r="X24" s="5"/>
      <c r="Y24" s="5"/>
      <c r="Z24" s="5"/>
    </row>
    <row r="25" ht="15.75" customHeight="1">
      <c r="A25" s="28" t="s">
        <v>19</v>
      </c>
      <c r="B25" s="11"/>
      <c r="C25" s="11"/>
      <c r="D25" s="11"/>
      <c r="E25" s="11"/>
      <c r="F25" s="11"/>
      <c r="G25" s="11"/>
      <c r="H25" s="11"/>
      <c r="I25" s="11"/>
      <c r="J25" s="11"/>
      <c r="K25" s="11"/>
      <c r="L25" s="11"/>
      <c r="M25" s="12"/>
      <c r="N25" s="4"/>
      <c r="O25" s="4"/>
      <c r="P25" s="4"/>
      <c r="Q25" s="5"/>
      <c r="R25" s="5"/>
      <c r="S25" s="5"/>
      <c r="T25" s="5"/>
      <c r="U25" s="5"/>
      <c r="V25" s="5"/>
      <c r="W25" s="5"/>
      <c r="X25" s="5"/>
      <c r="Y25" s="5"/>
      <c r="Z25" s="5"/>
    </row>
    <row r="26" ht="15.75" customHeight="1">
      <c r="A26" s="33"/>
      <c r="B26" s="33"/>
      <c r="C26" s="33"/>
      <c r="D26" s="33"/>
      <c r="E26" s="33"/>
      <c r="F26" s="33"/>
      <c r="G26" s="14"/>
      <c r="H26" s="14"/>
      <c r="I26" s="14"/>
      <c r="J26" s="14"/>
      <c r="K26" s="14"/>
      <c r="L26" s="4"/>
      <c r="M26" s="4"/>
      <c r="N26" s="4"/>
      <c r="O26" s="4"/>
      <c r="P26" s="4"/>
      <c r="Q26" s="5"/>
      <c r="R26" s="5"/>
      <c r="S26" s="5"/>
      <c r="T26" s="5"/>
      <c r="U26" s="5"/>
      <c r="V26" s="5"/>
      <c r="W26" s="5"/>
      <c r="X26" s="5"/>
      <c r="Y26" s="5"/>
      <c r="Z26" s="5"/>
    </row>
    <row r="27" ht="15.75" customHeight="1">
      <c r="A27" s="34" t="s">
        <v>20</v>
      </c>
      <c r="B27" s="35"/>
      <c r="C27" s="35"/>
      <c r="D27" s="35"/>
      <c r="E27" s="35"/>
      <c r="F27" s="36"/>
      <c r="G27" s="31"/>
      <c r="H27" s="14"/>
      <c r="I27" s="14"/>
      <c r="J27" s="14"/>
      <c r="K27" s="14"/>
      <c r="L27" s="4"/>
      <c r="M27" s="4"/>
      <c r="N27" s="4"/>
      <c r="O27" s="4"/>
      <c r="P27" s="4"/>
      <c r="Q27" s="5"/>
      <c r="R27" s="5"/>
      <c r="S27" s="5"/>
      <c r="T27" s="5"/>
      <c r="U27" s="5"/>
      <c r="V27" s="5"/>
      <c r="W27" s="5"/>
      <c r="X27" s="5"/>
      <c r="Y27" s="5"/>
      <c r="Z27" s="5"/>
    </row>
    <row r="28" ht="15.75" customHeight="1">
      <c r="A28" s="37"/>
      <c r="B28" s="37"/>
      <c r="C28" s="37"/>
      <c r="D28" s="37"/>
      <c r="E28" s="37"/>
      <c r="F28" s="37"/>
      <c r="G28" s="14"/>
      <c r="H28" s="14"/>
      <c r="I28" s="14"/>
      <c r="J28" s="14"/>
      <c r="K28" s="14"/>
      <c r="L28" s="4"/>
      <c r="M28" s="4"/>
      <c r="N28" s="4"/>
      <c r="O28" s="4"/>
      <c r="P28" s="4"/>
      <c r="Q28" s="5"/>
      <c r="R28" s="5"/>
      <c r="S28" s="5"/>
      <c r="T28" s="5"/>
      <c r="U28" s="5"/>
      <c r="V28" s="5"/>
      <c r="W28" s="5"/>
      <c r="X28" s="5"/>
      <c r="Y28" s="5"/>
      <c r="Z28" s="5"/>
    </row>
    <row r="29" ht="15.75" customHeight="1">
      <c r="A29" s="38" t="s">
        <v>21</v>
      </c>
      <c r="B29" s="11"/>
      <c r="C29" s="12"/>
      <c r="D29" s="14"/>
      <c r="E29" s="14"/>
      <c r="F29" s="14"/>
      <c r="G29" s="14"/>
      <c r="H29" s="14"/>
      <c r="I29" s="14"/>
      <c r="J29" s="14"/>
      <c r="K29" s="14"/>
      <c r="L29" s="4"/>
      <c r="M29" s="4"/>
      <c r="N29" s="4"/>
      <c r="O29" s="4"/>
      <c r="P29" s="4"/>
      <c r="Q29" s="5"/>
      <c r="R29" s="5"/>
      <c r="S29" s="5"/>
      <c r="T29" s="5"/>
      <c r="U29" s="5"/>
      <c r="V29" s="5"/>
      <c r="W29" s="5"/>
      <c r="X29" s="5"/>
      <c r="Y29" s="5"/>
      <c r="Z29" s="5"/>
    </row>
    <row r="3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9">
    <mergeCell ref="A1:O2"/>
    <mergeCell ref="A4:O4"/>
    <mergeCell ref="A9:A11"/>
    <mergeCell ref="B9:M9"/>
    <mergeCell ref="B10:G11"/>
    <mergeCell ref="H10:M11"/>
    <mergeCell ref="A12:P13"/>
    <mergeCell ref="A22:M22"/>
    <mergeCell ref="A23:M23"/>
    <mergeCell ref="A25:M25"/>
    <mergeCell ref="A27:F27"/>
    <mergeCell ref="A29:C29"/>
    <mergeCell ref="A15:C15"/>
    <mergeCell ref="A16:M16"/>
    <mergeCell ref="A17:E17"/>
    <mergeCell ref="A18:M18"/>
    <mergeCell ref="A19:M19"/>
    <mergeCell ref="A20:M20"/>
    <mergeCell ref="A21:M21"/>
  </mergeCells>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10.75"/>
    <col customWidth="1" min="3" max="3" width="11.0"/>
    <col customWidth="1" min="4" max="4" width="12.25"/>
    <col customWidth="1" min="5" max="5" width="11.0"/>
    <col customWidth="1" min="6" max="6" width="11.75"/>
    <col customWidth="1" min="7" max="7" width="10.75"/>
    <col customWidth="1" min="8" max="8" width="20.75"/>
    <col customWidth="1" min="9" max="10" width="10.75"/>
    <col customWidth="1" min="11" max="11" width="17.75"/>
    <col customWidth="1" min="12" max="12" width="15.0"/>
    <col customWidth="1" min="13" max="13" width="21.0"/>
    <col customWidth="1" min="14" max="14" width="13.0"/>
    <col customWidth="1" min="15" max="15" width="13.38"/>
    <col customWidth="1" min="16" max="16" width="15.0"/>
    <col customWidth="1" min="17" max="17" width="12.0"/>
    <col customWidth="1" min="18" max="18" width="15.25"/>
    <col customWidth="1" min="19" max="19" width="13.0"/>
    <col customWidth="1" min="20" max="20" width="12.13"/>
    <col customWidth="1" min="21" max="21" width="12.0"/>
    <col customWidth="1" min="22" max="22" width="13.25"/>
    <col customWidth="1" min="23" max="23" width="12.75"/>
    <col customWidth="1" min="24" max="26" width="10.75"/>
  </cols>
  <sheetData>
    <row r="1" ht="16.5" customHeight="1">
      <c r="A1" s="39"/>
      <c r="B1" s="40" t="s">
        <v>22</v>
      </c>
      <c r="C1" s="41"/>
      <c r="D1" s="40" t="s">
        <v>23</v>
      </c>
      <c r="E1" s="42"/>
      <c r="F1" s="43"/>
      <c r="G1" s="40" t="s">
        <v>24</v>
      </c>
      <c r="H1" s="44"/>
      <c r="I1" s="45" t="s">
        <v>25</v>
      </c>
      <c r="J1" s="46"/>
      <c r="K1" s="47"/>
      <c r="L1" s="48"/>
      <c r="M1" s="48"/>
      <c r="N1" s="48"/>
      <c r="O1" s="48"/>
      <c r="P1" s="48"/>
      <c r="Q1" s="48"/>
      <c r="R1" s="48"/>
      <c r="S1" s="48"/>
      <c r="T1" s="48"/>
      <c r="U1" s="48"/>
      <c r="V1" s="48"/>
      <c r="W1" s="48"/>
      <c r="X1" s="48"/>
      <c r="Y1" s="5"/>
      <c r="Z1" s="5"/>
    </row>
    <row r="2" ht="16.5" customHeight="1">
      <c r="A2" s="48"/>
      <c r="B2" s="49" t="s">
        <v>26</v>
      </c>
      <c r="C2" s="50"/>
      <c r="D2" s="50"/>
      <c r="E2" s="50"/>
      <c r="F2" s="51"/>
      <c r="G2" s="49" t="s">
        <v>27</v>
      </c>
      <c r="H2" s="51"/>
      <c r="I2" s="52"/>
      <c r="J2" s="53"/>
      <c r="K2" s="54" t="s">
        <v>28</v>
      </c>
      <c r="L2" s="48"/>
      <c r="M2" s="48"/>
      <c r="N2" s="48"/>
      <c r="O2" s="48"/>
      <c r="P2" s="48"/>
      <c r="Q2" s="48"/>
      <c r="R2" s="48"/>
      <c r="S2" s="48"/>
      <c r="T2" s="48"/>
      <c r="U2" s="48"/>
      <c r="V2" s="48"/>
      <c r="W2" s="48"/>
      <c r="X2" s="48"/>
      <c r="Y2" s="5"/>
      <c r="Z2" s="5"/>
    </row>
    <row r="3" ht="15.75" customHeight="1">
      <c r="A3" s="48"/>
      <c r="B3" s="55" t="s">
        <v>29</v>
      </c>
      <c r="C3" s="2"/>
      <c r="D3" s="2"/>
      <c r="E3" s="2"/>
      <c r="F3" s="2"/>
      <c r="G3" s="2"/>
      <c r="H3" s="3"/>
      <c r="I3" s="48"/>
      <c r="J3" s="48"/>
      <c r="K3" s="48"/>
      <c r="L3" s="48"/>
      <c r="M3" s="48"/>
      <c r="N3" s="48"/>
      <c r="O3" s="48"/>
      <c r="P3" s="48"/>
      <c r="Q3" s="48"/>
      <c r="R3" s="48"/>
      <c r="S3" s="48"/>
      <c r="T3" s="48"/>
      <c r="U3" s="48"/>
      <c r="V3" s="48"/>
      <c r="W3" s="48"/>
      <c r="X3" s="48"/>
      <c r="Y3" s="5"/>
      <c r="Z3" s="5"/>
    </row>
    <row r="4" ht="13.5" customHeight="1">
      <c r="A4" s="48"/>
      <c r="B4" s="56"/>
      <c r="H4" s="57"/>
      <c r="I4" s="48"/>
      <c r="J4" s="48"/>
      <c r="K4" s="58" t="s">
        <v>30</v>
      </c>
      <c r="L4" s="59"/>
      <c r="M4" s="59"/>
      <c r="N4" s="59"/>
      <c r="O4" s="59"/>
      <c r="P4" s="59"/>
      <c r="Q4" s="59"/>
      <c r="R4" s="60"/>
      <c r="S4" s="48"/>
      <c r="T4" s="48"/>
      <c r="U4" s="48"/>
      <c r="V4" s="48"/>
      <c r="W4" s="48"/>
      <c r="X4" s="48"/>
      <c r="Y4" s="5"/>
      <c r="Z4" s="5"/>
    </row>
    <row r="5" ht="13.5" customHeight="1">
      <c r="A5" s="48"/>
      <c r="B5" s="56"/>
      <c r="H5" s="57"/>
      <c r="I5" s="48"/>
      <c r="J5" s="61"/>
      <c r="K5" s="62" t="s">
        <v>31</v>
      </c>
      <c r="L5" s="63">
        <v>954000.0</v>
      </c>
      <c r="M5" s="64"/>
      <c r="N5" s="64" t="s">
        <v>32</v>
      </c>
      <c r="O5" s="64"/>
      <c r="P5" s="63">
        <f>327000</f>
        <v>327000</v>
      </c>
      <c r="Q5" s="65"/>
      <c r="R5" s="66"/>
      <c r="S5" s="48"/>
      <c r="T5" s="48"/>
      <c r="U5" s="48"/>
      <c r="V5" s="48"/>
      <c r="W5" s="48"/>
      <c r="X5" s="48"/>
      <c r="Y5" s="5"/>
      <c r="Z5" s="5"/>
    </row>
    <row r="6" ht="13.5" customHeight="1">
      <c r="A6" s="48"/>
      <c r="B6" s="56"/>
      <c r="H6" s="57"/>
      <c r="I6" s="48"/>
      <c r="J6" s="61"/>
      <c r="K6" s="67" t="s">
        <v>33</v>
      </c>
      <c r="L6" s="68">
        <v>4750.0</v>
      </c>
      <c r="M6" s="69"/>
      <c r="N6" s="69" t="s">
        <v>34</v>
      </c>
      <c r="O6" s="69"/>
      <c r="P6" s="70">
        <v>25.0</v>
      </c>
      <c r="Q6" s="71" t="s">
        <v>35</v>
      </c>
      <c r="R6" s="66"/>
      <c r="S6" s="48"/>
      <c r="T6" s="48"/>
      <c r="U6" s="48"/>
      <c r="V6" s="48"/>
      <c r="W6" s="48"/>
      <c r="X6" s="48"/>
      <c r="Y6" s="5"/>
      <c r="Z6" s="5"/>
    </row>
    <row r="7" ht="13.5" customHeight="1">
      <c r="A7" s="48"/>
      <c r="B7" s="56"/>
      <c r="H7" s="57"/>
      <c r="I7" s="48"/>
      <c r="J7" s="61"/>
      <c r="K7" s="67" t="s">
        <v>36</v>
      </c>
      <c r="L7" s="68">
        <v>21450.0</v>
      </c>
      <c r="M7" s="69"/>
      <c r="N7" s="69" t="s">
        <v>37</v>
      </c>
      <c r="O7" s="69"/>
      <c r="P7" s="68">
        <f>35000</f>
        <v>35000</v>
      </c>
      <c r="Q7" s="71"/>
      <c r="R7" s="66"/>
      <c r="S7" s="48"/>
      <c r="T7" s="48"/>
      <c r="U7" s="48"/>
      <c r="V7" s="48"/>
      <c r="W7" s="48"/>
      <c r="X7" s="48"/>
      <c r="Y7" s="5"/>
      <c r="Z7" s="5"/>
    </row>
    <row r="8" ht="13.5" customHeight="1">
      <c r="A8" s="48"/>
      <c r="B8" s="56"/>
      <c r="H8" s="57"/>
      <c r="I8" s="48"/>
      <c r="J8" s="61"/>
      <c r="K8" s="72" t="s">
        <v>38</v>
      </c>
      <c r="L8" s="69"/>
      <c r="M8" s="69"/>
      <c r="N8" s="73" t="s">
        <v>39</v>
      </c>
      <c r="O8" s="74"/>
      <c r="P8" s="68">
        <f>(P5-P7)/P6*12/12</f>
        <v>11680</v>
      </c>
      <c r="Q8" s="71" t="s">
        <v>40</v>
      </c>
      <c r="R8" s="66"/>
      <c r="S8" s="48"/>
      <c r="T8" s="48"/>
      <c r="U8" s="48"/>
      <c r="V8" s="48"/>
      <c r="W8" s="48"/>
      <c r="X8" s="48"/>
      <c r="Y8" s="5"/>
      <c r="Z8" s="5"/>
    </row>
    <row r="9" ht="16.5" customHeight="1">
      <c r="A9" s="48"/>
      <c r="B9" s="56"/>
      <c r="H9" s="57"/>
      <c r="I9" s="48"/>
      <c r="J9" s="61"/>
      <c r="K9" s="75" t="s">
        <v>41</v>
      </c>
      <c r="L9" s="68">
        <v>546000.0</v>
      </c>
      <c r="M9" s="76"/>
      <c r="N9" s="69" t="s">
        <v>42</v>
      </c>
      <c r="O9" s="69"/>
      <c r="P9" s="68">
        <f>P8*8</f>
        <v>93440</v>
      </c>
      <c r="Q9" s="71"/>
      <c r="R9" s="66"/>
      <c r="S9" s="48"/>
      <c r="T9" s="48"/>
      <c r="U9" s="48"/>
      <c r="V9" s="48"/>
      <c r="W9" s="48"/>
      <c r="X9" s="48"/>
      <c r="Y9" s="5"/>
      <c r="Z9" s="5"/>
    </row>
    <row r="10" ht="16.5" customHeight="1">
      <c r="A10" s="48"/>
      <c r="B10" s="6"/>
      <c r="C10" s="7"/>
      <c r="D10" s="7"/>
      <c r="E10" s="7"/>
      <c r="F10" s="7"/>
      <c r="G10" s="7"/>
      <c r="H10" s="8"/>
      <c r="I10" s="48"/>
      <c r="J10" s="61"/>
      <c r="K10" s="67" t="s">
        <v>43</v>
      </c>
      <c r="L10" s="77">
        <v>294000.0</v>
      </c>
      <c r="M10" s="76"/>
      <c r="N10" s="69" t="s">
        <v>44</v>
      </c>
      <c r="O10" s="69"/>
      <c r="P10" s="68"/>
      <c r="Q10" s="71"/>
      <c r="R10" s="66"/>
      <c r="S10" s="48"/>
      <c r="T10" s="48"/>
      <c r="U10" s="48"/>
      <c r="V10" s="48"/>
      <c r="W10" s="48"/>
      <c r="X10" s="48"/>
      <c r="Y10" s="5"/>
      <c r="Z10" s="5"/>
    </row>
    <row r="11" ht="15.75" customHeight="1">
      <c r="A11" s="48"/>
      <c r="B11" s="55" t="s">
        <v>45</v>
      </c>
      <c r="C11" s="2"/>
      <c r="D11" s="2"/>
      <c r="E11" s="2"/>
      <c r="F11" s="2"/>
      <c r="G11" s="2"/>
      <c r="H11" s="3"/>
      <c r="I11" s="48"/>
      <c r="J11" s="61"/>
      <c r="K11" s="67" t="s">
        <v>46</v>
      </c>
      <c r="L11" s="76">
        <f>L9/(L9+L10)</f>
        <v>0.65</v>
      </c>
      <c r="M11" s="69"/>
      <c r="N11" s="69" t="s">
        <v>47</v>
      </c>
      <c r="O11" s="69"/>
      <c r="P11" s="68">
        <f>P5-P9</f>
        <v>233560</v>
      </c>
      <c r="Q11" s="71"/>
      <c r="R11" s="66"/>
      <c r="S11" s="48"/>
      <c r="T11" s="48"/>
      <c r="U11" s="48"/>
      <c r="V11" s="48"/>
      <c r="W11" s="48"/>
      <c r="X11" s="48"/>
      <c r="Y11" s="5"/>
      <c r="Z11" s="5"/>
    </row>
    <row r="12" ht="16.5" customHeight="1">
      <c r="A12" s="48"/>
      <c r="B12" s="56"/>
      <c r="H12" s="57"/>
      <c r="I12" s="48"/>
      <c r="J12" s="61"/>
      <c r="K12" s="67" t="s">
        <v>48</v>
      </c>
      <c r="L12" s="76">
        <f>L10/(L9+L10)</f>
        <v>0.35</v>
      </c>
      <c r="M12" s="69"/>
      <c r="N12" s="69" t="s">
        <v>49</v>
      </c>
      <c r="O12" s="69"/>
      <c r="P12" s="69"/>
      <c r="Q12" s="71"/>
      <c r="R12" s="66"/>
      <c r="S12" s="48"/>
      <c r="T12" s="48"/>
      <c r="U12" s="48"/>
      <c r="V12" s="48"/>
      <c r="W12" s="48"/>
      <c r="X12" s="48"/>
      <c r="Y12" s="5"/>
      <c r="Z12" s="5"/>
    </row>
    <row r="13" ht="16.5" customHeight="1">
      <c r="A13" s="48"/>
      <c r="B13" s="56"/>
      <c r="H13" s="57"/>
      <c r="I13" s="48"/>
      <c r="J13" s="61"/>
      <c r="K13" s="67" t="s">
        <v>50</v>
      </c>
      <c r="L13" s="68">
        <f>(L5+L6+L7)*L11</f>
        <v>637130</v>
      </c>
      <c r="M13" s="69"/>
      <c r="N13" s="69"/>
      <c r="O13" s="69"/>
      <c r="P13" s="69"/>
      <c r="Q13" s="71"/>
      <c r="R13" s="66"/>
      <c r="S13" s="48"/>
      <c r="T13" s="48"/>
      <c r="U13" s="48"/>
      <c r="V13" s="48"/>
      <c r="W13" s="48"/>
      <c r="X13" s="48"/>
      <c r="Y13" s="5"/>
      <c r="Z13" s="5"/>
    </row>
    <row r="14" ht="16.5" customHeight="1">
      <c r="A14" s="48"/>
      <c r="B14" s="56"/>
      <c r="H14" s="57"/>
      <c r="I14" s="48"/>
      <c r="J14" s="61"/>
      <c r="K14" s="67" t="s">
        <v>51</v>
      </c>
      <c r="L14" s="68">
        <f>(L5+L6+L7)*L12</f>
        <v>343070</v>
      </c>
      <c r="M14" s="69"/>
      <c r="N14" s="69"/>
      <c r="O14" s="69"/>
      <c r="P14" s="69"/>
      <c r="Q14" s="71"/>
      <c r="R14" s="66"/>
      <c r="S14" s="48"/>
      <c r="T14" s="48"/>
      <c r="U14" s="48"/>
      <c r="V14" s="48"/>
      <c r="W14" s="48"/>
      <c r="X14" s="48"/>
      <c r="Y14" s="5"/>
      <c r="Z14" s="5"/>
    </row>
    <row r="15" ht="16.5" customHeight="1">
      <c r="A15" s="48"/>
      <c r="B15" s="56"/>
      <c r="H15" s="57"/>
      <c r="I15" s="48"/>
      <c r="J15" s="61"/>
      <c r="K15" s="67"/>
      <c r="L15" s="69"/>
      <c r="M15" s="69"/>
      <c r="N15" s="69"/>
      <c r="O15" s="69"/>
      <c r="P15" s="69"/>
      <c r="Q15" s="71"/>
      <c r="R15" s="66"/>
      <c r="S15" s="48"/>
      <c r="T15" s="48"/>
      <c r="U15" s="48"/>
      <c r="V15" s="48"/>
      <c r="W15" s="48"/>
      <c r="X15" s="48"/>
      <c r="Y15" s="5"/>
      <c r="Z15" s="5"/>
    </row>
    <row r="16" ht="16.5" customHeight="1">
      <c r="A16" s="48"/>
      <c r="B16" s="6"/>
      <c r="C16" s="7"/>
      <c r="D16" s="7"/>
      <c r="E16" s="7"/>
      <c r="F16" s="7"/>
      <c r="G16" s="7"/>
      <c r="H16" s="8"/>
      <c r="I16" s="48"/>
      <c r="J16" s="61"/>
      <c r="K16" s="67" t="s">
        <v>52</v>
      </c>
      <c r="L16" s="69"/>
      <c r="M16" s="69"/>
      <c r="N16" s="69"/>
      <c r="O16" s="69"/>
      <c r="P16" s="69"/>
      <c r="Q16" s="71"/>
      <c r="R16" s="66"/>
      <c r="S16" s="48"/>
      <c r="T16" s="48"/>
      <c r="U16" s="48"/>
      <c r="V16" s="48"/>
      <c r="W16" s="48"/>
      <c r="X16" s="48"/>
      <c r="Y16" s="5"/>
      <c r="Z16" s="5"/>
    </row>
    <row r="17" ht="15.75" customHeight="1">
      <c r="A17" s="48"/>
      <c r="B17" s="55" t="s">
        <v>53</v>
      </c>
      <c r="C17" s="2"/>
      <c r="D17" s="2"/>
      <c r="E17" s="2"/>
      <c r="F17" s="2"/>
      <c r="G17" s="2"/>
      <c r="H17" s="3"/>
      <c r="I17" s="48"/>
      <c r="J17" s="61"/>
      <c r="K17" s="67"/>
      <c r="L17" s="78">
        <f>(L5+L6+L7)*L11*(1+0.03)^8</f>
        <v>807097.222</v>
      </c>
      <c r="M17" s="79"/>
      <c r="N17" s="69"/>
      <c r="O17" s="69"/>
      <c r="P17" s="69"/>
      <c r="Q17" s="71"/>
      <c r="R17" s="66"/>
      <c r="S17" s="48"/>
      <c r="T17" s="48"/>
      <c r="U17" s="48"/>
      <c r="V17" s="48"/>
      <c r="W17" s="48"/>
      <c r="X17" s="48"/>
      <c r="Y17" s="5"/>
      <c r="Z17" s="5"/>
    </row>
    <row r="18" ht="15.75" customHeight="1">
      <c r="A18" s="48"/>
      <c r="B18" s="56"/>
      <c r="H18" s="57"/>
      <c r="I18" s="48"/>
      <c r="J18" s="61"/>
      <c r="K18" s="80"/>
      <c r="L18" s="81" t="s">
        <v>54</v>
      </c>
      <c r="M18" s="82" t="s">
        <v>47</v>
      </c>
      <c r="N18" s="83"/>
      <c r="O18" s="84"/>
      <c r="P18" s="84"/>
      <c r="Q18" s="85"/>
      <c r="R18" s="66"/>
      <c r="S18" s="48"/>
      <c r="T18" s="86"/>
      <c r="U18" s="48"/>
      <c r="V18" s="48"/>
      <c r="W18" s="48"/>
      <c r="X18" s="48"/>
      <c r="Y18" s="5"/>
      <c r="Z18" s="5"/>
    </row>
    <row r="19" ht="13.5" customHeight="1">
      <c r="A19" s="48"/>
      <c r="B19" s="6"/>
      <c r="C19" s="7"/>
      <c r="D19" s="7"/>
      <c r="E19" s="7"/>
      <c r="F19" s="7"/>
      <c r="G19" s="7"/>
      <c r="H19" s="8"/>
      <c r="I19" s="48"/>
      <c r="J19" s="61"/>
      <c r="K19" s="87" t="s">
        <v>55</v>
      </c>
      <c r="L19" s="88">
        <v>327000.0</v>
      </c>
      <c r="M19" s="89">
        <f>P11</f>
        <v>233560</v>
      </c>
      <c r="N19" s="83"/>
      <c r="O19" s="84"/>
      <c r="P19" s="84"/>
      <c r="Q19" s="85"/>
      <c r="R19" s="66"/>
      <c r="S19" s="48"/>
      <c r="T19" s="90"/>
      <c r="U19" s="48"/>
      <c r="V19" s="48"/>
      <c r="W19" s="48"/>
      <c r="X19" s="48"/>
      <c r="Y19" s="5"/>
      <c r="Z19" s="5"/>
    </row>
    <row r="20" ht="15.75" customHeight="1">
      <c r="A20" s="48"/>
      <c r="B20" s="55" t="s">
        <v>56</v>
      </c>
      <c r="C20" s="2"/>
      <c r="D20" s="2"/>
      <c r="E20" s="2"/>
      <c r="F20" s="2"/>
      <c r="G20" s="2"/>
      <c r="H20" s="3"/>
      <c r="I20" s="48"/>
      <c r="J20" s="61"/>
      <c r="K20" s="91" t="s">
        <v>57</v>
      </c>
      <c r="L20" s="92">
        <f>L14</f>
        <v>343070</v>
      </c>
      <c r="M20" s="93">
        <f>120000</f>
        <v>120000</v>
      </c>
      <c r="N20" s="83"/>
      <c r="O20" s="84"/>
      <c r="P20" s="84"/>
      <c r="Q20" s="85"/>
      <c r="R20" s="66"/>
      <c r="S20" s="48"/>
      <c r="T20" s="48"/>
      <c r="U20" s="48"/>
      <c r="V20" s="48"/>
      <c r="W20" s="48"/>
      <c r="X20" s="48"/>
      <c r="Y20" s="5"/>
      <c r="Z20" s="5"/>
    </row>
    <row r="21" ht="16.5" customHeight="1">
      <c r="A21" s="48"/>
      <c r="B21" s="56"/>
      <c r="H21" s="57"/>
      <c r="I21" s="48"/>
      <c r="J21" s="61"/>
      <c r="K21" s="94" t="s">
        <v>41</v>
      </c>
      <c r="L21" s="95">
        <f>L13</f>
        <v>637130</v>
      </c>
      <c r="M21" s="96">
        <f>L17</f>
        <v>807097.222</v>
      </c>
      <c r="N21" s="97"/>
      <c r="O21" s="98"/>
      <c r="P21" s="98"/>
      <c r="Q21" s="99"/>
      <c r="R21" s="66"/>
      <c r="S21" s="48"/>
      <c r="T21" s="48"/>
      <c r="U21" s="48"/>
      <c r="V21" s="48"/>
      <c r="W21" s="48"/>
      <c r="X21" s="48"/>
      <c r="Y21" s="5"/>
      <c r="Z21" s="5"/>
    </row>
    <row r="22" ht="15.0" customHeight="1">
      <c r="A22" s="48"/>
      <c r="B22" s="56"/>
      <c r="H22" s="57"/>
      <c r="I22" s="48"/>
      <c r="J22" s="48"/>
      <c r="K22" s="100"/>
      <c r="L22" s="100"/>
      <c r="M22" s="100"/>
      <c r="N22" s="100"/>
      <c r="O22" s="100"/>
      <c r="P22" s="100"/>
      <c r="Q22" s="100"/>
      <c r="R22" s="48"/>
      <c r="S22" s="48"/>
      <c r="T22" s="48"/>
      <c r="U22" s="48"/>
      <c r="V22" s="48"/>
      <c r="W22" s="48"/>
      <c r="X22" s="48"/>
      <c r="Y22" s="5"/>
      <c r="Z22" s="5"/>
    </row>
    <row r="23" ht="16.5" customHeight="1">
      <c r="A23" s="48"/>
      <c r="B23" s="6"/>
      <c r="C23" s="7"/>
      <c r="D23" s="7"/>
      <c r="E23" s="7"/>
      <c r="F23" s="7"/>
      <c r="G23" s="7"/>
      <c r="H23" s="8"/>
      <c r="I23" s="48"/>
      <c r="J23" s="48"/>
      <c r="K23" s="58" t="s">
        <v>58</v>
      </c>
      <c r="L23" s="101"/>
      <c r="M23" s="101"/>
      <c r="N23" s="98"/>
      <c r="O23" s="102"/>
      <c r="P23" s="98"/>
      <c r="Q23" s="98"/>
      <c r="R23" s="98"/>
      <c r="S23" s="98"/>
      <c r="T23" s="98"/>
      <c r="U23" s="98"/>
      <c r="V23" s="59"/>
      <c r="W23" s="48"/>
      <c r="X23" s="48"/>
      <c r="Y23" s="5"/>
      <c r="Z23" s="5"/>
    </row>
    <row r="24" ht="15.75" customHeight="1">
      <c r="A24" s="48"/>
      <c r="B24" s="55" t="s">
        <v>59</v>
      </c>
      <c r="C24" s="2"/>
      <c r="D24" s="2"/>
      <c r="E24" s="2"/>
      <c r="F24" s="2"/>
      <c r="G24" s="2"/>
      <c r="H24" s="3"/>
      <c r="I24" s="48"/>
      <c r="J24" s="61"/>
      <c r="K24" s="103" t="s">
        <v>60</v>
      </c>
      <c r="L24" s="104"/>
      <c r="M24" s="105" t="s">
        <v>61</v>
      </c>
      <c r="N24" s="106">
        <v>0.0</v>
      </c>
      <c r="O24" s="107">
        <v>1.0</v>
      </c>
      <c r="P24" s="107">
        <v>2.0</v>
      </c>
      <c r="Q24" s="107">
        <v>3.0</v>
      </c>
      <c r="R24" s="107">
        <v>4.0</v>
      </c>
      <c r="S24" s="107">
        <v>5.0</v>
      </c>
      <c r="T24" s="107">
        <v>6.0</v>
      </c>
      <c r="U24" s="107">
        <v>7.0</v>
      </c>
      <c r="V24" s="108">
        <v>8.0</v>
      </c>
      <c r="W24" s="109"/>
      <c r="X24" s="86"/>
      <c r="Y24" s="5"/>
      <c r="Z24" s="5"/>
    </row>
    <row r="25" ht="13.5" customHeight="1">
      <c r="A25" s="48"/>
      <c r="B25" s="56"/>
      <c r="H25" s="57"/>
      <c r="I25" s="48"/>
      <c r="J25" s="61"/>
      <c r="K25" s="103" t="s">
        <v>62</v>
      </c>
      <c r="L25" s="104"/>
      <c r="M25" s="110"/>
      <c r="N25" s="111">
        <v>0.0</v>
      </c>
      <c r="O25" s="112">
        <f>C39</f>
        <v>15300</v>
      </c>
      <c r="P25" s="112">
        <f>C39</f>
        <v>15300</v>
      </c>
      <c r="Q25" s="112">
        <f>C39</f>
        <v>15300</v>
      </c>
      <c r="R25" s="112">
        <f>C39</f>
        <v>15300</v>
      </c>
      <c r="S25" s="112">
        <f>E39</f>
        <v>26000</v>
      </c>
      <c r="T25" s="112">
        <f>E39</f>
        <v>26000</v>
      </c>
      <c r="U25" s="112">
        <f>E39</f>
        <v>26000</v>
      </c>
      <c r="V25" s="113">
        <f>E39</f>
        <v>26000</v>
      </c>
      <c r="W25" s="114"/>
      <c r="X25" s="115"/>
      <c r="Y25" s="5"/>
      <c r="Z25" s="5"/>
    </row>
    <row r="26" ht="13.5" customHeight="1">
      <c r="A26" s="48"/>
      <c r="B26" s="56"/>
      <c r="H26" s="57"/>
      <c r="I26" s="48"/>
      <c r="J26" s="61"/>
      <c r="K26" s="116"/>
      <c r="L26" s="117"/>
      <c r="M26" s="118">
        <v>25.0</v>
      </c>
      <c r="N26" s="119">
        <f t="shared" ref="N26:V26" si="1">$M$26*N25</f>
        <v>0</v>
      </c>
      <c r="O26" s="120">
        <f t="shared" si="1"/>
        <v>382500</v>
      </c>
      <c r="P26" s="120">
        <f t="shared" si="1"/>
        <v>382500</v>
      </c>
      <c r="Q26" s="120">
        <f t="shared" si="1"/>
        <v>382500</v>
      </c>
      <c r="R26" s="120">
        <f t="shared" si="1"/>
        <v>382500</v>
      </c>
      <c r="S26" s="120">
        <f t="shared" si="1"/>
        <v>650000</v>
      </c>
      <c r="T26" s="120">
        <f t="shared" si="1"/>
        <v>650000</v>
      </c>
      <c r="U26" s="120">
        <f t="shared" si="1"/>
        <v>650000</v>
      </c>
      <c r="V26" s="120">
        <f t="shared" si="1"/>
        <v>650000</v>
      </c>
      <c r="W26" s="121"/>
      <c r="X26" s="122"/>
      <c r="Y26" s="5"/>
      <c r="Z26" s="5"/>
    </row>
    <row r="27" ht="13.5" customHeight="1">
      <c r="A27" s="48"/>
      <c r="B27" s="56"/>
      <c r="H27" s="57"/>
      <c r="I27" s="48"/>
      <c r="J27" s="61"/>
      <c r="K27" s="123"/>
      <c r="L27" s="124"/>
      <c r="M27" s="125">
        <v>-123000.0</v>
      </c>
      <c r="N27" s="121">
        <v>0.0</v>
      </c>
      <c r="O27" s="60">
        <f t="shared" ref="O27:R27" si="2">$M$27</f>
        <v>-123000</v>
      </c>
      <c r="P27" s="60">
        <f t="shared" si="2"/>
        <v>-123000</v>
      </c>
      <c r="Q27" s="60">
        <f t="shared" si="2"/>
        <v>-123000</v>
      </c>
      <c r="R27" s="60">
        <f t="shared" si="2"/>
        <v>-123000</v>
      </c>
      <c r="S27" s="122">
        <f t="shared" ref="S27:V27" si="3">$M$28</f>
        <v>-242000</v>
      </c>
      <c r="T27" s="122">
        <f t="shared" si="3"/>
        <v>-242000</v>
      </c>
      <c r="U27" s="122">
        <f t="shared" si="3"/>
        <v>-242000</v>
      </c>
      <c r="V27" s="122">
        <f t="shared" si="3"/>
        <v>-242000</v>
      </c>
      <c r="W27" s="126"/>
      <c r="X27" s="60"/>
      <c r="Y27" s="5"/>
      <c r="Z27" s="5"/>
    </row>
    <row r="28" ht="16.5" customHeight="1">
      <c r="A28" s="48"/>
      <c r="B28" s="6"/>
      <c r="C28" s="7"/>
      <c r="D28" s="7"/>
      <c r="E28" s="7"/>
      <c r="F28" s="7"/>
      <c r="G28" s="7"/>
      <c r="H28" s="8"/>
      <c r="I28" s="48"/>
      <c r="J28" s="61"/>
      <c r="K28" s="127"/>
      <c r="L28" s="128"/>
      <c r="M28" s="129">
        <f>-242000</f>
        <v>-242000</v>
      </c>
      <c r="N28" s="130"/>
      <c r="O28" s="131"/>
      <c r="P28" s="131"/>
      <c r="Q28" s="131"/>
      <c r="R28" s="131"/>
      <c r="S28" s="131"/>
      <c r="T28" s="131"/>
      <c r="U28" s="131"/>
      <c r="V28" s="132"/>
      <c r="W28" s="126"/>
      <c r="X28" s="60"/>
      <c r="Y28" s="5"/>
      <c r="Z28" s="5"/>
    </row>
    <row r="29" ht="15.75" customHeight="1">
      <c r="A29" s="48"/>
      <c r="B29" s="55" t="s">
        <v>63</v>
      </c>
      <c r="C29" s="2"/>
      <c r="D29" s="2"/>
      <c r="E29" s="2"/>
      <c r="F29" s="2"/>
      <c r="G29" s="2"/>
      <c r="H29" s="3"/>
      <c r="I29" s="48"/>
      <c r="J29" s="61"/>
      <c r="K29" s="103" t="s">
        <v>64</v>
      </c>
      <c r="L29" s="133"/>
      <c r="M29" s="134"/>
      <c r="N29" s="135">
        <f t="shared" ref="N29:V29" si="4">SUM(N26:N27)</f>
        <v>0</v>
      </c>
      <c r="O29" s="136">
        <f t="shared" si="4"/>
        <v>259500</v>
      </c>
      <c r="P29" s="136">
        <f t="shared" si="4"/>
        <v>259500</v>
      </c>
      <c r="Q29" s="136">
        <f t="shared" si="4"/>
        <v>259500</v>
      </c>
      <c r="R29" s="136">
        <f t="shared" si="4"/>
        <v>259500</v>
      </c>
      <c r="S29" s="136">
        <f t="shared" si="4"/>
        <v>408000</v>
      </c>
      <c r="T29" s="136">
        <f t="shared" si="4"/>
        <v>408000</v>
      </c>
      <c r="U29" s="136">
        <f t="shared" si="4"/>
        <v>408000</v>
      </c>
      <c r="V29" s="136">
        <f t="shared" si="4"/>
        <v>408000</v>
      </c>
      <c r="W29" s="126"/>
      <c r="X29" s="60"/>
      <c r="Y29" s="5"/>
      <c r="Z29" s="5"/>
    </row>
    <row r="30" ht="13.5" customHeight="1">
      <c r="A30" s="48"/>
      <c r="B30" s="56"/>
      <c r="H30" s="57"/>
      <c r="I30" s="48"/>
      <c r="J30" s="61"/>
      <c r="K30" s="137" t="s">
        <v>65</v>
      </c>
      <c r="L30" s="117"/>
      <c r="M30" s="138" t="s">
        <v>66</v>
      </c>
      <c r="N30" s="119">
        <f t="shared" ref="N30:N32" si="5">-L19</f>
        <v>-327000</v>
      </c>
      <c r="O30" s="139"/>
      <c r="P30" s="139"/>
      <c r="Q30" s="139"/>
      <c r="R30" s="139"/>
      <c r="S30" s="139"/>
      <c r="T30" s="139"/>
      <c r="U30" s="139"/>
      <c r="V30" s="140"/>
      <c r="W30" s="83"/>
      <c r="X30" s="84"/>
      <c r="Y30" s="5"/>
      <c r="Z30" s="5"/>
    </row>
    <row r="31" ht="13.5" customHeight="1">
      <c r="A31" s="48"/>
      <c r="B31" s="56"/>
      <c r="H31" s="57"/>
      <c r="I31" s="48"/>
      <c r="J31" s="61"/>
      <c r="K31" s="123"/>
      <c r="L31" s="124"/>
      <c r="M31" s="125" t="s">
        <v>67</v>
      </c>
      <c r="N31" s="141">
        <f t="shared" si="5"/>
        <v>-343070</v>
      </c>
      <c r="O31" s="60"/>
      <c r="P31" s="60"/>
      <c r="Q31" s="60"/>
      <c r="R31" s="60"/>
      <c r="S31" s="60"/>
      <c r="T31" s="60"/>
      <c r="U31" s="60"/>
      <c r="V31" s="85"/>
      <c r="W31" s="83"/>
      <c r="X31" s="84"/>
      <c r="Y31" s="5"/>
      <c r="Z31" s="5"/>
    </row>
    <row r="32" ht="13.5" customHeight="1">
      <c r="A32" s="48"/>
      <c r="B32" s="56"/>
      <c r="H32" s="57"/>
      <c r="I32" s="48"/>
      <c r="J32" s="61"/>
      <c r="K32" s="123"/>
      <c r="L32" s="124"/>
      <c r="M32" s="142" t="s">
        <v>68</v>
      </c>
      <c r="N32" s="141">
        <f t="shared" si="5"/>
        <v>-637130</v>
      </c>
      <c r="O32" s="60"/>
      <c r="P32" s="60"/>
      <c r="Q32" s="60"/>
      <c r="R32" s="60"/>
      <c r="S32" s="60"/>
      <c r="T32" s="60"/>
      <c r="U32" s="60"/>
      <c r="V32" s="85"/>
      <c r="W32" s="83"/>
      <c r="X32" s="84"/>
      <c r="Y32" s="5"/>
      <c r="Z32" s="5"/>
    </row>
    <row r="33" ht="13.5" customHeight="1">
      <c r="A33" s="48"/>
      <c r="B33" s="6"/>
      <c r="C33" s="7"/>
      <c r="D33" s="7"/>
      <c r="E33" s="7"/>
      <c r="F33" s="7"/>
      <c r="G33" s="7"/>
      <c r="H33" s="8"/>
      <c r="I33" s="48"/>
      <c r="J33" s="61"/>
      <c r="K33" s="123"/>
      <c r="L33" s="124"/>
      <c r="M33" s="142" t="s">
        <v>69</v>
      </c>
      <c r="N33" s="141">
        <v>-20000.0</v>
      </c>
      <c r="O33" s="60"/>
      <c r="P33" s="60"/>
      <c r="Q33" s="60"/>
      <c r="R33" s="60">
        <f>-30000</f>
        <v>-30000</v>
      </c>
      <c r="S33" s="60"/>
      <c r="T33" s="60"/>
      <c r="U33" s="60"/>
      <c r="V33" s="85"/>
      <c r="W33" s="83"/>
      <c r="X33" s="84"/>
      <c r="Y33" s="5"/>
      <c r="Z33" s="5"/>
    </row>
    <row r="34" ht="16.5" customHeight="1">
      <c r="A34" s="48"/>
      <c r="B34" s="48"/>
      <c r="C34" s="59"/>
      <c r="D34" s="59"/>
      <c r="E34" s="59"/>
      <c r="F34" s="59"/>
      <c r="G34" s="48"/>
      <c r="H34" s="48"/>
      <c r="I34" s="48"/>
      <c r="J34" s="61"/>
      <c r="K34" s="123"/>
      <c r="L34" s="124"/>
      <c r="M34" s="142"/>
      <c r="N34" s="141"/>
      <c r="O34" s="60"/>
      <c r="P34" s="60"/>
      <c r="Q34" s="60"/>
      <c r="R34" s="60"/>
      <c r="S34" s="60"/>
      <c r="T34" s="60"/>
      <c r="U34" s="60"/>
      <c r="V34" s="85"/>
      <c r="W34" s="83"/>
      <c r="X34" s="84"/>
      <c r="Y34" s="5"/>
      <c r="Z34" s="5"/>
    </row>
    <row r="35" ht="17.25" customHeight="1">
      <c r="A35" s="48"/>
      <c r="B35" s="61"/>
      <c r="C35" s="143" t="s">
        <v>70</v>
      </c>
      <c r="D35" s="144"/>
      <c r="E35" s="143" t="s">
        <v>71</v>
      </c>
      <c r="F35" s="144"/>
      <c r="G35" s="66"/>
      <c r="H35" s="48"/>
      <c r="I35" s="48"/>
      <c r="J35" s="61"/>
      <c r="K35" s="145"/>
      <c r="L35" s="146"/>
      <c r="M35" s="147"/>
      <c r="N35" s="148"/>
      <c r="O35" s="149"/>
      <c r="P35" s="149"/>
      <c r="Q35" s="149"/>
      <c r="R35" s="149"/>
      <c r="S35" s="150"/>
      <c r="T35" s="149"/>
      <c r="U35" s="150"/>
      <c r="V35" s="151"/>
      <c r="W35" s="83"/>
      <c r="X35" s="84"/>
      <c r="Y35" s="5"/>
      <c r="Z35" s="5"/>
    </row>
    <row r="36" ht="15.75" customHeight="1">
      <c r="A36" s="48"/>
      <c r="B36" s="61"/>
      <c r="C36" s="152" t="s">
        <v>72</v>
      </c>
      <c r="D36" s="153"/>
      <c r="E36" s="152" t="s">
        <v>72</v>
      </c>
      <c r="F36" s="153"/>
      <c r="G36" s="66"/>
      <c r="H36" s="48"/>
      <c r="I36" s="48"/>
      <c r="J36" s="61"/>
      <c r="K36" s="154" t="s">
        <v>73</v>
      </c>
      <c r="L36" s="155"/>
      <c r="M36" s="156" t="s">
        <v>74</v>
      </c>
      <c r="N36" s="157"/>
      <c r="O36" s="158"/>
      <c r="P36" s="158"/>
      <c r="Q36" s="158"/>
      <c r="R36" s="158"/>
      <c r="S36" s="158"/>
      <c r="T36" s="158"/>
      <c r="U36" s="158"/>
      <c r="V36" s="159">
        <f t="shared" ref="V36:V38" si="6">M19</f>
        <v>233560</v>
      </c>
      <c r="W36" s="83"/>
      <c r="X36" s="84"/>
      <c r="Y36" s="5"/>
      <c r="Z36" s="5"/>
    </row>
    <row r="37" ht="13.5" customHeight="1">
      <c r="A37" s="48"/>
      <c r="B37" s="61"/>
      <c r="C37" s="160"/>
      <c r="D37" s="161"/>
      <c r="E37" s="160"/>
      <c r="F37" s="161"/>
      <c r="G37" s="66"/>
      <c r="H37" s="48"/>
      <c r="I37" s="48"/>
      <c r="J37" s="61"/>
      <c r="K37" s="123"/>
      <c r="L37" s="124"/>
      <c r="M37" s="162" t="s">
        <v>75</v>
      </c>
      <c r="N37" s="121"/>
      <c r="O37" s="60"/>
      <c r="P37" s="60"/>
      <c r="Q37" s="60"/>
      <c r="R37" s="60"/>
      <c r="S37" s="60"/>
      <c r="T37" s="60"/>
      <c r="U37" s="60"/>
      <c r="V37" s="163">
        <f t="shared" si="6"/>
        <v>120000</v>
      </c>
      <c r="W37" s="83"/>
      <c r="X37" s="84"/>
      <c r="Y37" s="5"/>
      <c r="Z37" s="5"/>
    </row>
    <row r="38" ht="16.5" customHeight="1">
      <c r="A38" s="48"/>
      <c r="B38" s="61"/>
      <c r="C38" s="164"/>
      <c r="D38" s="165"/>
      <c r="E38" s="164"/>
      <c r="F38" s="165"/>
      <c r="G38" s="66"/>
      <c r="H38" s="48"/>
      <c r="I38" s="48"/>
      <c r="J38" s="61"/>
      <c r="K38" s="123"/>
      <c r="L38" s="124"/>
      <c r="M38" s="162" t="s">
        <v>76</v>
      </c>
      <c r="N38" s="121"/>
      <c r="O38" s="60"/>
      <c r="P38" s="60"/>
      <c r="Q38" s="60"/>
      <c r="R38" s="60"/>
      <c r="S38" s="60"/>
      <c r="T38" s="60"/>
      <c r="U38" s="60"/>
      <c r="V38" s="163">
        <f t="shared" si="6"/>
        <v>807097.222</v>
      </c>
      <c r="W38" s="83"/>
      <c r="X38" s="84"/>
      <c r="Y38" s="5"/>
      <c r="Z38" s="5"/>
    </row>
    <row r="39" ht="16.5" customHeight="1">
      <c r="A39" s="48"/>
      <c r="B39" s="61"/>
      <c r="C39" s="166">
        <v>15300.0</v>
      </c>
      <c r="D39" s="167"/>
      <c r="E39" s="166">
        <v>26000.0</v>
      </c>
      <c r="F39" s="167"/>
      <c r="G39" s="66"/>
      <c r="H39" s="48"/>
      <c r="I39" s="48"/>
      <c r="J39" s="61"/>
      <c r="K39" s="123"/>
      <c r="L39" s="124"/>
      <c r="M39" s="162" t="s">
        <v>77</v>
      </c>
      <c r="N39" s="121"/>
      <c r="O39" s="60"/>
      <c r="P39" s="60"/>
      <c r="Q39" s="60"/>
      <c r="R39" s="60"/>
      <c r="S39" s="60"/>
      <c r="T39" s="60"/>
      <c r="U39" s="60"/>
      <c r="V39" s="163">
        <f>-(N33+R33)</f>
        <v>50000</v>
      </c>
      <c r="W39" s="83"/>
      <c r="X39" s="84"/>
      <c r="Y39" s="5"/>
      <c r="Z39" s="5"/>
    </row>
    <row r="40" ht="17.25" customHeight="1">
      <c r="A40" s="48"/>
      <c r="B40" s="48"/>
      <c r="C40" s="168"/>
      <c r="D40" s="169"/>
      <c r="E40" s="168"/>
      <c r="F40" s="169"/>
      <c r="G40" s="48"/>
      <c r="H40" s="48"/>
      <c r="I40" s="48"/>
      <c r="J40" s="61"/>
      <c r="K40" s="123"/>
      <c r="L40" s="124"/>
      <c r="M40" s="162"/>
      <c r="N40" s="121"/>
      <c r="O40" s="60"/>
      <c r="P40" s="60"/>
      <c r="Q40" s="60"/>
      <c r="R40" s="60"/>
      <c r="S40" s="60"/>
      <c r="T40" s="60"/>
      <c r="U40" s="170"/>
      <c r="V40" s="163"/>
      <c r="W40" s="83"/>
      <c r="X40" s="84"/>
      <c r="Y40" s="5"/>
      <c r="Z40" s="5"/>
    </row>
    <row r="41" ht="16.5" customHeight="1">
      <c r="A41" s="48"/>
      <c r="B41" s="48"/>
      <c r="C41" s="171"/>
      <c r="D41" s="172"/>
      <c r="E41" s="171"/>
      <c r="F41" s="172"/>
      <c r="G41" s="48"/>
      <c r="H41" s="48"/>
      <c r="I41" s="48"/>
      <c r="J41" s="61"/>
      <c r="K41" s="173"/>
      <c r="L41" s="146"/>
      <c r="M41" s="174"/>
      <c r="N41" s="175"/>
      <c r="O41" s="150"/>
      <c r="P41" s="150"/>
      <c r="Q41" s="150"/>
      <c r="R41" s="150"/>
      <c r="S41" s="150"/>
      <c r="T41" s="150"/>
      <c r="U41" s="176"/>
      <c r="V41" s="151"/>
      <c r="W41" s="83"/>
      <c r="X41" s="84"/>
      <c r="Y41" s="5"/>
      <c r="Z41" s="5"/>
    </row>
    <row r="42" ht="16.5" customHeight="1">
      <c r="A42" s="48"/>
      <c r="B42" s="48"/>
      <c r="C42" s="171"/>
      <c r="D42" s="172"/>
      <c r="E42" s="171"/>
      <c r="F42" s="172"/>
      <c r="G42" s="48"/>
      <c r="H42" s="48"/>
      <c r="I42" s="48"/>
      <c r="J42" s="61"/>
      <c r="K42" s="154" t="s">
        <v>78</v>
      </c>
      <c r="L42" s="155"/>
      <c r="M42" s="156"/>
      <c r="N42" s="177">
        <f>N29+SUM(N30:N35)+SUM(N36:N41)</f>
        <v>-1327200</v>
      </c>
      <c r="O42" s="178">
        <f t="shared" ref="O42:Q42" si="7">O29</f>
        <v>259500</v>
      </c>
      <c r="P42" s="178">
        <f t="shared" si="7"/>
        <v>259500</v>
      </c>
      <c r="Q42" s="178">
        <f t="shared" si="7"/>
        <v>259500</v>
      </c>
      <c r="R42" s="178">
        <f>R29+R33</f>
        <v>229500</v>
      </c>
      <c r="S42" s="178">
        <f t="shared" ref="S42:U42" si="8">S29</f>
        <v>408000</v>
      </c>
      <c r="T42" s="178">
        <f t="shared" si="8"/>
        <v>408000</v>
      </c>
      <c r="U42" s="178">
        <f t="shared" si="8"/>
        <v>408000</v>
      </c>
      <c r="V42" s="179">
        <f>V29+SUM(V36:V39)</f>
        <v>1618657.222</v>
      </c>
      <c r="W42" s="180"/>
      <c r="X42" s="181"/>
      <c r="Y42" s="5"/>
      <c r="Z42" s="5"/>
    </row>
    <row r="43" ht="16.5" customHeight="1">
      <c r="A43" s="48"/>
      <c r="B43" s="48"/>
      <c r="C43" s="84"/>
      <c r="D43" s="76"/>
      <c r="E43" s="171"/>
      <c r="F43" s="172"/>
      <c r="G43" s="48"/>
      <c r="H43" s="48"/>
      <c r="I43" s="48"/>
      <c r="J43" s="61"/>
      <c r="K43" s="182" t="s">
        <v>79</v>
      </c>
      <c r="L43" s="124"/>
      <c r="M43" s="156">
        <v>0.11</v>
      </c>
      <c r="N43" s="183">
        <f t="shared" ref="N43:V43" si="9">(1+$M$43)^(-N24)</f>
        <v>1</v>
      </c>
      <c r="O43" s="184">
        <f t="shared" si="9"/>
        <v>0.9009009009</v>
      </c>
      <c r="P43" s="184">
        <f t="shared" si="9"/>
        <v>0.8116224332</v>
      </c>
      <c r="Q43" s="184">
        <f t="shared" si="9"/>
        <v>0.7311913813</v>
      </c>
      <c r="R43" s="184">
        <f t="shared" si="9"/>
        <v>0.6587309741</v>
      </c>
      <c r="S43" s="184">
        <f t="shared" si="9"/>
        <v>0.5934513281</v>
      </c>
      <c r="T43" s="184">
        <f t="shared" si="9"/>
        <v>0.5346408361</v>
      </c>
      <c r="U43" s="184">
        <f t="shared" si="9"/>
        <v>0.4816584109</v>
      </c>
      <c r="V43" s="184">
        <f t="shared" si="9"/>
        <v>0.4339264963</v>
      </c>
      <c r="W43" s="185"/>
      <c r="X43" s="186"/>
      <c r="Y43" s="5"/>
      <c r="Z43" s="5"/>
    </row>
    <row r="44" ht="16.5" customHeight="1">
      <c r="A44" s="48"/>
      <c r="B44" s="48"/>
      <c r="C44" s="48"/>
      <c r="D44" s="48"/>
      <c r="E44" s="48"/>
      <c r="F44" s="76"/>
      <c r="G44" s="48"/>
      <c r="H44" s="48"/>
      <c r="I44" s="48"/>
      <c r="J44" s="61"/>
      <c r="K44" s="187" t="s">
        <v>80</v>
      </c>
      <c r="L44" s="128"/>
      <c r="M44" s="188"/>
      <c r="N44" s="189">
        <f t="shared" ref="N44:V44" si="10">N42*N43</f>
        <v>-1327200</v>
      </c>
      <c r="O44" s="190">
        <f t="shared" si="10"/>
        <v>233783.7838</v>
      </c>
      <c r="P44" s="190">
        <f t="shared" si="10"/>
        <v>210616.0214</v>
      </c>
      <c r="Q44" s="190">
        <f t="shared" si="10"/>
        <v>189744.1634</v>
      </c>
      <c r="R44" s="190">
        <f t="shared" si="10"/>
        <v>151178.7586</v>
      </c>
      <c r="S44" s="190">
        <f t="shared" si="10"/>
        <v>242128.1418</v>
      </c>
      <c r="T44" s="190">
        <f t="shared" si="10"/>
        <v>218133.4611</v>
      </c>
      <c r="U44" s="190">
        <f t="shared" si="10"/>
        <v>196516.6316</v>
      </c>
      <c r="V44" s="190">
        <f t="shared" si="10"/>
        <v>702378.257</v>
      </c>
      <c r="W44" s="191"/>
      <c r="X44" s="192"/>
      <c r="Y44" s="5"/>
      <c r="Z44" s="5"/>
    </row>
    <row r="45" ht="15.75" customHeight="1">
      <c r="A45" s="48"/>
      <c r="B45" s="55" t="s">
        <v>81</v>
      </c>
      <c r="C45" s="2"/>
      <c r="D45" s="2"/>
      <c r="E45" s="2"/>
      <c r="F45" s="2"/>
      <c r="G45" s="2"/>
      <c r="H45" s="3"/>
      <c r="I45" s="48"/>
      <c r="J45" s="61"/>
      <c r="K45" s="103" t="s">
        <v>82</v>
      </c>
      <c r="L45" s="134"/>
      <c r="M45" s="193">
        <f>SUM(N44:V44)</f>
        <v>817279.2189</v>
      </c>
      <c r="N45" s="134"/>
      <c r="O45" s="194"/>
      <c r="P45" s="195"/>
      <c r="Q45" s="195"/>
      <c r="R45" s="195"/>
      <c r="S45" s="195"/>
      <c r="T45" s="195"/>
      <c r="U45" s="195"/>
      <c r="V45" s="195"/>
      <c r="W45" s="84"/>
      <c r="X45" s="84"/>
      <c r="Y45" s="5"/>
      <c r="Z45" s="5"/>
    </row>
    <row r="46" ht="13.5" customHeight="1">
      <c r="A46" s="48"/>
      <c r="B46" s="56"/>
      <c r="H46" s="57"/>
      <c r="I46" s="48"/>
      <c r="J46" s="48"/>
      <c r="K46" s="100"/>
      <c r="L46" s="100"/>
      <c r="M46" s="100"/>
      <c r="N46" s="100"/>
      <c r="O46" s="48"/>
      <c r="P46" s="48"/>
      <c r="Q46" s="48"/>
      <c r="R46" s="48"/>
      <c r="S46" s="48"/>
      <c r="T46" s="48"/>
      <c r="U46" s="84"/>
      <c r="V46" s="84"/>
      <c r="W46" s="84"/>
      <c r="X46" s="84"/>
      <c r="Y46" s="5"/>
      <c r="Z46" s="5"/>
    </row>
    <row r="47" ht="13.5" customHeight="1">
      <c r="A47" s="48"/>
      <c r="B47" s="56"/>
      <c r="H47" s="57"/>
      <c r="I47" s="48"/>
      <c r="J47" s="48"/>
      <c r="K47" s="196" t="s">
        <v>83</v>
      </c>
      <c r="L47" s="197"/>
      <c r="M47" s="198"/>
      <c r="N47" s="198"/>
      <c r="O47" s="84"/>
      <c r="P47" s="48"/>
      <c r="Q47" s="58" t="s">
        <v>84</v>
      </c>
      <c r="R47" s="59"/>
      <c r="S47" s="59"/>
      <c r="T47" s="48"/>
      <c r="U47" s="84"/>
      <c r="V47" s="84"/>
      <c r="W47" s="84"/>
      <c r="X47" s="84"/>
      <c r="Y47" s="5"/>
      <c r="Z47" s="5"/>
    </row>
    <row r="48" ht="17.25" customHeight="1">
      <c r="A48" s="48"/>
      <c r="B48" s="6"/>
      <c r="C48" s="7"/>
      <c r="D48" s="7"/>
      <c r="E48" s="7"/>
      <c r="F48" s="7"/>
      <c r="G48" s="7"/>
      <c r="H48" s="8"/>
      <c r="I48" s="48"/>
      <c r="J48" s="61"/>
      <c r="K48" s="199" t="s">
        <v>85</v>
      </c>
      <c r="L48" s="200"/>
      <c r="M48" s="201">
        <f>(M43*(1+M43)^8)/((1+M43)^8-1)</f>
        <v>0.1943210542</v>
      </c>
      <c r="N48" s="144"/>
      <c r="O48" s="83"/>
      <c r="P48" s="61"/>
      <c r="Q48" s="202" t="s">
        <v>86</v>
      </c>
      <c r="R48" s="203" t="s">
        <v>87</v>
      </c>
      <c r="S48" s="204"/>
      <c r="T48" s="83"/>
      <c r="U48" s="84"/>
      <c r="V48" s="48"/>
      <c r="W48" s="48"/>
      <c r="X48" s="48"/>
      <c r="Y48" s="5"/>
      <c r="Z48" s="5"/>
    </row>
    <row r="49" ht="15.75" customHeight="1">
      <c r="A49" s="48"/>
      <c r="B49" s="55" t="s">
        <v>88</v>
      </c>
      <c r="C49" s="2"/>
      <c r="D49" s="2"/>
      <c r="E49" s="2"/>
      <c r="F49" s="2"/>
      <c r="G49" s="2"/>
      <c r="H49" s="3"/>
      <c r="I49" s="48"/>
      <c r="J49" s="61"/>
      <c r="K49" s="205" t="s">
        <v>89</v>
      </c>
      <c r="L49" s="128"/>
      <c r="M49" s="206">
        <f>M45*M48</f>
        <v>158814.5594</v>
      </c>
      <c r="N49" s="167"/>
      <c r="O49" s="207"/>
      <c r="P49" s="61"/>
      <c r="Q49" s="208">
        <v>0.0</v>
      </c>
      <c r="R49" s="209">
        <f>N44+R33*R43</f>
        <v>-1346961.929</v>
      </c>
      <c r="S49" s="210">
        <f>R49</f>
        <v>-1346961.929</v>
      </c>
      <c r="T49" s="83"/>
      <c r="U49" s="84"/>
      <c r="V49" s="48"/>
      <c r="W49" s="48"/>
      <c r="X49" s="48"/>
      <c r="Y49" s="5"/>
      <c r="Z49" s="5"/>
    </row>
    <row r="50" ht="13.5" customHeight="1">
      <c r="A50" s="48"/>
      <c r="B50" s="56"/>
      <c r="H50" s="57"/>
      <c r="I50" s="48"/>
      <c r="J50" s="48"/>
      <c r="K50" s="211"/>
      <c r="L50" s="212"/>
      <c r="M50" s="213"/>
      <c r="N50" s="213"/>
      <c r="O50" s="48"/>
      <c r="P50" s="61"/>
      <c r="Q50" s="208">
        <v>1.0</v>
      </c>
      <c r="R50" s="209">
        <f>O44</f>
        <v>233783.7838</v>
      </c>
      <c r="S50" s="210">
        <f t="shared" ref="S50:S57" si="11">S49+R50</f>
        <v>-1113178.145</v>
      </c>
      <c r="T50" s="83"/>
      <c r="U50" s="48"/>
      <c r="V50" s="48"/>
      <c r="W50" s="48"/>
      <c r="X50" s="48"/>
      <c r="Y50" s="5"/>
      <c r="Z50" s="5"/>
    </row>
    <row r="51" ht="13.5" customHeight="1">
      <c r="A51" s="48"/>
      <c r="B51" s="56"/>
      <c r="H51" s="57"/>
      <c r="I51" s="48"/>
      <c r="J51" s="48"/>
      <c r="K51" s="58" t="s">
        <v>90</v>
      </c>
      <c r="L51" s="101"/>
      <c r="M51" s="214"/>
      <c r="N51" s="214"/>
      <c r="O51" s="84"/>
      <c r="P51" s="61"/>
      <c r="Q51" s="208">
        <v>2.0</v>
      </c>
      <c r="R51" s="209">
        <f>P44</f>
        <v>210616.0214</v>
      </c>
      <c r="S51" s="210">
        <f t="shared" si="11"/>
        <v>-902562.124</v>
      </c>
      <c r="T51" s="83"/>
      <c r="U51" s="48"/>
      <c r="V51" s="48"/>
      <c r="W51" s="48"/>
      <c r="X51" s="48"/>
      <c r="Y51" s="5"/>
      <c r="Z51" s="5"/>
    </row>
    <row r="52" ht="13.5" customHeight="1">
      <c r="A52" s="48"/>
      <c r="B52" s="56"/>
      <c r="H52" s="57"/>
      <c r="I52" s="48"/>
      <c r="J52" s="61"/>
      <c r="K52" s="215" t="s">
        <v>91</v>
      </c>
      <c r="L52" s="216">
        <f>ABS(SUM(N30:N33)+R33*R43)</f>
        <v>1346961.929</v>
      </c>
      <c r="M52" s="217" t="s">
        <v>92</v>
      </c>
      <c r="N52" s="218">
        <f>M45</f>
        <v>817279.2189</v>
      </c>
      <c r="O52" s="83"/>
      <c r="P52" s="61"/>
      <c r="Q52" s="208">
        <v>3.0</v>
      </c>
      <c r="R52" s="209">
        <f>Q44</f>
        <v>189744.1634</v>
      </c>
      <c r="S52" s="210">
        <f t="shared" si="11"/>
        <v>-712817.9606</v>
      </c>
      <c r="T52" s="83"/>
      <c r="U52" s="48"/>
      <c r="V52" s="48"/>
      <c r="W52" s="48"/>
      <c r="X52" s="48"/>
      <c r="Y52" s="5"/>
      <c r="Z52" s="5"/>
    </row>
    <row r="53" ht="16.5" customHeight="1">
      <c r="A53" s="48"/>
      <c r="B53" s="56"/>
      <c r="H53" s="57"/>
      <c r="I53" s="48"/>
      <c r="J53" s="61"/>
      <c r="K53" s="219"/>
      <c r="L53" s="101"/>
      <c r="M53" s="214"/>
      <c r="N53" s="220"/>
      <c r="O53" s="83"/>
      <c r="P53" s="61"/>
      <c r="Q53" s="208">
        <v>4.0</v>
      </c>
      <c r="R53" s="209">
        <f>R44+30000*R43</f>
        <v>170940.6878</v>
      </c>
      <c r="S53" s="210">
        <f t="shared" si="11"/>
        <v>-541877.2728</v>
      </c>
      <c r="T53" s="83"/>
      <c r="U53" s="48"/>
      <c r="V53" s="48"/>
      <c r="W53" s="48"/>
      <c r="X53" s="48"/>
      <c r="Y53" s="5"/>
      <c r="Z53" s="5"/>
    </row>
    <row r="54" ht="16.5" customHeight="1">
      <c r="A54" s="48"/>
      <c r="B54" s="6"/>
      <c r="C54" s="7"/>
      <c r="D54" s="7"/>
      <c r="E54" s="7"/>
      <c r="F54" s="7"/>
      <c r="G54" s="7"/>
      <c r="H54" s="8"/>
      <c r="I54" s="48"/>
      <c r="J54" s="61"/>
      <c r="K54" s="221" t="s">
        <v>93</v>
      </c>
      <c r="L54" s="104"/>
      <c r="M54" s="222">
        <f>M45/L52+1</f>
        <v>1.606757475</v>
      </c>
      <c r="N54" s="134"/>
      <c r="O54" s="207"/>
      <c r="P54" s="61"/>
      <c r="Q54" s="208">
        <v>5.0</v>
      </c>
      <c r="R54" s="209">
        <f>S44</f>
        <v>242128.1418</v>
      </c>
      <c r="S54" s="210">
        <f t="shared" si="11"/>
        <v>-299749.1309</v>
      </c>
      <c r="T54" s="83"/>
      <c r="U54" s="48"/>
      <c r="V54" s="48"/>
      <c r="W54" s="48"/>
      <c r="X54" s="48"/>
      <c r="Y54" s="5"/>
      <c r="Z54" s="5"/>
    </row>
    <row r="55" ht="17.25" customHeight="1">
      <c r="A55" s="48"/>
      <c r="B55" s="48"/>
      <c r="C55" s="48"/>
      <c r="D55" s="48"/>
      <c r="E55" s="48"/>
      <c r="F55" s="48"/>
      <c r="G55" s="48"/>
      <c r="H55" s="48"/>
      <c r="I55" s="48"/>
      <c r="J55" s="48"/>
      <c r="K55" s="100"/>
      <c r="L55" s="100"/>
      <c r="M55" s="100"/>
      <c r="N55" s="100"/>
      <c r="O55" s="48"/>
      <c r="P55" s="61"/>
      <c r="Q55" s="208">
        <v>6.0</v>
      </c>
      <c r="R55" s="209">
        <f>T44</f>
        <v>218133.4611</v>
      </c>
      <c r="S55" s="210">
        <f t="shared" si="11"/>
        <v>-81615.6698</v>
      </c>
      <c r="T55" s="83"/>
      <c r="U55" s="48"/>
      <c r="V55" s="48"/>
      <c r="W55" s="48"/>
      <c r="X55" s="48"/>
      <c r="Y55" s="5"/>
      <c r="Z55" s="5"/>
    </row>
    <row r="56" ht="16.5" customHeight="1">
      <c r="A56" s="48"/>
      <c r="B56" s="223" t="s">
        <v>94</v>
      </c>
      <c r="C56" s="11"/>
      <c r="D56" s="11"/>
      <c r="E56" s="11"/>
      <c r="F56" s="11"/>
      <c r="G56" s="11"/>
      <c r="H56" s="12"/>
      <c r="I56" s="48"/>
      <c r="J56" s="48"/>
      <c r="K56" s="224" t="s">
        <v>95</v>
      </c>
      <c r="L56" s="225"/>
      <c r="M56" s="226"/>
      <c r="N56" s="226"/>
      <c r="O56" s="98"/>
      <c r="P56" s="61"/>
      <c r="Q56" s="208">
        <v>7.0</v>
      </c>
      <c r="R56" s="209">
        <f>U44</f>
        <v>196516.6316</v>
      </c>
      <c r="S56" s="210">
        <f t="shared" si="11"/>
        <v>114900.9618</v>
      </c>
      <c r="T56" s="83"/>
      <c r="U56" s="48"/>
      <c r="V56" s="48"/>
      <c r="W56" s="48"/>
      <c r="X56" s="48"/>
      <c r="Y56" s="5"/>
      <c r="Z56" s="5"/>
    </row>
    <row r="57" ht="16.5" customHeight="1">
      <c r="A57" s="48"/>
      <c r="B57" s="48"/>
      <c r="C57" s="48"/>
      <c r="D57" s="48"/>
      <c r="E57" s="48"/>
      <c r="F57" s="48"/>
      <c r="G57" s="48"/>
      <c r="H57" s="48"/>
      <c r="I57" s="48"/>
      <c r="J57" s="61"/>
      <c r="K57" s="227"/>
      <c r="L57" s="211"/>
      <c r="M57" s="195"/>
      <c r="N57" s="228"/>
      <c r="O57" s="140"/>
      <c r="P57" s="229"/>
      <c r="Q57" s="230">
        <v>8.0</v>
      </c>
      <c r="R57" s="231">
        <f>V44</f>
        <v>702378.257</v>
      </c>
      <c r="S57" s="232">
        <f t="shared" si="11"/>
        <v>817279.2189</v>
      </c>
      <c r="T57" s="83"/>
      <c r="U57" s="48"/>
      <c r="V57" s="48"/>
      <c r="W57" s="48"/>
      <c r="X57" s="48"/>
      <c r="Y57" s="5"/>
      <c r="Z57" s="5"/>
    </row>
    <row r="58" ht="17.25" customHeight="1">
      <c r="A58" s="48"/>
      <c r="B58" s="233"/>
      <c r="C58" s="48"/>
      <c r="D58" s="48"/>
      <c r="E58" s="48"/>
      <c r="F58" s="48"/>
      <c r="G58" s="48"/>
      <c r="H58" s="48"/>
      <c r="I58" s="48"/>
      <c r="J58" s="61"/>
      <c r="K58" s="234" t="s">
        <v>96</v>
      </c>
      <c r="L58" s="235">
        <v>0.22</v>
      </c>
      <c r="M58" s="236" t="s">
        <v>97</v>
      </c>
      <c r="N58" s="237">
        <f>L58+(L60/(L60-L61))*(L59-L58)</f>
        <v>0.2224708296</v>
      </c>
      <c r="O58" s="163"/>
      <c r="P58" s="238"/>
      <c r="Q58" s="239" t="s">
        <v>35</v>
      </c>
      <c r="R58" s="240" t="s">
        <v>98</v>
      </c>
      <c r="S58" s="241"/>
      <c r="T58" s="84"/>
      <c r="U58" s="48"/>
      <c r="V58" s="48"/>
      <c r="W58" s="48"/>
      <c r="X58" s="48"/>
      <c r="Y58" s="5"/>
      <c r="Z58" s="5"/>
    </row>
    <row r="59" ht="16.5" customHeight="1">
      <c r="A59" s="48"/>
      <c r="B59" s="48"/>
      <c r="C59" s="48"/>
      <c r="D59" s="48"/>
      <c r="E59" s="48"/>
      <c r="F59" s="48"/>
      <c r="G59" s="48"/>
      <c r="H59" s="48"/>
      <c r="I59" s="48"/>
      <c r="J59" s="61"/>
      <c r="K59" s="234" t="s">
        <v>99</v>
      </c>
      <c r="L59" s="235">
        <v>0.23</v>
      </c>
      <c r="M59" s="76"/>
      <c r="N59" s="86"/>
      <c r="O59" s="163"/>
      <c r="P59" s="238"/>
      <c r="Q59" s="242">
        <v>6.0</v>
      </c>
      <c r="R59" s="243">
        <f>ABS(S55/R56*365)</f>
        <v>151.5887955</v>
      </c>
      <c r="S59" s="126"/>
      <c r="T59" s="244"/>
      <c r="U59" s="48"/>
      <c r="V59" s="48"/>
      <c r="W59" s="48"/>
      <c r="X59" s="48"/>
      <c r="Y59" s="5"/>
      <c r="Z59" s="5"/>
    </row>
    <row r="60" ht="17.25" customHeight="1">
      <c r="A60" s="48"/>
      <c r="B60" s="54" t="s">
        <v>100</v>
      </c>
      <c r="C60" s="48"/>
      <c r="D60" s="48"/>
      <c r="E60" s="48"/>
      <c r="F60" s="48"/>
      <c r="G60" s="48"/>
      <c r="H60" s="48"/>
      <c r="I60" s="48"/>
      <c r="J60" s="61"/>
      <c r="K60" s="245" t="s">
        <v>101</v>
      </c>
      <c r="L60" s="246">
        <f>N42*(1+L58)^(-N24)+O42*(1+L58)^(-O24)+P42*(1+L58)^(-P24)+Q42*(1+L58)^(-Q24)+R42*(1+L58)^(-R24)+S42*(1+L58)^(-S24)+T42*(1+L58)^(-T24)+U42*(1+L58)^(-U24)+V42*(1+L58)^(-V24)</f>
        <v>12298.46816</v>
      </c>
      <c r="M60" s="84"/>
      <c r="N60" s="84"/>
      <c r="O60" s="85"/>
      <c r="P60" s="247"/>
      <c r="Q60" s="100"/>
      <c r="R60" s="100"/>
      <c r="S60" s="233"/>
      <c r="T60" s="48"/>
      <c r="U60" s="48"/>
      <c r="V60" s="48"/>
      <c r="W60" s="48"/>
      <c r="X60" s="48"/>
      <c r="Y60" s="5"/>
      <c r="Z60" s="5"/>
    </row>
    <row r="61" ht="16.5" customHeight="1">
      <c r="A61" s="48"/>
      <c r="B61" s="48"/>
      <c r="C61" s="48"/>
      <c r="D61" s="48"/>
      <c r="E61" s="48"/>
      <c r="F61" s="48"/>
      <c r="G61" s="48"/>
      <c r="H61" s="48"/>
      <c r="I61" s="48"/>
      <c r="J61" s="61"/>
      <c r="K61" s="245" t="s">
        <v>102</v>
      </c>
      <c r="L61" s="248">
        <f>N42*(1+L59)^(-N24)+O42*(1+L59)^(-O24)+P42*(1+L59)^(-P24)+Q42*(1+L59)^(-Q24)+R42*(1+L59)^(-R24)+S42*(1+L59)^(-S24)+T42*(1+L59)^(-T24)+U42*(1+L59)^(-U24)+V42*(1+L59)^(-V24)</f>
        <v>-37476.18308</v>
      </c>
      <c r="M61" s="84"/>
      <c r="N61" s="226"/>
      <c r="O61" s="99"/>
      <c r="P61" s="126"/>
      <c r="Q61" s="48"/>
      <c r="R61" s="48"/>
      <c r="S61" s="48"/>
      <c r="T61" s="48"/>
      <c r="U61" s="48"/>
      <c r="V61" s="48"/>
      <c r="W61" s="48"/>
      <c r="X61" s="48"/>
      <c r="Y61" s="5"/>
      <c r="Z61" s="5"/>
    </row>
    <row r="62" ht="16.5" customHeight="1">
      <c r="A62" s="48"/>
      <c r="B62" s="249" t="s">
        <v>103</v>
      </c>
      <c r="C62" s="11"/>
      <c r="D62" s="11"/>
      <c r="E62" s="11"/>
      <c r="F62" s="11"/>
      <c r="G62" s="11"/>
      <c r="H62" s="12"/>
      <c r="I62" s="48"/>
      <c r="J62" s="61"/>
      <c r="K62" s="97"/>
      <c r="L62" s="98"/>
      <c r="M62" s="99"/>
      <c r="N62" s="250" t="s">
        <v>104</v>
      </c>
      <c r="O62" s="251">
        <f>N58</f>
        <v>0.2224708296</v>
      </c>
      <c r="P62" s="207"/>
      <c r="Q62" s="48"/>
      <c r="R62" s="48"/>
      <c r="S62" s="48"/>
      <c r="T62" s="48"/>
      <c r="U62" s="48"/>
      <c r="V62" s="48"/>
      <c r="W62" s="48"/>
      <c r="X62" s="48"/>
      <c r="Y62" s="5"/>
      <c r="Z62" s="5"/>
    </row>
    <row r="63" ht="17.25" customHeight="1">
      <c r="A63" s="48"/>
      <c r="B63" s="249" t="s">
        <v>105</v>
      </c>
      <c r="C63" s="11"/>
      <c r="D63" s="11"/>
      <c r="E63" s="11"/>
      <c r="F63" s="11"/>
      <c r="G63" s="11"/>
      <c r="H63" s="12"/>
      <c r="I63" s="48"/>
      <c r="J63" s="48"/>
      <c r="K63" s="195"/>
      <c r="L63" s="195"/>
      <c r="M63" s="195"/>
      <c r="N63" s="228"/>
      <c r="O63" s="252"/>
      <c r="P63" s="84"/>
      <c r="Q63" s="48"/>
      <c r="R63" s="48"/>
      <c r="S63" s="48"/>
      <c r="T63" s="48"/>
      <c r="U63" s="48"/>
      <c r="V63" s="48"/>
      <c r="W63" s="48"/>
      <c r="X63" s="48"/>
      <c r="Y63" s="5"/>
      <c r="Z63" s="5"/>
    </row>
    <row r="64" ht="16.5" customHeight="1">
      <c r="A64" s="48"/>
      <c r="B64" s="249" t="s">
        <v>106</v>
      </c>
      <c r="C64" s="11"/>
      <c r="D64" s="11"/>
      <c r="E64" s="11"/>
      <c r="F64" s="11"/>
      <c r="G64" s="11"/>
      <c r="H64" s="12"/>
      <c r="I64" s="48"/>
      <c r="J64" s="48"/>
      <c r="K64" s="48"/>
      <c r="L64" s="48"/>
      <c r="M64" s="48"/>
      <c r="N64" s="48"/>
      <c r="O64" s="48"/>
      <c r="P64" s="48"/>
      <c r="Q64" s="48"/>
      <c r="R64" s="48"/>
      <c r="S64" s="48"/>
      <c r="T64" s="48"/>
      <c r="U64" s="48"/>
      <c r="V64" s="48"/>
      <c r="W64" s="48"/>
      <c r="X64" s="48"/>
      <c r="Y64" s="5"/>
      <c r="Z64" s="5"/>
    </row>
    <row r="65" ht="16.5" customHeight="1">
      <c r="A65" s="48"/>
      <c r="B65" s="249" t="s">
        <v>107</v>
      </c>
      <c r="C65" s="11"/>
      <c r="D65" s="11"/>
      <c r="E65" s="11"/>
      <c r="F65" s="11"/>
      <c r="G65" s="11"/>
      <c r="H65" s="12"/>
      <c r="I65" s="48"/>
      <c r="J65" s="48"/>
      <c r="K65" s="58" t="s">
        <v>108</v>
      </c>
      <c r="L65" s="98"/>
      <c r="M65" s="98"/>
      <c r="N65" s="98"/>
      <c r="O65" s="98"/>
      <c r="P65" s="98"/>
      <c r="Q65" s="98"/>
      <c r="R65" s="98"/>
      <c r="S65" s="98"/>
      <c r="T65" s="98"/>
      <c r="U65" s="98"/>
      <c r="V65" s="59"/>
      <c r="W65" s="59"/>
      <c r="X65" s="48"/>
      <c r="Y65" s="5"/>
      <c r="Z65" s="5"/>
    </row>
    <row r="66" ht="15.75" customHeight="1">
      <c r="A66" s="48"/>
      <c r="B66" s="55" t="s">
        <v>109</v>
      </c>
      <c r="C66" s="2"/>
      <c r="D66" s="2"/>
      <c r="E66" s="2"/>
      <c r="F66" s="2"/>
      <c r="G66" s="2"/>
      <c r="H66" s="3"/>
      <c r="I66" s="48"/>
      <c r="J66" s="61"/>
      <c r="K66" s="253" t="s">
        <v>110</v>
      </c>
      <c r="L66" s="228"/>
      <c r="M66" s="254">
        <v>0.1</v>
      </c>
      <c r="N66" s="228" t="s">
        <v>111</v>
      </c>
      <c r="O66" s="228">
        <v>0.0</v>
      </c>
      <c r="P66" s="228">
        <v>1.0</v>
      </c>
      <c r="Q66" s="228">
        <v>2.0</v>
      </c>
      <c r="R66" s="228">
        <v>3.0</v>
      </c>
      <c r="S66" s="228">
        <v>4.0</v>
      </c>
      <c r="T66" s="228">
        <v>5.0</v>
      </c>
      <c r="U66" s="228">
        <v>6.0</v>
      </c>
      <c r="V66" s="228">
        <v>7.0</v>
      </c>
      <c r="W66" s="255">
        <v>8.0</v>
      </c>
      <c r="X66" s="66"/>
      <c r="Y66" s="5"/>
      <c r="Z66" s="5"/>
    </row>
    <row r="67" ht="16.5" customHeight="1">
      <c r="A67" s="48"/>
      <c r="B67" s="6"/>
      <c r="C67" s="7"/>
      <c r="D67" s="7"/>
      <c r="E67" s="7"/>
      <c r="F67" s="7"/>
      <c r="G67" s="7"/>
      <c r="H67" s="8"/>
      <c r="I67" s="48"/>
      <c r="J67" s="61"/>
      <c r="K67" s="256" t="s">
        <v>112</v>
      </c>
      <c r="L67" s="172">
        <v>0.11</v>
      </c>
      <c r="M67" s="257"/>
      <c r="N67" s="84" t="s">
        <v>78</v>
      </c>
      <c r="O67" s="60">
        <f t="shared" ref="O67:W67" si="12">N42</f>
        <v>-1327200</v>
      </c>
      <c r="P67" s="60">
        <f t="shared" si="12"/>
        <v>259500</v>
      </c>
      <c r="Q67" s="60">
        <f t="shared" si="12"/>
        <v>259500</v>
      </c>
      <c r="R67" s="60">
        <f t="shared" si="12"/>
        <v>259500</v>
      </c>
      <c r="S67" s="60">
        <f t="shared" si="12"/>
        <v>229500</v>
      </c>
      <c r="T67" s="60">
        <f t="shared" si="12"/>
        <v>408000</v>
      </c>
      <c r="U67" s="60">
        <f t="shared" si="12"/>
        <v>408000</v>
      </c>
      <c r="V67" s="60">
        <f t="shared" si="12"/>
        <v>408000</v>
      </c>
      <c r="W67" s="60">
        <f t="shared" si="12"/>
        <v>1618657.222</v>
      </c>
      <c r="X67" s="66"/>
      <c r="Y67" s="5"/>
      <c r="Z67" s="5"/>
    </row>
    <row r="68" ht="16.5" customHeight="1">
      <c r="A68" s="48"/>
      <c r="B68" s="249" t="s">
        <v>113</v>
      </c>
      <c r="C68" s="11"/>
      <c r="D68" s="11"/>
      <c r="E68" s="11"/>
      <c r="F68" s="11"/>
      <c r="G68" s="11"/>
      <c r="H68" s="12"/>
      <c r="I68" s="48"/>
      <c r="J68" s="61"/>
      <c r="K68" s="258"/>
      <c r="L68" s="90"/>
      <c r="M68" s="259"/>
      <c r="N68" s="84"/>
      <c r="O68" s="84"/>
      <c r="P68" s="84"/>
      <c r="Q68" s="84"/>
      <c r="R68" s="84"/>
      <c r="S68" s="84"/>
      <c r="T68" s="84"/>
      <c r="U68" s="84"/>
      <c r="V68" s="233"/>
      <c r="W68" s="260"/>
      <c r="X68" s="66"/>
      <c r="Y68" s="5"/>
      <c r="Z68" s="5"/>
    </row>
    <row r="69" ht="16.5" customHeight="1">
      <c r="A69" s="48"/>
      <c r="B69" s="249" t="s">
        <v>114</v>
      </c>
      <c r="C69" s="11"/>
      <c r="D69" s="11"/>
      <c r="E69" s="11"/>
      <c r="F69" s="11"/>
      <c r="G69" s="11"/>
      <c r="H69" s="12"/>
      <c r="I69" s="48"/>
      <c r="J69" s="61"/>
      <c r="K69" s="83"/>
      <c r="L69" s="90"/>
      <c r="M69" s="84"/>
      <c r="N69" s="261" t="s">
        <v>115</v>
      </c>
      <c r="O69" s="262">
        <f>ABS(O67*(1+L67)^(-O66))</f>
        <v>1327200</v>
      </c>
      <c r="P69" s="262"/>
      <c r="Q69" s="262"/>
      <c r="R69" s="262"/>
      <c r="S69" s="262"/>
      <c r="T69" s="262"/>
      <c r="U69" s="262"/>
      <c r="V69" s="262"/>
      <c r="W69" s="263"/>
      <c r="X69" s="66"/>
      <c r="Y69" s="5"/>
      <c r="Z69" s="5"/>
    </row>
    <row r="70" ht="16.5" customHeight="1">
      <c r="A70" s="48"/>
      <c r="B70" s="249" t="s">
        <v>116</v>
      </c>
      <c r="C70" s="11"/>
      <c r="D70" s="11"/>
      <c r="E70" s="11"/>
      <c r="F70" s="11"/>
      <c r="G70" s="11"/>
      <c r="H70" s="12"/>
      <c r="I70" s="48"/>
      <c r="J70" s="61"/>
      <c r="K70" s="83"/>
      <c r="L70" s="90"/>
      <c r="M70" s="84"/>
      <c r="N70" s="170" t="s">
        <v>117</v>
      </c>
      <c r="O70" s="60">
        <f>P67*(1+M66)^7+Q67*(1+M66)^6+R67*(1+M66)^5+S67*(1+M66)^4+T67*(1+M66)^3+U67*(1+M66)^2+V67*(1+M66)^1+W67*(1+M66)^0</f>
        <v>4823535.684</v>
      </c>
      <c r="P70" s="60"/>
      <c r="Q70" s="60"/>
      <c r="R70" s="60"/>
      <c r="S70" s="60"/>
      <c r="T70" s="60"/>
      <c r="U70" s="60"/>
      <c r="V70" s="60"/>
      <c r="W70" s="163"/>
      <c r="X70" s="66"/>
      <c r="Y70" s="5"/>
      <c r="Z70" s="5"/>
    </row>
    <row r="71" ht="16.5" customHeight="1">
      <c r="A71" s="48"/>
      <c r="B71" s="48"/>
      <c r="C71" s="48"/>
      <c r="D71" s="48"/>
      <c r="E71" s="48"/>
      <c r="F71" s="48"/>
      <c r="G71" s="48"/>
      <c r="H71" s="48"/>
      <c r="I71" s="48"/>
      <c r="J71" s="61"/>
      <c r="K71" s="258"/>
      <c r="L71" s="192"/>
      <c r="M71" s="86"/>
      <c r="N71" s="86"/>
      <c r="O71" s="86"/>
      <c r="P71" s="86"/>
      <c r="Q71" s="86"/>
      <c r="R71" s="90"/>
      <c r="S71" s="90"/>
      <c r="T71" s="90"/>
      <c r="U71" s="84"/>
      <c r="V71" s="84"/>
      <c r="W71" s="85"/>
      <c r="X71" s="66"/>
      <c r="Y71" s="5"/>
      <c r="Z71" s="5"/>
    </row>
    <row r="72" ht="16.5" customHeight="1">
      <c r="A72" s="48"/>
      <c r="B72" s="233"/>
      <c r="C72" s="48"/>
      <c r="D72" s="48"/>
      <c r="E72" s="48"/>
      <c r="F72" s="48"/>
      <c r="G72" s="48"/>
      <c r="H72" s="48"/>
      <c r="I72" s="48"/>
      <c r="J72" s="61"/>
      <c r="K72" s="258"/>
      <c r="L72" s="192"/>
      <c r="M72" s="84"/>
      <c r="N72" s="264" t="s">
        <v>118</v>
      </c>
      <c r="O72" s="265">
        <f>(O70/O69)^(1/8)-1</f>
        <v>0.1750426772</v>
      </c>
      <c r="P72" s="84"/>
      <c r="Q72" s="84"/>
      <c r="R72" s="90"/>
      <c r="S72" s="90"/>
      <c r="T72" s="90"/>
      <c r="U72" s="84"/>
      <c r="V72" s="84"/>
      <c r="W72" s="85"/>
      <c r="X72" s="66"/>
      <c r="Y72" s="5"/>
      <c r="Z72" s="5"/>
    </row>
    <row r="73" ht="16.5" customHeight="1">
      <c r="A73" s="48"/>
      <c r="B73" s="48"/>
      <c r="C73" s="48"/>
      <c r="D73" s="48"/>
      <c r="E73" s="48"/>
      <c r="F73" s="48"/>
      <c r="G73" s="48"/>
      <c r="H73" s="48"/>
      <c r="I73" s="48"/>
      <c r="J73" s="61"/>
      <c r="K73" s="83"/>
      <c r="L73" s="84"/>
      <c r="M73" s="84"/>
      <c r="N73" s="84"/>
      <c r="O73" s="84"/>
      <c r="P73" s="84"/>
      <c r="Q73" s="84"/>
      <c r="R73" s="84"/>
      <c r="S73" s="84"/>
      <c r="T73" s="84"/>
      <c r="U73" s="84"/>
      <c r="V73" s="84"/>
      <c r="W73" s="85"/>
      <c r="X73" s="66"/>
      <c r="Y73" s="5"/>
      <c r="Z73" s="5"/>
    </row>
    <row r="74" ht="16.5" customHeight="1">
      <c r="A74" s="48"/>
      <c r="B74" s="84"/>
      <c r="C74" s="48"/>
      <c r="D74" s="48"/>
      <c r="E74" s="48"/>
      <c r="F74" s="48"/>
      <c r="G74" s="48"/>
      <c r="H74" s="48"/>
      <c r="I74" s="48"/>
      <c r="J74" s="61"/>
      <c r="K74" s="83"/>
      <c r="L74" s="84"/>
      <c r="M74" s="265"/>
      <c r="N74" s="84"/>
      <c r="O74" s="84"/>
      <c r="P74" s="84"/>
      <c r="Q74" s="84"/>
      <c r="R74" s="84"/>
      <c r="S74" s="84"/>
      <c r="T74" s="84"/>
      <c r="U74" s="84"/>
      <c r="V74" s="98"/>
      <c r="W74" s="99"/>
      <c r="X74" s="66"/>
      <c r="Y74" s="5"/>
      <c r="Z74" s="5"/>
    </row>
    <row r="75" ht="16.5" customHeight="1">
      <c r="A75" s="48"/>
      <c r="B75" s="266"/>
      <c r="C75" s="266"/>
      <c r="D75" s="266"/>
      <c r="E75" s="266"/>
      <c r="F75" s="266"/>
      <c r="G75" s="266"/>
      <c r="H75" s="266"/>
      <c r="I75" s="48"/>
      <c r="J75" s="61"/>
      <c r="K75" s="97"/>
      <c r="L75" s="98"/>
      <c r="M75" s="98"/>
      <c r="N75" s="98"/>
      <c r="O75" s="98"/>
      <c r="P75" s="98"/>
      <c r="Q75" s="98"/>
      <c r="R75" s="98"/>
      <c r="S75" s="98"/>
      <c r="T75" s="98"/>
      <c r="U75" s="99"/>
      <c r="V75" s="267" t="s">
        <v>119</v>
      </c>
      <c r="W75" s="251">
        <f>O72</f>
        <v>0.1750426772</v>
      </c>
      <c r="X75" s="207"/>
      <c r="Y75" s="5"/>
      <c r="Z75" s="5"/>
    </row>
    <row r="76" ht="17.25" customHeight="1">
      <c r="A76" s="48"/>
      <c r="B76" s="266"/>
      <c r="C76" s="266"/>
      <c r="D76" s="266"/>
      <c r="E76" s="266"/>
      <c r="F76" s="266"/>
      <c r="G76" s="266"/>
      <c r="H76" s="266"/>
      <c r="I76" s="48"/>
      <c r="J76" s="48"/>
      <c r="K76" s="100"/>
      <c r="L76" s="100"/>
      <c r="M76" s="100"/>
      <c r="N76" s="100"/>
      <c r="O76" s="100"/>
      <c r="P76" s="100"/>
      <c r="Q76" s="100"/>
      <c r="R76" s="100"/>
      <c r="S76" s="100"/>
      <c r="T76" s="100"/>
      <c r="U76" s="100"/>
      <c r="V76" s="100"/>
      <c r="W76" s="252"/>
      <c r="X76" s="48"/>
      <c r="Y76" s="5"/>
      <c r="Z76" s="5"/>
    </row>
    <row r="77" ht="14.2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5"/>
      <c r="Z77" s="5"/>
    </row>
    <row r="78" ht="16.5" customHeight="1">
      <c r="A78" s="48"/>
      <c r="B78" s="268"/>
      <c r="C78" s="268"/>
      <c r="D78" s="268"/>
      <c r="E78" s="268"/>
      <c r="F78" s="268"/>
      <c r="G78" s="268"/>
      <c r="H78" s="268"/>
      <c r="I78" s="48"/>
      <c r="J78" s="48"/>
      <c r="K78" s="224" t="s">
        <v>120</v>
      </c>
      <c r="L78" s="225"/>
      <c r="M78" s="226"/>
      <c r="N78" s="226"/>
      <c r="O78" s="98"/>
      <c r="P78" s="59"/>
      <c r="Q78" s="59"/>
      <c r="R78" s="48"/>
      <c r="S78" s="48"/>
      <c r="T78" s="48"/>
      <c r="U78" s="48"/>
      <c r="V78" s="48"/>
      <c r="W78" s="48"/>
      <c r="X78" s="48"/>
      <c r="Y78" s="5"/>
      <c r="Z78" s="5"/>
    </row>
    <row r="79" ht="17.25" customHeight="1">
      <c r="A79" s="48"/>
      <c r="B79" s="268"/>
      <c r="C79" s="268"/>
      <c r="D79" s="268"/>
      <c r="E79" s="268"/>
      <c r="F79" s="268"/>
      <c r="G79" s="268"/>
      <c r="H79" s="268"/>
      <c r="I79" s="48"/>
      <c r="J79" s="61"/>
      <c r="K79" s="269" t="s">
        <v>121</v>
      </c>
      <c r="L79" s="270"/>
      <c r="M79" s="270"/>
      <c r="N79" s="270"/>
      <c r="O79" s="270"/>
      <c r="P79" s="270"/>
      <c r="Q79" s="271"/>
      <c r="R79" s="66"/>
      <c r="S79" s="48"/>
      <c r="T79" s="48"/>
      <c r="U79" s="48"/>
      <c r="V79" s="48"/>
      <c r="W79" s="48"/>
      <c r="X79" s="48"/>
      <c r="Y79" s="5"/>
      <c r="Z79" s="5"/>
    </row>
    <row r="80" ht="15.75" customHeight="1">
      <c r="A80" s="48"/>
      <c r="B80" s="268"/>
      <c r="C80" s="268"/>
      <c r="D80" s="268"/>
      <c r="E80" s="268"/>
      <c r="F80" s="268"/>
      <c r="G80" s="268"/>
      <c r="H80" s="268"/>
      <c r="I80" s="48"/>
      <c r="J80" s="61"/>
      <c r="K80" s="160"/>
      <c r="Q80" s="161"/>
      <c r="R80" s="66"/>
      <c r="S80" s="48"/>
      <c r="T80" s="48"/>
      <c r="U80" s="48"/>
      <c r="V80" s="48"/>
      <c r="W80" s="48"/>
      <c r="X80" s="48"/>
      <c r="Y80" s="5"/>
      <c r="Z80" s="5"/>
    </row>
    <row r="81" ht="13.5" customHeight="1">
      <c r="A81" s="48"/>
      <c r="B81" s="268"/>
      <c r="C81" s="268"/>
      <c r="D81" s="268"/>
      <c r="E81" s="268"/>
      <c r="F81" s="268"/>
      <c r="G81" s="268"/>
      <c r="H81" s="268"/>
      <c r="I81" s="48"/>
      <c r="J81" s="61"/>
      <c r="K81" s="160"/>
      <c r="Q81" s="161"/>
      <c r="R81" s="66"/>
      <c r="S81" s="48"/>
      <c r="T81" s="48"/>
      <c r="U81" s="48"/>
      <c r="V81" s="48"/>
      <c r="W81" s="48"/>
      <c r="X81" s="48"/>
      <c r="Y81" s="5"/>
      <c r="Z81" s="5"/>
    </row>
    <row r="82" ht="15.0" customHeight="1">
      <c r="A82" s="48"/>
      <c r="B82" s="268"/>
      <c r="C82" s="268"/>
      <c r="D82" s="268"/>
      <c r="E82" s="268"/>
      <c r="F82" s="268"/>
      <c r="G82" s="268"/>
      <c r="H82" s="268"/>
      <c r="I82" s="48"/>
      <c r="J82" s="61"/>
      <c r="K82" s="272"/>
      <c r="L82" s="273"/>
      <c r="M82" s="273"/>
      <c r="N82" s="273"/>
      <c r="O82" s="273"/>
      <c r="P82" s="273"/>
      <c r="Q82" s="274"/>
      <c r="R82" s="66"/>
      <c r="S82" s="48"/>
      <c r="T82" s="48"/>
      <c r="U82" s="48"/>
      <c r="V82" s="48"/>
      <c r="W82" s="48"/>
      <c r="X82" s="48"/>
      <c r="Y82" s="5"/>
      <c r="Z82" s="5"/>
    </row>
    <row r="83" ht="17.25" customHeight="1">
      <c r="A83" s="48"/>
      <c r="B83" s="268"/>
      <c r="C83" s="268"/>
      <c r="D83" s="268"/>
      <c r="E83" s="268"/>
      <c r="F83" s="268"/>
      <c r="G83" s="268"/>
      <c r="H83" s="268"/>
      <c r="I83" s="48"/>
      <c r="J83" s="48"/>
      <c r="K83" s="211"/>
      <c r="L83" s="211"/>
      <c r="M83" s="195"/>
      <c r="N83" s="228"/>
      <c r="O83" s="195"/>
      <c r="P83" s="139"/>
      <c r="Q83" s="100"/>
      <c r="R83" s="48"/>
      <c r="S83" s="48"/>
      <c r="T83" s="48"/>
      <c r="U83" s="48"/>
      <c r="V83" s="48"/>
      <c r="W83" s="48"/>
      <c r="X83" s="48"/>
      <c r="Y83" s="5"/>
      <c r="Z83" s="5"/>
    </row>
    <row r="84" ht="16.5" customHeight="1">
      <c r="A84" s="48"/>
      <c r="B84" s="48"/>
      <c r="C84" s="48"/>
      <c r="D84" s="48"/>
      <c r="E84" s="48"/>
      <c r="F84" s="48"/>
      <c r="G84" s="48"/>
      <c r="H84" s="48"/>
      <c r="I84" s="48"/>
      <c r="J84" s="48"/>
      <c r="K84" s="84"/>
      <c r="L84" s="84"/>
      <c r="M84" s="84"/>
      <c r="N84" s="86"/>
      <c r="O84" s="275"/>
      <c r="P84" s="244"/>
      <c r="Q84" s="48"/>
      <c r="R84" s="48"/>
      <c r="S84" s="48"/>
      <c r="T84" s="48"/>
      <c r="U84" s="48"/>
      <c r="V84" s="48"/>
      <c r="W84" s="48"/>
      <c r="X84" s="48"/>
      <c r="Y84" s="5"/>
      <c r="Z84" s="5"/>
    </row>
    <row r="85" ht="16.5" customHeight="1">
      <c r="A85" s="48"/>
      <c r="B85" s="48"/>
      <c r="C85" s="48"/>
      <c r="D85" s="48"/>
      <c r="E85" s="48"/>
      <c r="F85" s="48"/>
      <c r="G85" s="48"/>
      <c r="H85" s="48"/>
      <c r="I85" s="48"/>
      <c r="J85" s="48"/>
      <c r="K85" s="84"/>
      <c r="L85" s="84"/>
      <c r="M85" s="84"/>
      <c r="N85" s="90"/>
      <c r="O85" s="265"/>
      <c r="P85" s="84"/>
      <c r="Q85" s="48"/>
      <c r="R85" s="48"/>
      <c r="S85" s="48"/>
      <c r="T85" s="48"/>
      <c r="U85" s="48"/>
      <c r="V85" s="48"/>
      <c r="W85" s="48"/>
      <c r="X85" s="48"/>
      <c r="Y85" s="5"/>
      <c r="Z85" s="5"/>
    </row>
    <row r="86" ht="16.5" customHeight="1">
      <c r="A86" s="48"/>
      <c r="B86" s="276"/>
      <c r="C86" s="276"/>
      <c r="D86" s="276"/>
      <c r="E86" s="276"/>
      <c r="F86" s="276"/>
      <c r="G86" s="276"/>
      <c r="H86" s="276"/>
      <c r="I86" s="276"/>
      <c r="J86" s="48"/>
      <c r="K86" s="48"/>
      <c r="L86" s="48"/>
      <c r="M86" s="48"/>
      <c r="N86" s="48"/>
      <c r="O86" s="48"/>
      <c r="P86" s="48"/>
      <c r="Q86" s="48"/>
      <c r="R86" s="48"/>
      <c r="S86" s="48"/>
      <c r="T86" s="48"/>
      <c r="U86" s="48"/>
      <c r="V86" s="48"/>
      <c r="W86" s="48"/>
      <c r="X86" s="48"/>
      <c r="Y86" s="5"/>
      <c r="Z86" s="5"/>
    </row>
    <row r="87" ht="16.5" customHeight="1">
      <c r="A87" s="48"/>
      <c r="B87" s="276"/>
      <c r="C87" s="276"/>
      <c r="D87" s="276"/>
      <c r="E87" s="276"/>
      <c r="F87" s="276"/>
      <c r="G87" s="276"/>
      <c r="H87" s="276"/>
      <c r="I87" s="276"/>
      <c r="J87" s="48"/>
      <c r="K87" s="48"/>
      <c r="L87" s="48"/>
      <c r="M87" s="48"/>
      <c r="N87" s="48"/>
      <c r="O87" s="48"/>
      <c r="P87" s="48"/>
      <c r="Q87" s="48"/>
      <c r="R87" s="48"/>
      <c r="S87" s="48"/>
      <c r="T87" s="48"/>
      <c r="U87" s="48"/>
      <c r="V87" s="48"/>
      <c r="W87" s="48"/>
      <c r="X87" s="48"/>
      <c r="Y87" s="5"/>
      <c r="Z87" s="5"/>
    </row>
    <row r="88" ht="16.5" customHeight="1">
      <c r="A88" s="48"/>
      <c r="B88" s="48"/>
      <c r="C88" s="48"/>
      <c r="D88" s="48"/>
      <c r="E88" s="48"/>
      <c r="F88" s="48"/>
      <c r="G88" s="48"/>
      <c r="H88" s="48"/>
      <c r="I88" s="48"/>
      <c r="J88" s="48"/>
      <c r="K88" s="48"/>
      <c r="L88" s="48"/>
      <c r="M88" s="48"/>
      <c r="N88" s="48"/>
      <c r="O88" s="48"/>
      <c r="P88" s="48"/>
      <c r="Q88" s="48"/>
      <c r="R88" s="48"/>
      <c r="S88" s="48"/>
      <c r="T88" s="48"/>
      <c r="U88" s="48"/>
      <c r="V88" s="48"/>
      <c r="W88" s="48"/>
      <c r="X88" s="84"/>
      <c r="Y88" s="5"/>
      <c r="Z88" s="5"/>
    </row>
    <row r="89" ht="16.5" customHeight="1">
      <c r="A89" s="48"/>
      <c r="B89" s="48"/>
      <c r="C89" s="48"/>
      <c r="D89" s="48"/>
      <c r="E89" s="48"/>
      <c r="F89" s="48"/>
      <c r="G89" s="48"/>
      <c r="H89" s="48"/>
      <c r="I89" s="48"/>
      <c r="J89" s="48"/>
      <c r="K89" s="48"/>
      <c r="L89" s="48"/>
      <c r="M89" s="48"/>
      <c r="N89" s="48"/>
      <c r="O89" s="48"/>
      <c r="P89" s="48"/>
      <c r="Q89" s="48"/>
      <c r="R89" s="48"/>
      <c r="S89" s="48"/>
      <c r="T89" s="48"/>
      <c r="U89" s="84"/>
      <c r="V89" s="48"/>
      <c r="W89" s="48"/>
      <c r="X89" s="48"/>
      <c r="Y89" s="5"/>
      <c r="Z89" s="5"/>
    </row>
    <row r="90" ht="16.5" customHeight="1">
      <c r="A90" s="48"/>
      <c r="B90" s="48"/>
      <c r="C90" s="48"/>
      <c r="D90" s="48"/>
      <c r="E90" s="48"/>
      <c r="F90" s="48"/>
      <c r="G90" s="48"/>
      <c r="H90" s="48"/>
      <c r="I90" s="48"/>
      <c r="J90" s="48"/>
      <c r="K90" s="48"/>
      <c r="L90" s="48"/>
      <c r="M90" s="48"/>
      <c r="N90" s="48"/>
      <c r="O90" s="48"/>
      <c r="P90" s="48"/>
      <c r="Q90" s="48"/>
      <c r="R90" s="48"/>
      <c r="S90" s="48"/>
      <c r="T90" s="48"/>
      <c r="U90" s="84"/>
      <c r="V90" s="48"/>
      <c r="W90" s="48"/>
      <c r="X90" s="48"/>
      <c r="Y90" s="5"/>
      <c r="Z90" s="5"/>
    </row>
    <row r="91" ht="16.5" customHeight="1">
      <c r="A91" s="48"/>
      <c r="B91" s="48"/>
      <c r="C91" s="48"/>
      <c r="D91" s="48"/>
      <c r="E91" s="48"/>
      <c r="F91" s="48"/>
      <c r="G91" s="48"/>
      <c r="H91" s="48"/>
      <c r="I91" s="48"/>
      <c r="J91" s="48"/>
      <c r="K91" s="48"/>
      <c r="L91" s="48"/>
      <c r="M91" s="48"/>
      <c r="N91" s="48"/>
      <c r="O91" s="48"/>
      <c r="P91" s="48"/>
      <c r="Q91" s="48"/>
      <c r="R91" s="48"/>
      <c r="S91" s="48"/>
      <c r="T91" s="48"/>
      <c r="U91" s="84"/>
      <c r="V91" s="48"/>
      <c r="W91" s="48"/>
      <c r="X91" s="48"/>
      <c r="Y91" s="5"/>
      <c r="Z91" s="5"/>
    </row>
    <row r="92" ht="16.5" customHeight="1">
      <c r="A92" s="48"/>
      <c r="B92" s="48"/>
      <c r="C92" s="48"/>
      <c r="D92" s="48"/>
      <c r="E92" s="48"/>
      <c r="F92" s="48"/>
      <c r="G92" s="48"/>
      <c r="H92" s="48"/>
      <c r="I92" s="48"/>
      <c r="J92" s="48"/>
      <c r="K92" s="48"/>
      <c r="L92" s="48"/>
      <c r="M92" s="48"/>
      <c r="N92" s="48"/>
      <c r="O92" s="48"/>
      <c r="P92" s="48"/>
      <c r="Q92" s="48"/>
      <c r="R92" s="48"/>
      <c r="S92" s="48"/>
      <c r="T92" s="48"/>
      <c r="U92" s="84"/>
      <c r="V92" s="48"/>
      <c r="W92" s="48"/>
      <c r="X92" s="48"/>
      <c r="Y92" s="5"/>
      <c r="Z92" s="5"/>
    </row>
    <row r="93" ht="16.5" customHeight="1">
      <c r="A93" s="48"/>
      <c r="B93" s="48"/>
      <c r="C93" s="48"/>
      <c r="D93" s="48"/>
      <c r="E93" s="48"/>
      <c r="F93" s="48"/>
      <c r="G93" s="48"/>
      <c r="H93" s="48"/>
      <c r="I93" s="48"/>
      <c r="J93" s="48"/>
      <c r="K93" s="48"/>
      <c r="L93" s="48"/>
      <c r="M93" s="48"/>
      <c r="N93" s="48"/>
      <c r="O93" s="48"/>
      <c r="P93" s="48"/>
      <c r="Q93" s="48"/>
      <c r="R93" s="48"/>
      <c r="S93" s="48"/>
      <c r="T93" s="48"/>
      <c r="U93" s="84"/>
      <c r="V93" s="48"/>
      <c r="W93" s="48"/>
      <c r="X93" s="48"/>
      <c r="Y93" s="5"/>
      <c r="Z93" s="5"/>
    </row>
    <row r="94" ht="16.5" customHeight="1">
      <c r="A94" s="48"/>
      <c r="B94" s="48"/>
      <c r="C94" s="48"/>
      <c r="D94" s="48"/>
      <c r="E94" s="48"/>
      <c r="F94" s="48"/>
      <c r="G94" s="48"/>
      <c r="H94" s="48"/>
      <c r="I94" s="48"/>
      <c r="J94" s="48"/>
      <c r="K94" s="48"/>
      <c r="L94" s="48"/>
      <c r="M94" s="48"/>
      <c r="N94" s="48"/>
      <c r="O94" s="48"/>
      <c r="P94" s="48"/>
      <c r="Q94" s="48"/>
      <c r="R94" s="48"/>
      <c r="S94" s="48"/>
      <c r="T94" s="48"/>
      <c r="U94" s="84"/>
      <c r="V94" s="48"/>
      <c r="W94" s="48"/>
      <c r="X94" s="48"/>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7">
    <mergeCell ref="B66:H67"/>
    <mergeCell ref="B68:H68"/>
    <mergeCell ref="B69:H69"/>
    <mergeCell ref="B70:H70"/>
    <mergeCell ref="K79:Q82"/>
    <mergeCell ref="B45:H48"/>
    <mergeCell ref="B49:H54"/>
    <mergeCell ref="B56:H56"/>
    <mergeCell ref="B62:H62"/>
    <mergeCell ref="B63:H63"/>
    <mergeCell ref="B64:H64"/>
    <mergeCell ref="B65:H65"/>
    <mergeCell ref="E1:F1"/>
    <mergeCell ref="B2:F2"/>
    <mergeCell ref="G2:H2"/>
    <mergeCell ref="B3:H10"/>
    <mergeCell ref="B11:H16"/>
    <mergeCell ref="B17:H19"/>
    <mergeCell ref="B20:H23"/>
    <mergeCell ref="K29:M29"/>
    <mergeCell ref="K30:L30"/>
    <mergeCell ref="B24:H28"/>
    <mergeCell ref="K24:L24"/>
    <mergeCell ref="K25:L25"/>
    <mergeCell ref="K26:L26"/>
    <mergeCell ref="K27:L27"/>
    <mergeCell ref="K28:L28"/>
    <mergeCell ref="K33:L33"/>
    <mergeCell ref="K31:L31"/>
    <mergeCell ref="K32:L32"/>
    <mergeCell ref="K34:L34"/>
    <mergeCell ref="K35:L35"/>
    <mergeCell ref="K36:L36"/>
    <mergeCell ref="K37:L37"/>
    <mergeCell ref="K38:L38"/>
    <mergeCell ref="K45:L45"/>
    <mergeCell ref="K47:L47"/>
    <mergeCell ref="K48:L48"/>
    <mergeCell ref="M48:N48"/>
    <mergeCell ref="K49:L49"/>
    <mergeCell ref="M49:N49"/>
    <mergeCell ref="K54:L54"/>
    <mergeCell ref="M54:N54"/>
    <mergeCell ref="K39:L39"/>
    <mergeCell ref="K40:L40"/>
    <mergeCell ref="K41:L41"/>
    <mergeCell ref="K42:L42"/>
    <mergeCell ref="K43:L43"/>
    <mergeCell ref="K44:L44"/>
    <mergeCell ref="M45:N45"/>
    <mergeCell ref="B29:H33"/>
    <mergeCell ref="C35:D35"/>
    <mergeCell ref="E35:F35"/>
    <mergeCell ref="C36:D38"/>
    <mergeCell ref="E36:F38"/>
    <mergeCell ref="C39:D39"/>
    <mergeCell ref="E39:F39"/>
  </mergeCells>
  <conditionalFormatting sqref="M26:M28">
    <cfRule type="cellIs" dxfId="0" priority="1" stopIfTrue="1" operator="lessThan">
      <formula>0</formula>
    </cfRule>
  </conditionalFormatting>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26" width="10.75"/>
    <col customWidth="1" min="27" max="28" width="12.75"/>
  </cols>
  <sheetData>
    <row r="1" ht="14.25" customHeight="1">
      <c r="A1" s="39"/>
      <c r="B1" s="40" t="s">
        <v>22</v>
      </c>
      <c r="C1" s="277"/>
      <c r="D1" s="40" t="s">
        <v>23</v>
      </c>
      <c r="E1" s="278"/>
      <c r="F1" s="279"/>
      <c r="G1" s="40" t="s">
        <v>24</v>
      </c>
      <c r="H1" s="280"/>
      <c r="I1" s="45" t="s">
        <v>25</v>
      </c>
      <c r="J1" s="281"/>
      <c r="K1" s="47"/>
      <c r="L1" s="48"/>
      <c r="M1" s="48"/>
      <c r="N1" s="48"/>
      <c r="O1" s="48"/>
      <c r="P1" s="48"/>
      <c r="Q1" s="48"/>
      <c r="R1" s="48"/>
      <c r="S1" s="48"/>
      <c r="T1" s="48"/>
      <c r="U1" s="48"/>
      <c r="V1" s="48"/>
      <c r="W1" s="48"/>
      <c r="X1" s="48"/>
      <c r="Y1" s="48"/>
      <c r="Z1" s="48"/>
      <c r="AA1" s="48"/>
      <c r="AB1" s="48"/>
    </row>
    <row r="2" ht="14.25" customHeight="1">
      <c r="A2" s="48"/>
      <c r="B2" s="282" t="s">
        <v>26</v>
      </c>
      <c r="C2" s="52"/>
      <c r="D2" s="52"/>
      <c r="E2" s="52"/>
      <c r="F2" s="52"/>
      <c r="G2" s="282" t="s">
        <v>122</v>
      </c>
      <c r="H2" s="52"/>
      <c r="I2" s="52"/>
      <c r="J2" s="53"/>
      <c r="K2" s="54" t="s">
        <v>28</v>
      </c>
      <c r="L2" s="48"/>
      <c r="M2" s="48"/>
      <c r="N2" s="48"/>
      <c r="O2" s="48"/>
      <c r="P2" s="48"/>
      <c r="Q2" s="48"/>
      <c r="R2" s="48"/>
      <c r="S2" s="48"/>
      <c r="T2" s="48"/>
      <c r="U2" s="48"/>
      <c r="V2" s="48"/>
      <c r="W2" s="48"/>
      <c r="X2" s="48"/>
      <c r="Y2" s="48"/>
      <c r="Z2" s="48"/>
      <c r="AA2" s="48"/>
      <c r="AB2" s="48"/>
    </row>
    <row r="3" ht="15.75" customHeight="1">
      <c r="A3" s="48"/>
      <c r="B3" s="283" t="s">
        <v>29</v>
      </c>
      <c r="C3" s="266"/>
      <c r="D3" s="266"/>
      <c r="E3" s="266"/>
      <c r="F3" s="266"/>
      <c r="G3" s="266"/>
      <c r="H3" s="266"/>
      <c r="I3" s="48"/>
      <c r="J3" s="48"/>
      <c r="K3" s="59"/>
      <c r="L3" s="59"/>
      <c r="M3" s="59"/>
      <c r="N3" s="59"/>
      <c r="O3" s="59"/>
      <c r="P3" s="59"/>
      <c r="Q3" s="59"/>
      <c r="R3" s="48"/>
      <c r="S3" s="48"/>
      <c r="T3" s="48"/>
      <c r="U3" s="48"/>
      <c r="V3" s="48"/>
      <c r="W3" s="48"/>
      <c r="X3" s="48"/>
      <c r="Y3" s="48"/>
      <c r="Z3" s="48"/>
      <c r="AA3" s="48"/>
      <c r="AB3" s="48"/>
    </row>
    <row r="4" ht="13.5" customHeight="1">
      <c r="A4" s="48"/>
      <c r="B4" s="266"/>
      <c r="C4" s="266"/>
      <c r="D4" s="266"/>
      <c r="E4" s="266"/>
      <c r="F4" s="266"/>
      <c r="G4" s="266"/>
      <c r="H4" s="266"/>
      <c r="I4" s="48"/>
      <c r="J4" s="61"/>
      <c r="K4" s="284" t="s">
        <v>30</v>
      </c>
      <c r="L4" s="285"/>
      <c r="M4" s="285"/>
      <c r="N4" s="285"/>
      <c r="O4" s="285"/>
      <c r="P4" s="285"/>
      <c r="Q4" s="286"/>
      <c r="R4" s="66"/>
      <c r="S4" s="48"/>
      <c r="T4" s="48"/>
      <c r="U4" s="48"/>
      <c r="V4" s="48"/>
      <c r="W4" s="48"/>
      <c r="X4" s="48"/>
      <c r="Y4" s="48"/>
      <c r="Z4" s="48"/>
      <c r="AA4" s="48"/>
      <c r="AB4" s="48"/>
    </row>
    <row r="5" ht="13.5" customHeight="1">
      <c r="A5" s="48"/>
      <c r="B5" s="266"/>
      <c r="C5" s="266"/>
      <c r="D5" s="266"/>
      <c r="E5" s="266"/>
      <c r="F5" s="266"/>
      <c r="G5" s="266"/>
      <c r="H5" s="266"/>
      <c r="I5" s="48"/>
      <c r="J5" s="61"/>
      <c r="K5" s="194"/>
      <c r="L5" s="287" t="s">
        <v>123</v>
      </c>
      <c r="M5" s="195"/>
      <c r="N5" s="195"/>
      <c r="O5" s="195"/>
      <c r="P5" s="287" t="s">
        <v>124</v>
      </c>
      <c r="Q5" s="288" t="s">
        <v>125</v>
      </c>
      <c r="R5" s="66"/>
      <c r="S5" s="48"/>
      <c r="T5" s="48"/>
      <c r="U5" s="48"/>
      <c r="V5" s="48"/>
      <c r="W5" s="48"/>
      <c r="X5" s="48"/>
      <c r="Y5" s="86"/>
      <c r="Z5" s="86"/>
      <c r="AA5" s="233"/>
      <c r="AB5" s="233"/>
    </row>
    <row r="6" ht="13.5" customHeight="1">
      <c r="A6" s="48"/>
      <c r="B6" s="266"/>
      <c r="C6" s="266"/>
      <c r="D6" s="266"/>
      <c r="E6" s="266"/>
      <c r="F6" s="266"/>
      <c r="G6" s="266"/>
      <c r="H6" s="266"/>
      <c r="I6" s="48"/>
      <c r="J6" s="61"/>
      <c r="K6" s="207" t="s">
        <v>126</v>
      </c>
      <c r="L6" s="60">
        <f>Feuil5!L6</f>
        <v>954000</v>
      </c>
      <c r="M6" s="84"/>
      <c r="N6" s="84"/>
      <c r="O6" s="244" t="s">
        <v>57</v>
      </c>
      <c r="P6" s="60">
        <f>Feuil5!P6</f>
        <v>294000</v>
      </c>
      <c r="Q6" s="289">
        <f>Feuil5!Q6</f>
        <v>0.35</v>
      </c>
      <c r="R6" s="66"/>
      <c r="S6" s="48"/>
      <c r="T6" s="48"/>
      <c r="U6" s="48"/>
      <c r="V6" s="48"/>
      <c r="W6" s="48"/>
      <c r="X6" s="48"/>
      <c r="Y6" s="115"/>
      <c r="Z6" s="115"/>
      <c r="AA6" s="290"/>
      <c r="AB6" s="290"/>
    </row>
    <row r="7" ht="13.5" customHeight="1">
      <c r="A7" s="48"/>
      <c r="B7" s="266"/>
      <c r="C7" s="266"/>
      <c r="D7" s="266"/>
      <c r="E7" s="266"/>
      <c r="F7" s="266"/>
      <c r="G7" s="266"/>
      <c r="H7" s="266"/>
      <c r="I7" s="48"/>
      <c r="J7" s="61"/>
      <c r="K7" s="207" t="s">
        <v>127</v>
      </c>
      <c r="L7" s="60">
        <f>Feuil5!L7</f>
        <v>4550</v>
      </c>
      <c r="M7" s="84"/>
      <c r="N7" s="84"/>
      <c r="O7" s="244" t="s">
        <v>41</v>
      </c>
      <c r="P7" s="60">
        <f>Feuil5!P7</f>
        <v>546000</v>
      </c>
      <c r="Q7" s="289">
        <f>Feuil5!Q7</f>
        <v>0.65</v>
      </c>
      <c r="R7" s="66"/>
      <c r="S7" s="48"/>
      <c r="T7" s="48"/>
      <c r="U7" s="48"/>
      <c r="V7" s="48"/>
      <c r="W7" s="48"/>
      <c r="X7" s="48"/>
      <c r="Y7" s="122"/>
      <c r="Z7" s="122"/>
      <c r="AA7" s="60"/>
      <c r="AB7" s="60"/>
    </row>
    <row r="8" ht="13.5" customHeight="1">
      <c r="A8" s="48"/>
      <c r="B8" s="266"/>
      <c r="C8" s="266"/>
      <c r="D8" s="266"/>
      <c r="E8" s="266"/>
      <c r="F8" s="266"/>
      <c r="G8" s="266"/>
      <c r="H8" s="266"/>
      <c r="I8" s="48"/>
      <c r="J8" s="61"/>
      <c r="K8" s="207" t="s">
        <v>128</v>
      </c>
      <c r="L8" s="60">
        <f>Feuil5!L8</f>
        <v>21450</v>
      </c>
      <c r="M8" s="84"/>
      <c r="N8" s="84"/>
      <c r="O8" s="291" t="s">
        <v>129</v>
      </c>
      <c r="P8" s="181">
        <f>Feuil5!P8</f>
        <v>840000</v>
      </c>
      <c r="Q8" s="163"/>
      <c r="R8" s="66"/>
      <c r="S8" s="48"/>
      <c r="T8" s="48"/>
      <c r="U8" s="48"/>
      <c r="V8" s="48"/>
      <c r="W8" s="48"/>
      <c r="X8" s="48"/>
      <c r="Y8" s="122"/>
      <c r="Z8" s="122"/>
      <c r="AA8" s="60"/>
      <c r="AB8" s="60"/>
    </row>
    <row r="9" ht="16.5" customHeight="1">
      <c r="A9" s="48"/>
      <c r="B9" s="266"/>
      <c r="C9" s="266"/>
      <c r="D9" s="266"/>
      <c r="E9" s="266"/>
      <c r="F9" s="266"/>
      <c r="G9" s="266"/>
      <c r="H9" s="266"/>
      <c r="I9" s="48"/>
      <c r="J9" s="61"/>
      <c r="K9" s="234" t="s">
        <v>129</v>
      </c>
      <c r="L9" s="181">
        <f>Feuil5!L9</f>
        <v>980000</v>
      </c>
      <c r="M9" s="84"/>
      <c r="N9" s="84"/>
      <c r="O9" s="84"/>
      <c r="P9" s="84"/>
      <c r="Q9" s="85"/>
      <c r="R9" s="66"/>
      <c r="S9" s="48"/>
      <c r="T9" s="48"/>
      <c r="U9" s="48"/>
      <c r="V9" s="48"/>
      <c r="W9" s="48"/>
      <c r="X9" s="48"/>
      <c r="Y9" s="122"/>
      <c r="Z9" s="122"/>
      <c r="AA9" s="60"/>
      <c r="AB9" s="60"/>
    </row>
    <row r="10" ht="16.5" customHeight="1">
      <c r="A10" s="48"/>
      <c r="B10" s="266"/>
      <c r="C10" s="266"/>
      <c r="D10" s="266"/>
      <c r="E10" s="266"/>
      <c r="F10" s="266"/>
      <c r="G10" s="266"/>
      <c r="H10" s="266"/>
      <c r="I10" s="48"/>
      <c r="J10" s="61"/>
      <c r="K10" s="83"/>
      <c r="L10" s="84"/>
      <c r="M10" s="84"/>
      <c r="N10" s="60"/>
      <c r="O10" s="60"/>
      <c r="P10" s="84"/>
      <c r="Q10" s="85"/>
      <c r="R10" s="66"/>
      <c r="S10" s="48"/>
      <c r="T10" s="48"/>
      <c r="U10" s="48"/>
      <c r="V10" s="48"/>
      <c r="W10" s="48"/>
      <c r="X10" s="48"/>
      <c r="Y10" s="122"/>
      <c r="Z10" s="122"/>
      <c r="AA10" s="60"/>
      <c r="AB10" s="60"/>
    </row>
    <row r="11" ht="15.75" customHeight="1">
      <c r="A11" s="48"/>
      <c r="B11" s="283" t="s">
        <v>45</v>
      </c>
      <c r="C11" s="266"/>
      <c r="D11" s="266"/>
      <c r="E11" s="266"/>
      <c r="F11" s="266"/>
      <c r="G11" s="266"/>
      <c r="H11" s="266"/>
      <c r="I11" s="48"/>
      <c r="J11" s="61"/>
      <c r="K11" s="83"/>
      <c r="L11" s="244" t="s">
        <v>47</v>
      </c>
      <c r="M11" s="84"/>
      <c r="N11" s="84"/>
      <c r="O11" s="84"/>
      <c r="P11" s="84"/>
      <c r="Q11" s="85"/>
      <c r="R11" s="66"/>
      <c r="S11" s="48"/>
      <c r="T11" s="48"/>
      <c r="U11" s="48"/>
      <c r="V11" s="48"/>
      <c r="W11" s="48"/>
      <c r="X11" s="48"/>
      <c r="Y11" s="60"/>
      <c r="Z11" s="60"/>
      <c r="AA11" s="60"/>
      <c r="AB11" s="60"/>
    </row>
    <row r="12" ht="16.5" customHeight="1">
      <c r="A12" s="48"/>
      <c r="B12" s="266"/>
      <c r="C12" s="266"/>
      <c r="D12" s="266"/>
      <c r="E12" s="266"/>
      <c r="F12" s="266"/>
      <c r="G12" s="266"/>
      <c r="H12" s="266"/>
      <c r="I12" s="48"/>
      <c r="J12" s="61"/>
      <c r="K12" s="256" t="s">
        <v>55</v>
      </c>
      <c r="L12" s="292">
        <f>Feuil5!L12</f>
        <v>25</v>
      </c>
      <c r="M12" s="60">
        <f>Feuil5!M12</f>
        <v>35000</v>
      </c>
      <c r="N12" s="84"/>
      <c r="O12" s="84"/>
      <c r="P12" s="84"/>
      <c r="Q12" s="85"/>
      <c r="R12" s="66"/>
      <c r="S12" s="48"/>
      <c r="T12" s="48"/>
      <c r="U12" s="48"/>
      <c r="V12" s="48"/>
      <c r="W12" s="48"/>
      <c r="X12" s="48"/>
      <c r="Y12" s="60"/>
      <c r="Z12" s="60"/>
      <c r="AA12" s="60"/>
      <c r="AB12" s="60"/>
    </row>
    <row r="13" ht="16.5" customHeight="1">
      <c r="A13" s="48"/>
      <c r="B13" s="266"/>
      <c r="C13" s="266"/>
      <c r="D13" s="266"/>
      <c r="E13" s="266"/>
      <c r="F13" s="266"/>
      <c r="G13" s="266"/>
      <c r="H13" s="266"/>
      <c r="I13" s="48"/>
      <c r="J13" s="61"/>
      <c r="K13" s="256" t="s">
        <v>57</v>
      </c>
      <c r="L13" s="60">
        <f>Feuil5!L13</f>
        <v>120000</v>
      </c>
      <c r="M13" s="84"/>
      <c r="N13" s="84"/>
      <c r="O13" s="84"/>
      <c r="P13" s="84"/>
      <c r="Q13" s="85"/>
      <c r="R13" s="66"/>
      <c r="S13" s="48"/>
      <c r="T13" s="48"/>
      <c r="U13" s="48"/>
      <c r="V13" s="48"/>
      <c r="W13" s="48"/>
      <c r="X13" s="48"/>
      <c r="Y13" s="60"/>
      <c r="Z13" s="60"/>
      <c r="AA13" s="60"/>
      <c r="AB13" s="60"/>
    </row>
    <row r="14" ht="16.5" customHeight="1">
      <c r="A14" s="48"/>
      <c r="B14" s="266"/>
      <c r="C14" s="266"/>
      <c r="D14" s="266"/>
      <c r="E14" s="266"/>
      <c r="F14" s="266"/>
      <c r="G14" s="266"/>
      <c r="H14" s="266"/>
      <c r="I14" s="48"/>
      <c r="J14" s="61"/>
      <c r="K14" s="256" t="s">
        <v>41</v>
      </c>
      <c r="L14" s="265">
        <f>Feuil5!L14</f>
        <v>0.03</v>
      </c>
      <c r="M14" s="84"/>
      <c r="N14" s="84"/>
      <c r="O14" s="84"/>
      <c r="P14" s="84"/>
      <c r="Q14" s="85"/>
      <c r="R14" s="66"/>
      <c r="S14" s="48"/>
      <c r="T14" s="48"/>
      <c r="U14" s="48"/>
      <c r="V14" s="48"/>
      <c r="W14" s="48"/>
      <c r="X14" s="48"/>
      <c r="Y14" s="60"/>
      <c r="Z14" s="60"/>
      <c r="AA14" s="60"/>
      <c r="AB14" s="60"/>
    </row>
    <row r="15" ht="16.5" customHeight="1">
      <c r="A15" s="48"/>
      <c r="B15" s="266"/>
      <c r="C15" s="266"/>
      <c r="D15" s="266"/>
      <c r="E15" s="266"/>
      <c r="F15" s="266"/>
      <c r="G15" s="266"/>
      <c r="H15" s="266"/>
      <c r="I15" s="48"/>
      <c r="J15" s="61"/>
      <c r="K15" s="83"/>
      <c r="L15" s="84"/>
      <c r="M15" s="84"/>
      <c r="N15" s="84"/>
      <c r="O15" s="244" t="s">
        <v>130</v>
      </c>
      <c r="P15" s="84"/>
      <c r="Q15" s="163">
        <f>Feuil5!Q15</f>
        <v>20000</v>
      </c>
      <c r="R15" s="66"/>
      <c r="S15" s="48"/>
      <c r="T15" s="48"/>
      <c r="U15" s="48"/>
      <c r="V15" s="48"/>
      <c r="W15" s="48"/>
      <c r="X15" s="48"/>
      <c r="Y15" s="60"/>
      <c r="Z15" s="60"/>
      <c r="AA15" s="60"/>
      <c r="AB15" s="60"/>
    </row>
    <row r="16" ht="16.5" customHeight="1">
      <c r="A16" s="48"/>
      <c r="B16" s="266"/>
      <c r="C16" s="266"/>
      <c r="D16" s="266"/>
      <c r="E16" s="266"/>
      <c r="F16" s="266"/>
      <c r="G16" s="266"/>
      <c r="H16" s="266"/>
      <c r="I16" s="48"/>
      <c r="J16" s="61"/>
      <c r="K16" s="83"/>
      <c r="L16" s="84"/>
      <c r="M16" s="84"/>
      <c r="N16" s="84"/>
      <c r="O16" s="84"/>
      <c r="P16" s="84"/>
      <c r="Q16" s="163">
        <f>Feuil5!Q16</f>
        <v>30000</v>
      </c>
      <c r="R16" s="66"/>
      <c r="S16" s="48"/>
      <c r="T16" s="48"/>
      <c r="U16" s="48"/>
      <c r="V16" s="48"/>
      <c r="W16" s="48"/>
      <c r="X16" s="48"/>
      <c r="Y16" s="60"/>
      <c r="Z16" s="60"/>
      <c r="AA16" s="60"/>
      <c r="AB16" s="60"/>
    </row>
    <row r="17" ht="15.75" customHeight="1">
      <c r="A17" s="48"/>
      <c r="B17" s="283" t="s">
        <v>131</v>
      </c>
      <c r="C17" s="266"/>
      <c r="D17" s="266"/>
      <c r="E17" s="266"/>
      <c r="F17" s="266"/>
      <c r="G17" s="266"/>
      <c r="H17" s="266"/>
      <c r="I17" s="48"/>
      <c r="J17" s="61"/>
      <c r="K17" s="83"/>
      <c r="L17" s="98"/>
      <c r="M17" s="98"/>
      <c r="N17" s="84"/>
      <c r="O17" s="84"/>
      <c r="P17" s="84"/>
      <c r="Q17" s="85"/>
      <c r="R17" s="66"/>
      <c r="S17" s="48"/>
      <c r="T17" s="48"/>
      <c r="U17" s="48"/>
      <c r="V17" s="48"/>
      <c r="W17" s="48"/>
      <c r="X17" s="48"/>
      <c r="Y17" s="122"/>
      <c r="Z17" s="122"/>
      <c r="AA17" s="60"/>
      <c r="AB17" s="60"/>
    </row>
    <row r="18" ht="15.75" customHeight="1">
      <c r="A18" s="48"/>
      <c r="B18" s="266"/>
      <c r="C18" s="266"/>
      <c r="D18" s="266"/>
      <c r="E18" s="266"/>
      <c r="F18" s="266"/>
      <c r="G18" s="266"/>
      <c r="H18" s="266"/>
      <c r="I18" s="48"/>
      <c r="J18" s="61"/>
      <c r="K18" s="80"/>
      <c r="L18" s="293" t="s">
        <v>54</v>
      </c>
      <c r="M18" s="294" t="s">
        <v>47</v>
      </c>
      <c r="N18" s="83"/>
      <c r="O18" s="84"/>
      <c r="P18" s="84"/>
      <c r="Q18" s="85"/>
      <c r="R18" s="66"/>
      <c r="S18" s="48"/>
      <c r="T18" s="48"/>
      <c r="U18" s="48"/>
      <c r="V18" s="48"/>
      <c r="W18" s="48"/>
      <c r="X18" s="48"/>
      <c r="Y18" s="122"/>
      <c r="Z18" s="122"/>
      <c r="AA18" s="60"/>
      <c r="AB18" s="60"/>
    </row>
    <row r="19" ht="13.5" customHeight="1">
      <c r="A19" s="48"/>
      <c r="B19" s="266"/>
      <c r="C19" s="266"/>
      <c r="D19" s="266"/>
      <c r="E19" s="266"/>
      <c r="F19" s="266"/>
      <c r="G19" s="266"/>
      <c r="H19" s="266"/>
      <c r="I19" s="48"/>
      <c r="J19" s="61"/>
      <c r="K19" s="295" t="s">
        <v>55</v>
      </c>
      <c r="L19" s="296">
        <f>'Ennoncé'!L19</f>
        <v>327000</v>
      </c>
      <c r="M19" s="297">
        <f>'Ennoncé'!M19</f>
        <v>233560</v>
      </c>
      <c r="N19" s="83"/>
      <c r="O19" s="84"/>
      <c r="P19" s="84"/>
      <c r="Q19" s="85"/>
      <c r="R19" s="66"/>
      <c r="S19" s="48"/>
      <c r="T19" s="48"/>
      <c r="U19" s="48"/>
      <c r="V19" s="48"/>
      <c r="W19" s="48"/>
      <c r="X19" s="48"/>
      <c r="Y19" s="122"/>
      <c r="Z19" s="122"/>
      <c r="AA19" s="60"/>
      <c r="AB19" s="60"/>
    </row>
    <row r="20" ht="15.75" customHeight="1">
      <c r="A20" s="48"/>
      <c r="B20" s="283" t="s">
        <v>56</v>
      </c>
      <c r="C20" s="266"/>
      <c r="D20" s="266"/>
      <c r="E20" s="266"/>
      <c r="F20" s="266"/>
      <c r="G20" s="266"/>
      <c r="H20" s="266"/>
      <c r="I20" s="48"/>
      <c r="J20" s="61"/>
      <c r="K20" s="298" t="s">
        <v>57</v>
      </c>
      <c r="L20" s="299">
        <f>'Ennoncé'!L20</f>
        <v>343070</v>
      </c>
      <c r="M20" s="300">
        <f>'Ennoncé'!M20</f>
        <v>120000</v>
      </c>
      <c r="N20" s="83"/>
      <c r="O20" s="84"/>
      <c r="P20" s="84"/>
      <c r="Q20" s="85"/>
      <c r="R20" s="66"/>
      <c r="S20" s="48"/>
      <c r="T20" s="48"/>
      <c r="U20" s="48"/>
      <c r="V20" s="48"/>
      <c r="W20" s="48"/>
      <c r="X20" s="48"/>
      <c r="Y20" s="122"/>
      <c r="Z20" s="122"/>
      <c r="AA20" s="60"/>
      <c r="AB20" s="60"/>
    </row>
    <row r="21" ht="16.5" customHeight="1">
      <c r="A21" s="48"/>
      <c r="B21" s="266"/>
      <c r="C21" s="266"/>
      <c r="D21" s="266"/>
      <c r="E21" s="266"/>
      <c r="F21" s="266"/>
      <c r="G21" s="266"/>
      <c r="H21" s="266"/>
      <c r="I21" s="48"/>
      <c r="J21" s="61"/>
      <c r="K21" s="301" t="s">
        <v>41</v>
      </c>
      <c r="L21" s="302">
        <f>'Ennoncé'!L21</f>
        <v>637130</v>
      </c>
      <c r="M21" s="303">
        <f>'Ennoncé'!M21</f>
        <v>807097.222</v>
      </c>
      <c r="N21" s="97"/>
      <c r="O21" s="98"/>
      <c r="P21" s="98"/>
      <c r="Q21" s="99"/>
      <c r="R21" s="66"/>
      <c r="S21" s="48"/>
      <c r="T21" s="48"/>
      <c r="U21" s="48"/>
      <c r="V21" s="48"/>
      <c r="W21" s="48"/>
      <c r="X21" s="48"/>
      <c r="Y21" s="122"/>
      <c r="Z21" s="122"/>
      <c r="AA21" s="60"/>
      <c r="AB21" s="60"/>
    </row>
    <row r="22" ht="16.5" customHeight="1">
      <c r="A22" s="48"/>
      <c r="B22" s="266"/>
      <c r="C22" s="266"/>
      <c r="D22" s="266"/>
      <c r="E22" s="266"/>
      <c r="F22" s="266"/>
      <c r="G22" s="266"/>
      <c r="H22" s="266"/>
      <c r="I22" s="48"/>
      <c r="J22" s="48"/>
      <c r="K22" s="100"/>
      <c r="L22" s="100"/>
      <c r="M22" s="100"/>
      <c r="N22" s="100"/>
      <c r="O22" s="100"/>
      <c r="P22" s="100"/>
      <c r="Q22" s="100"/>
      <c r="R22" s="48"/>
      <c r="S22" s="48"/>
      <c r="T22" s="48"/>
      <c r="U22" s="48"/>
      <c r="V22" s="48"/>
      <c r="W22" s="48"/>
      <c r="X22" s="48"/>
      <c r="Y22" s="122"/>
      <c r="Z22" s="122"/>
      <c r="AA22" s="60"/>
      <c r="AB22" s="60"/>
    </row>
    <row r="23" ht="16.5" customHeight="1">
      <c r="A23" s="48"/>
      <c r="B23" s="266"/>
      <c r="C23" s="266"/>
      <c r="D23" s="266"/>
      <c r="E23" s="266"/>
      <c r="F23" s="266"/>
      <c r="G23" s="266"/>
      <c r="H23" s="266"/>
      <c r="I23" s="48"/>
      <c r="J23" s="48"/>
      <c r="K23" s="58" t="s">
        <v>58</v>
      </c>
      <c r="L23" s="101"/>
      <c r="M23" s="101"/>
      <c r="N23" s="98"/>
      <c r="O23" s="102">
        <v>8.0</v>
      </c>
      <c r="P23" s="98"/>
      <c r="Q23" s="98"/>
      <c r="R23" s="98"/>
      <c r="S23" s="98">
        <v>9.0</v>
      </c>
      <c r="T23" s="98"/>
      <c r="U23" s="98"/>
      <c r="V23" s="59"/>
      <c r="W23" s="48"/>
      <c r="X23" s="48"/>
      <c r="Y23" s="122"/>
      <c r="Z23" s="122"/>
      <c r="AA23" s="60"/>
      <c r="AB23" s="60"/>
    </row>
    <row r="24" ht="15.75" customHeight="1">
      <c r="A24" s="48"/>
      <c r="B24" s="283" t="s">
        <v>59</v>
      </c>
      <c r="C24" s="266"/>
      <c r="D24" s="266"/>
      <c r="E24" s="266"/>
      <c r="F24" s="266"/>
      <c r="G24" s="266"/>
      <c r="H24" s="266"/>
      <c r="I24" s="48"/>
      <c r="J24" s="61"/>
      <c r="K24" s="284" t="s">
        <v>60</v>
      </c>
      <c r="L24" s="304"/>
      <c r="M24" s="105" t="s">
        <v>61</v>
      </c>
      <c r="N24" s="106">
        <v>0.0</v>
      </c>
      <c r="O24" s="107">
        <v>1.0</v>
      </c>
      <c r="P24" s="107">
        <v>2.0</v>
      </c>
      <c r="Q24" s="107">
        <v>3.0</v>
      </c>
      <c r="R24" s="107">
        <v>4.0</v>
      </c>
      <c r="S24" s="107">
        <v>5.0</v>
      </c>
      <c r="T24" s="107">
        <v>6.0</v>
      </c>
      <c r="U24" s="107">
        <v>7.0</v>
      </c>
      <c r="V24" s="108">
        <v>8.0</v>
      </c>
      <c r="W24" s="109"/>
      <c r="X24" s="86"/>
      <c r="Y24" s="122"/>
      <c r="Z24" s="122"/>
      <c r="AA24" s="60"/>
      <c r="AB24" s="60"/>
    </row>
    <row r="25" ht="13.5" customHeight="1">
      <c r="A25" s="48"/>
      <c r="B25" s="266"/>
      <c r="C25" s="266"/>
      <c r="D25" s="266"/>
      <c r="E25" s="266"/>
      <c r="F25" s="266"/>
      <c r="G25" s="266"/>
      <c r="H25" s="266"/>
      <c r="I25" s="48"/>
      <c r="J25" s="61"/>
      <c r="K25" s="284" t="s">
        <v>62</v>
      </c>
      <c r="L25" s="304"/>
      <c r="M25" s="110"/>
      <c r="N25" s="111"/>
      <c r="O25" s="112">
        <f>'Ennoncé'!O25</f>
        <v>15300</v>
      </c>
      <c r="P25" s="305">
        <f>'Ennoncé'!P25</f>
        <v>15300</v>
      </c>
      <c r="Q25" s="306">
        <f>'Ennoncé'!Q25</f>
        <v>15300</v>
      </c>
      <c r="R25" s="307">
        <f>'Ennoncé'!R25</f>
        <v>15300</v>
      </c>
      <c r="S25" s="112">
        <f>'Ennoncé'!S25</f>
        <v>26000</v>
      </c>
      <c r="T25" s="305">
        <f>'Ennoncé'!T25</f>
        <v>26000</v>
      </c>
      <c r="U25" s="306">
        <f>'Ennoncé'!U25</f>
        <v>26000</v>
      </c>
      <c r="V25" s="308">
        <f>'Ennoncé'!V25</f>
        <v>26000</v>
      </c>
      <c r="W25" s="114"/>
      <c r="X25" s="115"/>
      <c r="Y25" s="122"/>
      <c r="Z25" s="122"/>
      <c r="AA25" s="60"/>
      <c r="AB25" s="60"/>
    </row>
    <row r="26" ht="13.5" customHeight="1">
      <c r="A26" s="48"/>
      <c r="B26" s="266"/>
      <c r="C26" s="266"/>
      <c r="D26" s="266"/>
      <c r="E26" s="266"/>
      <c r="F26" s="266"/>
      <c r="G26" s="266"/>
      <c r="H26" s="266"/>
      <c r="I26" s="48"/>
      <c r="J26" s="61"/>
      <c r="K26" s="253" t="s">
        <v>132</v>
      </c>
      <c r="L26" s="309"/>
      <c r="M26" s="310"/>
      <c r="N26" s="119"/>
      <c r="O26" s="120">
        <f>'Ennoncé'!O26</f>
        <v>382500</v>
      </c>
      <c r="P26" s="120">
        <f>'Ennoncé'!P26</f>
        <v>382500</v>
      </c>
      <c r="Q26" s="120">
        <f>'Ennoncé'!Q26</f>
        <v>382500</v>
      </c>
      <c r="R26" s="120">
        <f>'Ennoncé'!R26</f>
        <v>382500</v>
      </c>
      <c r="S26" s="120">
        <f>'Ennoncé'!S26</f>
        <v>650000</v>
      </c>
      <c r="T26" s="120">
        <f>'Ennoncé'!T26</f>
        <v>650000</v>
      </c>
      <c r="U26" s="120">
        <f>'Ennoncé'!U26</f>
        <v>650000</v>
      </c>
      <c r="V26" s="311">
        <f>'Ennoncé'!V26</f>
        <v>650000</v>
      </c>
      <c r="W26" s="121"/>
      <c r="X26" s="122"/>
      <c r="Y26" s="122"/>
      <c r="Z26" s="122"/>
      <c r="AA26" s="60"/>
      <c r="AB26" s="60"/>
    </row>
    <row r="27" ht="13.5" customHeight="1">
      <c r="A27" s="48"/>
      <c r="B27" s="266"/>
      <c r="C27" s="266"/>
      <c r="D27" s="266"/>
      <c r="E27" s="266"/>
      <c r="F27" s="266"/>
      <c r="G27" s="266"/>
      <c r="H27" s="266"/>
      <c r="I27" s="48"/>
      <c r="J27" s="61"/>
      <c r="K27" s="256" t="s">
        <v>133</v>
      </c>
      <c r="L27" s="312"/>
      <c r="M27" s="313"/>
      <c r="N27" s="121"/>
      <c r="O27" s="122">
        <f>'Ennoncé'!O27</f>
        <v>-123000</v>
      </c>
      <c r="P27" s="122">
        <f>'Ennoncé'!P27</f>
        <v>-123000</v>
      </c>
      <c r="Q27" s="122">
        <f>'Ennoncé'!Q27</f>
        <v>-123000</v>
      </c>
      <c r="R27" s="122">
        <f>'Ennoncé'!R27</f>
        <v>-123000</v>
      </c>
      <c r="S27" s="122">
        <f>'Ennoncé'!S27</f>
        <v>-242000</v>
      </c>
      <c r="T27" s="122">
        <f>'Ennoncé'!T27</f>
        <v>-242000</v>
      </c>
      <c r="U27" s="122">
        <f>'Ennoncé'!U27</f>
        <v>-242000</v>
      </c>
      <c r="V27" s="314">
        <f>'Ennoncé'!V27</f>
        <v>-242000</v>
      </c>
      <c r="W27" s="126"/>
      <c r="X27" s="60"/>
      <c r="Y27" s="122"/>
      <c r="Z27" s="122"/>
      <c r="AA27" s="60"/>
      <c r="AB27" s="60"/>
    </row>
    <row r="28" ht="16.5" customHeight="1">
      <c r="A28" s="48"/>
      <c r="B28" s="266"/>
      <c r="C28" s="266"/>
      <c r="D28" s="266"/>
      <c r="E28" s="266"/>
      <c r="F28" s="266"/>
      <c r="G28" s="266"/>
      <c r="H28" s="266"/>
      <c r="I28" s="48"/>
      <c r="J28" s="61"/>
      <c r="K28" s="315" t="s">
        <v>134</v>
      </c>
      <c r="L28" s="316"/>
      <c r="M28" s="317"/>
      <c r="N28" s="130"/>
      <c r="O28" s="318" t="str">
        <f>'Ennoncé'!O28</f>
        <v/>
      </c>
      <c r="P28" s="318" t="str">
        <f>'Ennoncé'!P28</f>
        <v/>
      </c>
      <c r="Q28" s="318" t="str">
        <f>'Ennoncé'!Q28</f>
        <v/>
      </c>
      <c r="R28" s="318" t="str">
        <f>'Ennoncé'!R28</f>
        <v/>
      </c>
      <c r="S28" s="318" t="str">
        <f>'Ennoncé'!S28</f>
        <v/>
      </c>
      <c r="T28" s="318" t="str">
        <f>'Ennoncé'!T28</f>
        <v/>
      </c>
      <c r="U28" s="318" t="str">
        <f>'Ennoncé'!U28</f>
        <v/>
      </c>
      <c r="V28" s="319" t="str">
        <f>'Ennoncé'!V28</f>
        <v/>
      </c>
      <c r="W28" s="126"/>
      <c r="X28" s="60"/>
      <c r="Y28" s="122"/>
      <c r="Z28" s="122"/>
      <c r="AA28" s="60"/>
      <c r="AB28" s="60"/>
    </row>
    <row r="29" ht="15.75" customHeight="1">
      <c r="A29" s="48"/>
      <c r="B29" s="283" t="s">
        <v>63</v>
      </c>
      <c r="C29" s="266"/>
      <c r="D29" s="266"/>
      <c r="E29" s="266"/>
      <c r="F29" s="266"/>
      <c r="G29" s="266"/>
      <c r="H29" s="266"/>
      <c r="I29" s="48"/>
      <c r="J29" s="61"/>
      <c r="K29" s="284" t="s">
        <v>64</v>
      </c>
      <c r="L29" s="320"/>
      <c r="M29" s="321"/>
      <c r="N29" s="135"/>
      <c r="O29" s="322">
        <f>'Ennoncé'!O29</f>
        <v>259500</v>
      </c>
      <c r="P29" s="322">
        <f>'Ennoncé'!P29</f>
        <v>259500</v>
      </c>
      <c r="Q29" s="322">
        <f>'Ennoncé'!Q29</f>
        <v>259500</v>
      </c>
      <c r="R29" s="322">
        <f>'Ennoncé'!R29</f>
        <v>259500</v>
      </c>
      <c r="S29" s="322">
        <f>'Ennoncé'!S29</f>
        <v>408000</v>
      </c>
      <c r="T29" s="322">
        <f>'Ennoncé'!T29</f>
        <v>408000</v>
      </c>
      <c r="U29" s="322">
        <f>'Ennoncé'!U29</f>
        <v>408000</v>
      </c>
      <c r="V29" s="323">
        <f>'Ennoncé'!V29</f>
        <v>408000</v>
      </c>
      <c r="W29" s="126"/>
      <c r="X29" s="60"/>
      <c r="Y29" s="122"/>
      <c r="Z29" s="122"/>
      <c r="AA29" s="60"/>
      <c r="AB29" s="60"/>
    </row>
    <row r="30" ht="13.5" customHeight="1">
      <c r="A30" s="48"/>
      <c r="B30" s="266"/>
      <c r="C30" s="266"/>
      <c r="D30" s="266"/>
      <c r="E30" s="266"/>
      <c r="F30" s="266"/>
      <c r="G30" s="266"/>
      <c r="H30" s="266"/>
      <c r="I30" s="48"/>
      <c r="J30" s="61"/>
      <c r="K30" s="253" t="s">
        <v>65</v>
      </c>
      <c r="L30" s="309"/>
      <c r="M30" s="118"/>
      <c r="N30" s="119"/>
      <c r="O30" s="139"/>
      <c r="P30" s="139"/>
      <c r="Q30" s="139"/>
      <c r="R30" s="139"/>
      <c r="S30" s="139"/>
      <c r="T30" s="139"/>
      <c r="U30" s="139"/>
      <c r="V30" s="140"/>
      <c r="W30" s="83"/>
      <c r="X30" s="84"/>
      <c r="Y30" s="122"/>
      <c r="Z30" s="122"/>
      <c r="AA30" s="60"/>
      <c r="AB30" s="60"/>
    </row>
    <row r="31" ht="13.5" customHeight="1">
      <c r="A31" s="48"/>
      <c r="B31" s="266"/>
      <c r="C31" s="266"/>
      <c r="D31" s="266"/>
      <c r="E31" s="266"/>
      <c r="F31" s="266"/>
      <c r="G31" s="266"/>
      <c r="H31" s="266"/>
      <c r="I31" s="48"/>
      <c r="J31" s="61"/>
      <c r="K31" s="256" t="s">
        <v>55</v>
      </c>
      <c r="L31" s="312"/>
      <c r="M31" s="142"/>
      <c r="N31" s="141">
        <f>'Ennoncé'!N31</f>
        <v>-343070</v>
      </c>
      <c r="O31" s="170" t="str">
        <f>'Ennoncé'!O31</f>
        <v/>
      </c>
      <c r="P31" s="170" t="str">
        <f>'Ennoncé'!P31</f>
        <v/>
      </c>
      <c r="Q31" s="170" t="str">
        <f>'Ennoncé'!Q31</f>
        <v/>
      </c>
      <c r="R31" s="170" t="str">
        <f>'Ennoncé'!R31</f>
        <v/>
      </c>
      <c r="S31" s="170" t="str">
        <f>'Ennoncé'!S31</f>
        <v/>
      </c>
      <c r="T31" s="170" t="str">
        <f>'Ennoncé'!T31</f>
        <v/>
      </c>
      <c r="U31" s="170" t="str">
        <f>'Ennoncé'!U31</f>
        <v/>
      </c>
      <c r="V31" s="324" t="str">
        <f>'Ennoncé'!V31</f>
        <v/>
      </c>
      <c r="W31" s="83"/>
      <c r="X31" s="84"/>
      <c r="Y31" s="122"/>
      <c r="Z31" s="122"/>
      <c r="AA31" s="60"/>
      <c r="AB31" s="60"/>
    </row>
    <row r="32" ht="13.5" customHeight="1">
      <c r="A32" s="48"/>
      <c r="B32" s="266"/>
      <c r="C32" s="266"/>
      <c r="D32" s="266"/>
      <c r="E32" s="266"/>
      <c r="F32" s="266"/>
      <c r="G32" s="266"/>
      <c r="H32" s="266"/>
      <c r="I32" s="48"/>
      <c r="J32" s="61"/>
      <c r="K32" s="256" t="s">
        <v>57</v>
      </c>
      <c r="L32" s="312"/>
      <c r="M32" s="142"/>
      <c r="N32" s="141">
        <f>'Ennoncé'!N32</f>
        <v>-637130</v>
      </c>
      <c r="O32" s="170" t="str">
        <f>'Ennoncé'!O32</f>
        <v/>
      </c>
      <c r="P32" s="170" t="str">
        <f>'Ennoncé'!P32</f>
        <v/>
      </c>
      <c r="Q32" s="170" t="str">
        <f>'Ennoncé'!Q32</f>
        <v/>
      </c>
      <c r="R32" s="170" t="str">
        <f>'Ennoncé'!R32</f>
        <v/>
      </c>
      <c r="S32" s="170" t="str">
        <f>'Ennoncé'!S32</f>
        <v/>
      </c>
      <c r="T32" s="170" t="str">
        <f>'Ennoncé'!T32</f>
        <v/>
      </c>
      <c r="U32" s="170" t="str">
        <f>'Ennoncé'!U32</f>
        <v/>
      </c>
      <c r="V32" s="324" t="str">
        <f>'Ennoncé'!V32</f>
        <v/>
      </c>
      <c r="W32" s="83"/>
      <c r="X32" s="84"/>
      <c r="Y32" s="122"/>
      <c r="Z32" s="122"/>
      <c r="AA32" s="60"/>
      <c r="AB32" s="60"/>
    </row>
    <row r="33" ht="13.5" customHeight="1">
      <c r="A33" s="48"/>
      <c r="B33" s="266"/>
      <c r="C33" s="266"/>
      <c r="D33" s="266"/>
      <c r="E33" s="266"/>
      <c r="F33" s="266"/>
      <c r="G33" s="266"/>
      <c r="H33" s="266"/>
      <c r="I33" s="48"/>
      <c r="J33" s="61"/>
      <c r="K33" s="256" t="s">
        <v>41</v>
      </c>
      <c r="L33" s="312"/>
      <c r="M33" s="142"/>
      <c r="N33" s="141">
        <f>'Ennoncé'!N33</f>
        <v>-20000</v>
      </c>
      <c r="O33" s="170" t="str">
        <f>'Ennoncé'!O33</f>
        <v/>
      </c>
      <c r="P33" s="170" t="str">
        <f>'Ennoncé'!P33</f>
        <v/>
      </c>
      <c r="Q33" s="170" t="str">
        <f>'Ennoncé'!Q33</f>
        <v/>
      </c>
      <c r="R33" s="170">
        <f>'Ennoncé'!R33</f>
        <v>-30000</v>
      </c>
      <c r="S33" s="170" t="str">
        <f>'Ennoncé'!S33</f>
        <v/>
      </c>
      <c r="T33" s="170" t="str">
        <f>'Ennoncé'!T33</f>
        <v/>
      </c>
      <c r="U33" s="170" t="str">
        <f>'Ennoncé'!U33</f>
        <v/>
      </c>
      <c r="V33" s="324" t="str">
        <f>'Ennoncé'!V33</f>
        <v/>
      </c>
      <c r="W33" s="83"/>
      <c r="X33" s="84"/>
      <c r="Y33" s="122"/>
      <c r="Z33" s="122"/>
      <c r="AA33" s="60"/>
      <c r="AB33" s="60"/>
    </row>
    <row r="34" ht="16.5" customHeight="1">
      <c r="A34" s="48"/>
      <c r="B34" s="48"/>
      <c r="C34" s="59"/>
      <c r="D34" s="59"/>
      <c r="E34" s="59"/>
      <c r="F34" s="59"/>
      <c r="G34" s="48"/>
      <c r="H34" s="48"/>
      <c r="I34" s="48"/>
      <c r="J34" s="61"/>
      <c r="K34" s="256" t="s">
        <v>135</v>
      </c>
      <c r="L34" s="312"/>
      <c r="M34" s="142"/>
      <c r="N34" s="141" t="str">
        <f>'Ennoncé'!N34</f>
        <v/>
      </c>
      <c r="O34" s="170" t="str">
        <f>'Ennoncé'!O34</f>
        <v/>
      </c>
      <c r="P34" s="170" t="str">
        <f>'Ennoncé'!P34</f>
        <v/>
      </c>
      <c r="Q34" s="170" t="str">
        <f>'Ennoncé'!Q34</f>
        <v/>
      </c>
      <c r="R34" s="170" t="str">
        <f>'Ennoncé'!R34</f>
        <v/>
      </c>
      <c r="S34" s="170" t="str">
        <f>'Ennoncé'!S34</f>
        <v/>
      </c>
      <c r="T34" s="170" t="str">
        <f>'Ennoncé'!T34</f>
        <v/>
      </c>
      <c r="U34" s="170" t="str">
        <f>'Ennoncé'!U34</f>
        <v/>
      </c>
      <c r="V34" s="324" t="str">
        <f>'Ennoncé'!V34</f>
        <v/>
      </c>
      <c r="W34" s="83"/>
      <c r="X34" s="84"/>
      <c r="Y34" s="122"/>
      <c r="Z34" s="122"/>
      <c r="AA34" s="60"/>
      <c r="AB34" s="60"/>
    </row>
    <row r="35" ht="16.5" customHeight="1">
      <c r="A35" s="48"/>
      <c r="B35" s="61"/>
      <c r="C35" s="325" t="s">
        <v>70</v>
      </c>
      <c r="D35" s="326"/>
      <c r="E35" s="325" t="s">
        <v>71</v>
      </c>
      <c r="F35" s="326"/>
      <c r="G35" s="66"/>
      <c r="H35" s="48"/>
      <c r="I35" s="48"/>
      <c r="J35" s="61"/>
      <c r="K35" s="327"/>
      <c r="L35" s="328"/>
      <c r="M35" s="147"/>
      <c r="N35" s="329" t="str">
        <f>'Ennoncé'!N35</f>
        <v/>
      </c>
      <c r="O35" s="176" t="str">
        <f>'Ennoncé'!O35</f>
        <v/>
      </c>
      <c r="P35" s="176" t="str">
        <f>'Ennoncé'!P35</f>
        <v/>
      </c>
      <c r="Q35" s="176" t="str">
        <f>'Ennoncé'!Q35</f>
        <v/>
      </c>
      <c r="R35" s="176" t="str">
        <f>'Ennoncé'!R35</f>
        <v/>
      </c>
      <c r="S35" s="176" t="str">
        <f>'Ennoncé'!S35</f>
        <v/>
      </c>
      <c r="T35" s="176" t="str">
        <f>'Ennoncé'!T35</f>
        <v/>
      </c>
      <c r="U35" s="176" t="str">
        <f>'Ennoncé'!U35</f>
        <v/>
      </c>
      <c r="V35" s="330" t="str">
        <f>'Ennoncé'!V35</f>
        <v/>
      </c>
      <c r="W35" s="83"/>
      <c r="X35" s="84"/>
      <c r="Y35" s="192"/>
      <c r="Z35" s="192"/>
      <c r="AA35" s="181"/>
      <c r="AB35" s="181"/>
    </row>
    <row r="36" ht="15.75" customHeight="1">
      <c r="A36" s="48"/>
      <c r="B36" s="61"/>
      <c r="C36" s="331" t="s">
        <v>72</v>
      </c>
      <c r="D36" s="332" t="s">
        <v>136</v>
      </c>
      <c r="E36" s="331" t="s">
        <v>72</v>
      </c>
      <c r="F36" s="332" t="s">
        <v>136</v>
      </c>
      <c r="G36" s="66"/>
      <c r="H36" s="48"/>
      <c r="I36" s="48"/>
      <c r="J36" s="61"/>
      <c r="K36" s="333" t="s">
        <v>73</v>
      </c>
      <c r="L36" s="334"/>
      <c r="M36" s="156"/>
      <c r="N36" s="335" t="str">
        <f>'Ennoncé'!N36</f>
        <v/>
      </c>
      <c r="O36" s="336" t="str">
        <f>'Ennoncé'!O36</f>
        <v/>
      </c>
      <c r="P36" s="336" t="str">
        <f>'Ennoncé'!P36</f>
        <v/>
      </c>
      <c r="Q36" s="336" t="str">
        <f>'Ennoncé'!Q36</f>
        <v/>
      </c>
      <c r="R36" s="336" t="str">
        <f>'Ennoncé'!R36</f>
        <v/>
      </c>
      <c r="S36" s="336" t="str">
        <f>'Ennoncé'!S36</f>
        <v/>
      </c>
      <c r="T36" s="336" t="str">
        <f>'Ennoncé'!T36</f>
        <v/>
      </c>
      <c r="U36" s="336" t="str">
        <f>'Ennoncé'!U36</f>
        <v/>
      </c>
      <c r="V36" s="337">
        <f>'Ennoncé'!V36</f>
        <v>233560</v>
      </c>
      <c r="W36" s="83"/>
      <c r="X36" s="84"/>
      <c r="Y36" s="338"/>
      <c r="Z36" s="338"/>
      <c r="AA36" s="186"/>
      <c r="AB36" s="186"/>
    </row>
    <row r="37" ht="13.5" customHeight="1">
      <c r="A37" s="48"/>
      <c r="B37" s="61"/>
      <c r="C37" s="339"/>
      <c r="D37" s="340"/>
      <c r="E37" s="339"/>
      <c r="F37" s="340"/>
      <c r="G37" s="66"/>
      <c r="H37" s="48"/>
      <c r="I37" s="48"/>
      <c r="J37" s="61"/>
      <c r="K37" s="256" t="s">
        <v>137</v>
      </c>
      <c r="L37" s="312"/>
      <c r="M37" s="162"/>
      <c r="N37" s="141" t="str">
        <f>'Ennoncé'!N37</f>
        <v/>
      </c>
      <c r="O37" s="170" t="str">
        <f>'Ennoncé'!O37</f>
        <v/>
      </c>
      <c r="P37" s="170" t="str">
        <f>'Ennoncé'!P37</f>
        <v/>
      </c>
      <c r="Q37" s="170" t="str">
        <f>'Ennoncé'!Q37</f>
        <v/>
      </c>
      <c r="R37" s="170" t="str">
        <f>'Ennoncé'!R37</f>
        <v/>
      </c>
      <c r="S37" s="170" t="str">
        <f>'Ennoncé'!S37</f>
        <v/>
      </c>
      <c r="T37" s="170" t="str">
        <f>'Ennoncé'!T37</f>
        <v/>
      </c>
      <c r="U37" s="170" t="str">
        <f>'Ennoncé'!U37</f>
        <v/>
      </c>
      <c r="V37" s="324">
        <f>'Ennoncé'!V37</f>
        <v>120000</v>
      </c>
      <c r="W37" s="83"/>
      <c r="X37" s="84"/>
      <c r="Y37" s="192"/>
      <c r="Z37" s="192"/>
      <c r="AA37" s="181"/>
      <c r="AB37" s="181"/>
    </row>
    <row r="38" ht="14.25" customHeight="1">
      <c r="A38" s="48"/>
      <c r="B38" s="61"/>
      <c r="C38" s="341"/>
      <c r="D38" s="342"/>
      <c r="E38" s="341"/>
      <c r="F38" s="342"/>
      <c r="G38" s="66"/>
      <c r="H38" s="48"/>
      <c r="I38" s="48"/>
      <c r="J38" s="61"/>
      <c r="K38" s="256" t="s">
        <v>138</v>
      </c>
      <c r="L38" s="312"/>
      <c r="M38" s="162"/>
      <c r="N38" s="141" t="str">
        <f>'Ennoncé'!N38</f>
        <v/>
      </c>
      <c r="O38" s="170" t="str">
        <f>'Ennoncé'!O38</f>
        <v/>
      </c>
      <c r="P38" s="170" t="str">
        <f>'Ennoncé'!P38</f>
        <v/>
      </c>
      <c r="Q38" s="170" t="str">
        <f>'Ennoncé'!Q38</f>
        <v/>
      </c>
      <c r="R38" s="170" t="str">
        <f>'Ennoncé'!R38</f>
        <v/>
      </c>
      <c r="S38" s="170" t="str">
        <f>'Ennoncé'!S38</f>
        <v/>
      </c>
      <c r="T38" s="170" t="str">
        <f>'Ennoncé'!T38</f>
        <v/>
      </c>
      <c r="U38" s="170" t="str">
        <f>'Ennoncé'!U38</f>
        <v/>
      </c>
      <c r="V38" s="324">
        <f>'Ennoncé'!V38</f>
        <v>807097.222</v>
      </c>
      <c r="W38" s="83"/>
      <c r="X38" s="84"/>
      <c r="Y38" s="48"/>
      <c r="Z38" s="48"/>
      <c r="AA38" s="48"/>
      <c r="AB38" s="48"/>
    </row>
    <row r="39" ht="14.25" customHeight="1">
      <c r="A39" s="48"/>
      <c r="B39" s="61"/>
      <c r="C39" s="343">
        <v>12000.0</v>
      </c>
      <c r="D39" s="344">
        <v>0.3</v>
      </c>
      <c r="E39" s="343">
        <v>18000.0</v>
      </c>
      <c r="F39" s="344">
        <v>0.1</v>
      </c>
      <c r="G39" s="66"/>
      <c r="H39" s="48"/>
      <c r="I39" s="48"/>
      <c r="J39" s="61"/>
      <c r="K39" s="256" t="s">
        <v>139</v>
      </c>
      <c r="L39" s="312"/>
      <c r="M39" s="162"/>
      <c r="N39" s="141" t="str">
        <f>'Ennoncé'!N39</f>
        <v/>
      </c>
      <c r="O39" s="170" t="str">
        <f>'Ennoncé'!O39</f>
        <v/>
      </c>
      <c r="P39" s="170" t="str">
        <f>'Ennoncé'!P39</f>
        <v/>
      </c>
      <c r="Q39" s="170" t="str">
        <f>'Ennoncé'!Q39</f>
        <v/>
      </c>
      <c r="R39" s="170" t="str">
        <f>'Ennoncé'!R39</f>
        <v/>
      </c>
      <c r="S39" s="170" t="str">
        <f>'Ennoncé'!S39</f>
        <v/>
      </c>
      <c r="T39" s="170" t="str">
        <f>'Ennoncé'!T39</f>
        <v/>
      </c>
      <c r="U39" s="170" t="str">
        <f>'Ennoncé'!U39</f>
        <v/>
      </c>
      <c r="V39" s="324">
        <f>'Ennoncé'!V39</f>
        <v>50000</v>
      </c>
      <c r="W39" s="83"/>
      <c r="X39" s="84"/>
      <c r="Y39" s="48"/>
      <c r="Z39" s="48"/>
      <c r="AA39" s="48"/>
      <c r="AB39" s="48"/>
    </row>
    <row r="40" ht="14.25" customHeight="1">
      <c r="A40" s="48"/>
      <c r="B40" s="61"/>
      <c r="C40" s="345">
        <v>15000.0</v>
      </c>
      <c r="D40" s="346">
        <v>0.4</v>
      </c>
      <c r="E40" s="345">
        <v>23000.0</v>
      </c>
      <c r="F40" s="346">
        <v>0.35</v>
      </c>
      <c r="G40" s="66"/>
      <c r="H40" s="48"/>
      <c r="I40" s="48"/>
      <c r="J40" s="61"/>
      <c r="K40" s="256" t="s">
        <v>135</v>
      </c>
      <c r="L40" s="312"/>
      <c r="M40" s="162"/>
      <c r="N40" s="141" t="str">
        <f>'Ennoncé'!N40</f>
        <v/>
      </c>
      <c r="O40" s="170" t="str">
        <f>'Ennoncé'!O40</f>
        <v/>
      </c>
      <c r="P40" s="170" t="str">
        <f>'Ennoncé'!P40</f>
        <v/>
      </c>
      <c r="Q40" s="170" t="str">
        <f>'Ennoncé'!Q40</f>
        <v/>
      </c>
      <c r="R40" s="170" t="str">
        <f>'Ennoncé'!R40</f>
        <v/>
      </c>
      <c r="S40" s="170" t="str">
        <f>'Ennoncé'!S40</f>
        <v/>
      </c>
      <c r="T40" s="170" t="str">
        <f>'Ennoncé'!T40</f>
        <v/>
      </c>
      <c r="U40" s="170" t="str">
        <f>'Ennoncé'!U40</f>
        <v/>
      </c>
      <c r="V40" s="324" t="str">
        <f>'Ennoncé'!V40</f>
        <v/>
      </c>
      <c r="W40" s="83"/>
      <c r="X40" s="84"/>
      <c r="Y40" s="48"/>
      <c r="Z40" s="48"/>
      <c r="AA40" s="48"/>
      <c r="AB40" s="48"/>
    </row>
    <row r="41" ht="14.25" customHeight="1">
      <c r="A41" s="48"/>
      <c r="B41" s="61"/>
      <c r="C41" s="345">
        <v>18000.0</v>
      </c>
      <c r="D41" s="346">
        <v>0.2</v>
      </c>
      <c r="E41" s="345">
        <v>27000.0</v>
      </c>
      <c r="F41" s="346">
        <v>0.3</v>
      </c>
      <c r="G41" s="66"/>
      <c r="H41" s="48"/>
      <c r="I41" s="48"/>
      <c r="J41" s="61"/>
      <c r="K41" s="347"/>
      <c r="L41" s="348"/>
      <c r="M41" s="174"/>
      <c r="N41" s="329" t="str">
        <f>'Ennoncé'!N41</f>
        <v/>
      </c>
      <c r="O41" s="176" t="str">
        <f>'Ennoncé'!O41</f>
        <v/>
      </c>
      <c r="P41" s="176" t="str">
        <f>'Ennoncé'!P41</f>
        <v/>
      </c>
      <c r="Q41" s="176" t="str">
        <f>'Ennoncé'!Q41</f>
        <v/>
      </c>
      <c r="R41" s="176" t="str">
        <f>'Ennoncé'!R41</f>
        <v/>
      </c>
      <c r="S41" s="176" t="str">
        <f>'Ennoncé'!S41</f>
        <v/>
      </c>
      <c r="T41" s="176" t="str">
        <f>'Ennoncé'!T41</f>
        <v/>
      </c>
      <c r="U41" s="176" t="str">
        <f>'Ennoncé'!U41</f>
        <v/>
      </c>
      <c r="V41" s="330" t="str">
        <f>'Ennoncé'!V41</f>
        <v/>
      </c>
      <c r="W41" s="83"/>
      <c r="X41" s="84"/>
      <c r="Y41" s="48"/>
      <c r="Z41" s="48"/>
      <c r="AA41" s="48"/>
      <c r="AB41" s="48"/>
    </row>
    <row r="42" ht="14.25" customHeight="1">
      <c r="A42" s="48"/>
      <c r="B42" s="61"/>
      <c r="C42" s="345">
        <v>21000.0</v>
      </c>
      <c r="D42" s="346">
        <v>0.1</v>
      </c>
      <c r="E42" s="345">
        <v>31000.0</v>
      </c>
      <c r="F42" s="346">
        <v>0.15</v>
      </c>
      <c r="G42" s="66"/>
      <c r="H42" s="48"/>
      <c r="I42" s="48"/>
      <c r="J42" s="61"/>
      <c r="K42" s="333" t="s">
        <v>78</v>
      </c>
      <c r="L42" s="334"/>
      <c r="M42" s="349">
        <v>10.0</v>
      </c>
      <c r="N42" s="177">
        <f>(SUM(L19:L21)+Q15)*-1</f>
        <v>-1327200</v>
      </c>
      <c r="O42" s="350">
        <f t="shared" ref="O42:Q42" si="1">SUM(O29:O41)</f>
        <v>259500</v>
      </c>
      <c r="P42" s="351">
        <f t="shared" si="1"/>
        <v>259500</v>
      </c>
      <c r="Q42" s="352">
        <f t="shared" si="1"/>
        <v>259500</v>
      </c>
      <c r="R42" s="178">
        <f>R29-Q16</f>
        <v>229500</v>
      </c>
      <c r="S42" s="350">
        <f t="shared" ref="S42:U42" si="2">SUM(S29:S41)</f>
        <v>408000</v>
      </c>
      <c r="T42" s="351">
        <f t="shared" si="2"/>
        <v>408000</v>
      </c>
      <c r="U42" s="352">
        <f t="shared" si="2"/>
        <v>408000</v>
      </c>
      <c r="V42" s="179">
        <f>SUM(M19:M21)+Q15+Q16+V29</f>
        <v>1618657.222</v>
      </c>
      <c r="W42" s="353">
        <v>12.0</v>
      </c>
      <c r="X42" s="181"/>
      <c r="Y42" s="48"/>
      <c r="Z42" s="48"/>
      <c r="AA42" s="48"/>
      <c r="AB42" s="48"/>
    </row>
    <row r="43" ht="16.5" customHeight="1">
      <c r="A43" s="48"/>
      <c r="B43" s="61"/>
      <c r="C43" s="97"/>
      <c r="D43" s="354"/>
      <c r="E43" s="355">
        <v>34000.0</v>
      </c>
      <c r="F43" s="356">
        <v>0.1</v>
      </c>
      <c r="G43" s="66"/>
      <c r="H43" s="48"/>
      <c r="I43" s="48"/>
      <c r="J43" s="61"/>
      <c r="K43" s="256" t="s">
        <v>79</v>
      </c>
      <c r="L43" s="312"/>
      <c r="M43" s="357">
        <f>Feuil5!M43</f>
        <v>0.11</v>
      </c>
      <c r="N43" s="183">
        <f t="shared" ref="N43:V43" si="3">(1+$M$43)^-N24</f>
        <v>1</v>
      </c>
      <c r="O43" s="184">
        <f t="shared" si="3"/>
        <v>0.9009009009</v>
      </c>
      <c r="P43" s="184">
        <f t="shared" si="3"/>
        <v>0.8116224332</v>
      </c>
      <c r="Q43" s="184">
        <f t="shared" si="3"/>
        <v>0.7311913813</v>
      </c>
      <c r="R43" s="184">
        <f t="shared" si="3"/>
        <v>0.6587309741</v>
      </c>
      <c r="S43" s="184">
        <f t="shared" si="3"/>
        <v>0.5934513281</v>
      </c>
      <c r="T43" s="184">
        <f t="shared" si="3"/>
        <v>0.5346408361</v>
      </c>
      <c r="U43" s="184">
        <f t="shared" si="3"/>
        <v>0.4816584109</v>
      </c>
      <c r="V43" s="358">
        <f t="shared" si="3"/>
        <v>0.4339264963</v>
      </c>
      <c r="W43" s="185"/>
      <c r="X43" s="186"/>
      <c r="Y43" s="48"/>
      <c r="Z43" s="48"/>
      <c r="AA43" s="48"/>
      <c r="AB43" s="48"/>
    </row>
    <row r="44" ht="16.5" customHeight="1">
      <c r="A44" s="48"/>
      <c r="B44" s="48"/>
      <c r="C44" s="100"/>
      <c r="D44" s="100"/>
      <c r="E44" s="100"/>
      <c r="F44" s="359"/>
      <c r="G44" s="48"/>
      <c r="H44" s="48"/>
      <c r="I44" s="48"/>
      <c r="J44" s="61"/>
      <c r="K44" s="315" t="s">
        <v>80</v>
      </c>
      <c r="L44" s="316"/>
      <c r="M44" s="188"/>
      <c r="N44" s="189">
        <f t="shared" ref="N44:V44" si="4">N42*N43</f>
        <v>-1327200</v>
      </c>
      <c r="O44" s="190">
        <f t="shared" si="4"/>
        <v>233783.7838</v>
      </c>
      <c r="P44" s="190">
        <f t="shared" si="4"/>
        <v>210616.0214</v>
      </c>
      <c r="Q44" s="190">
        <f t="shared" si="4"/>
        <v>189744.1634</v>
      </c>
      <c r="R44" s="190">
        <f t="shared" si="4"/>
        <v>151178.7586</v>
      </c>
      <c r="S44" s="190">
        <f t="shared" si="4"/>
        <v>242128.1418</v>
      </c>
      <c r="T44" s="190">
        <f t="shared" si="4"/>
        <v>218133.4611</v>
      </c>
      <c r="U44" s="190">
        <f t="shared" si="4"/>
        <v>196516.6316</v>
      </c>
      <c r="V44" s="360">
        <f t="shared" si="4"/>
        <v>702378.257</v>
      </c>
      <c r="W44" s="191"/>
      <c r="X44" s="192"/>
      <c r="Y44" s="48"/>
      <c r="Z44" s="48"/>
      <c r="AA44" s="48"/>
      <c r="AB44" s="48"/>
    </row>
    <row r="45" ht="15.75" customHeight="1">
      <c r="A45" s="48"/>
      <c r="B45" s="283" t="s">
        <v>81</v>
      </c>
      <c r="C45" s="266"/>
      <c r="D45" s="266"/>
      <c r="E45" s="266"/>
      <c r="F45" s="266"/>
      <c r="G45" s="266"/>
      <c r="H45" s="266"/>
      <c r="I45" s="48"/>
      <c r="J45" s="61"/>
      <c r="K45" s="284" t="s">
        <v>82</v>
      </c>
      <c r="L45" s="321"/>
      <c r="M45" s="361">
        <f t="array" ref="M45">NPV(M43,O42:V42)+N42</f>
        <v>817279.2189</v>
      </c>
      <c r="N45" s="362"/>
      <c r="O45" s="194"/>
      <c r="P45" s="195"/>
      <c r="Q45" s="195"/>
      <c r="R45" s="195">
        <v>11.0</v>
      </c>
      <c r="S45" s="195"/>
      <c r="T45" s="195"/>
      <c r="U45" s="195"/>
      <c r="V45" s="195"/>
      <c r="W45" s="84"/>
      <c r="X45" s="84"/>
      <c r="Y45" s="48"/>
      <c r="Z45" s="48"/>
      <c r="AA45" s="48"/>
      <c r="AB45" s="48"/>
    </row>
    <row r="46" ht="13.5" customHeight="1">
      <c r="A46" s="48"/>
      <c r="B46" s="266"/>
      <c r="C46" s="266"/>
      <c r="D46" s="266"/>
      <c r="E46" s="266"/>
      <c r="F46" s="266"/>
      <c r="G46" s="266"/>
      <c r="H46" s="266"/>
      <c r="I46" s="48"/>
      <c r="J46" s="48"/>
      <c r="K46" s="100"/>
      <c r="L46" s="100"/>
      <c r="M46" s="100"/>
      <c r="N46" s="363">
        <v>13.0</v>
      </c>
      <c r="O46" s="48"/>
      <c r="P46" s="48"/>
      <c r="Q46" s="48"/>
      <c r="R46" s="48"/>
      <c r="S46" s="48"/>
      <c r="T46" s="48"/>
      <c r="U46" s="84"/>
      <c r="V46" s="84"/>
      <c r="W46" s="84"/>
      <c r="X46" s="84"/>
      <c r="Y46" s="48"/>
      <c r="Z46" s="48"/>
      <c r="AA46" s="48"/>
      <c r="AB46" s="48"/>
    </row>
    <row r="47" ht="13.5" customHeight="1">
      <c r="A47" s="48"/>
      <c r="B47" s="266"/>
      <c r="C47" s="266"/>
      <c r="D47" s="266"/>
      <c r="E47" s="266"/>
      <c r="F47" s="266"/>
      <c r="G47" s="266"/>
      <c r="H47" s="266"/>
      <c r="I47" s="48"/>
      <c r="J47" s="48"/>
      <c r="K47" s="58" t="s">
        <v>58</v>
      </c>
      <c r="L47" s="101"/>
      <c r="M47" s="198"/>
      <c r="N47" s="198"/>
      <c r="O47" s="84"/>
      <c r="P47" s="48"/>
      <c r="Q47" s="58" t="s">
        <v>95</v>
      </c>
      <c r="R47" s="59"/>
      <c r="S47" s="59"/>
      <c r="T47" s="48"/>
      <c r="U47" s="84"/>
      <c r="V47" s="84"/>
      <c r="W47" s="84"/>
      <c r="X47" s="84"/>
      <c r="Y47" s="48"/>
      <c r="Z47" s="48"/>
      <c r="AA47" s="48"/>
      <c r="AB47" s="48"/>
    </row>
    <row r="48" ht="14.25" customHeight="1">
      <c r="A48" s="48"/>
      <c r="B48" s="266"/>
      <c r="C48" s="266"/>
      <c r="D48" s="266"/>
      <c r="E48" s="266"/>
      <c r="F48" s="266"/>
      <c r="G48" s="266"/>
      <c r="H48" s="266"/>
      <c r="I48" s="48"/>
      <c r="J48" s="61"/>
      <c r="K48" s="253" t="s">
        <v>140</v>
      </c>
      <c r="L48" s="364"/>
      <c r="M48" s="365">
        <f>PMT(M43,V24,-1)</f>
        <v>0.1943210542</v>
      </c>
      <c r="N48" s="366"/>
      <c r="O48" s="83"/>
      <c r="P48" s="61"/>
      <c r="Q48" s="367" t="s">
        <v>86</v>
      </c>
      <c r="R48" s="368" t="s">
        <v>141</v>
      </c>
      <c r="S48" s="369" t="s">
        <v>142</v>
      </c>
      <c r="T48" s="83"/>
      <c r="U48" s="84"/>
      <c r="V48" s="48"/>
      <c r="W48" s="48"/>
      <c r="X48" s="48"/>
      <c r="Y48" s="48"/>
      <c r="Z48" s="48"/>
      <c r="AA48" s="48"/>
      <c r="AB48" s="48"/>
    </row>
    <row r="49" ht="15.75" customHeight="1">
      <c r="A49" s="48"/>
      <c r="B49" s="283" t="s">
        <v>88</v>
      </c>
      <c r="C49" s="266"/>
      <c r="D49" s="266"/>
      <c r="E49" s="266"/>
      <c r="F49" s="266"/>
      <c r="G49" s="266"/>
      <c r="H49" s="266"/>
      <c r="I49" s="48"/>
      <c r="J49" s="61"/>
      <c r="K49" s="315" t="s">
        <v>89</v>
      </c>
      <c r="L49" s="316"/>
      <c r="M49" s="370">
        <f>'Ennoncé'!M45*M48</f>
        <v>158814.5594</v>
      </c>
      <c r="N49" s="371"/>
      <c r="O49" s="207" t="s">
        <v>143</v>
      </c>
      <c r="P49" s="61"/>
      <c r="Q49" s="208">
        <v>0.0</v>
      </c>
      <c r="R49" s="372">
        <f>M53</f>
        <v>-1346961.929</v>
      </c>
      <c r="S49" s="210">
        <f>R49</f>
        <v>-1346961.929</v>
      </c>
      <c r="T49" s="373">
        <v>17.1</v>
      </c>
      <c r="U49" s="84"/>
      <c r="V49" s="48"/>
      <c r="W49" s="48"/>
      <c r="X49" s="48"/>
      <c r="Y49" s="48"/>
      <c r="Z49" s="48"/>
      <c r="AA49" s="48"/>
      <c r="AB49" s="48"/>
    </row>
    <row r="50" ht="13.5" customHeight="1">
      <c r="A50" s="48"/>
      <c r="B50" s="266"/>
      <c r="C50" s="266"/>
      <c r="D50" s="266"/>
      <c r="E50" s="266"/>
      <c r="F50" s="266"/>
      <c r="G50" s="266"/>
      <c r="H50" s="266"/>
      <c r="I50" s="48"/>
      <c r="J50" s="48"/>
      <c r="K50" s="211"/>
      <c r="L50" s="212"/>
      <c r="M50" s="213"/>
      <c r="N50" s="213"/>
      <c r="O50" s="48"/>
      <c r="P50" s="61"/>
      <c r="Q50" s="208">
        <v>1.0</v>
      </c>
      <c r="R50" s="209">
        <f>O44</f>
        <v>233783.7838</v>
      </c>
      <c r="S50" s="374">
        <f t="shared" ref="S50:S57" si="5">S49+R50</f>
        <v>-1113178.145</v>
      </c>
      <c r="T50" s="373">
        <v>17.2</v>
      </c>
      <c r="U50" s="48"/>
      <c r="V50" s="48"/>
      <c r="W50" s="48"/>
      <c r="X50" s="48"/>
      <c r="Y50" s="48"/>
      <c r="Z50" s="48"/>
      <c r="AA50" s="48"/>
      <c r="AB50" s="48"/>
    </row>
    <row r="51" ht="13.5" customHeight="1">
      <c r="A51" s="48"/>
      <c r="B51" s="266"/>
      <c r="C51" s="266"/>
      <c r="D51" s="266"/>
      <c r="E51" s="266"/>
      <c r="F51" s="266"/>
      <c r="G51" s="266"/>
      <c r="H51" s="266"/>
      <c r="I51" s="48"/>
      <c r="J51" s="48"/>
      <c r="K51" s="58" t="s">
        <v>83</v>
      </c>
      <c r="L51" s="101"/>
      <c r="M51" s="214"/>
      <c r="N51" s="214"/>
      <c r="O51" s="84"/>
      <c r="P51" s="61"/>
      <c r="Q51" s="208">
        <v>2.0</v>
      </c>
      <c r="R51" s="209">
        <f>P44</f>
        <v>210616.0214</v>
      </c>
      <c r="S51" s="210">
        <f t="shared" si="5"/>
        <v>-902562.124</v>
      </c>
      <c r="T51" s="83"/>
      <c r="U51" s="48"/>
      <c r="V51" s="48"/>
      <c r="W51" s="48"/>
      <c r="X51" s="48"/>
      <c r="Y51" s="48"/>
      <c r="Z51" s="48"/>
      <c r="AA51" s="48"/>
      <c r="AB51" s="48"/>
    </row>
    <row r="52" ht="13.5" customHeight="1">
      <c r="A52" s="48"/>
      <c r="B52" s="266"/>
      <c r="C52" s="266"/>
      <c r="D52" s="266"/>
      <c r="E52" s="266"/>
      <c r="F52" s="266"/>
      <c r="G52" s="266"/>
      <c r="H52" s="266"/>
      <c r="I52" s="48"/>
      <c r="J52" s="61"/>
      <c r="K52" s="253" t="s">
        <v>144</v>
      </c>
      <c r="L52" s="195"/>
      <c r="M52" s="375">
        <f>M45</f>
        <v>817279.2189</v>
      </c>
      <c r="N52" s="376"/>
      <c r="O52" s="83"/>
      <c r="P52" s="61"/>
      <c r="Q52" s="208">
        <v>3.0</v>
      </c>
      <c r="R52" s="209">
        <f>Q44</f>
        <v>189744.1634</v>
      </c>
      <c r="S52" s="210">
        <f t="shared" si="5"/>
        <v>-712817.9606</v>
      </c>
      <c r="T52" s="83"/>
      <c r="U52" s="48"/>
      <c r="V52" s="48"/>
      <c r="W52" s="48"/>
      <c r="X52" s="48"/>
      <c r="Y52" s="48"/>
      <c r="Z52" s="48"/>
      <c r="AA52" s="48"/>
      <c r="AB52" s="48"/>
    </row>
    <row r="53" ht="16.5" customHeight="1">
      <c r="A53" s="48"/>
      <c r="B53" s="266"/>
      <c r="C53" s="266"/>
      <c r="D53" s="266"/>
      <c r="E53" s="266"/>
      <c r="F53" s="266"/>
      <c r="G53" s="266"/>
      <c r="H53" s="266"/>
      <c r="I53" s="48"/>
      <c r="J53" s="61"/>
      <c r="K53" s="315" t="s">
        <v>145</v>
      </c>
      <c r="L53" s="101"/>
      <c r="M53" s="214">
        <f>-(SUM(L19:L21)+Q15+(Q16*R43))</f>
        <v>-1346961.929</v>
      </c>
      <c r="N53" s="220"/>
      <c r="O53" s="83"/>
      <c r="P53" s="61"/>
      <c r="Q53" s="208">
        <v>4.0</v>
      </c>
      <c r="R53" s="209">
        <f>R29*R43</f>
        <v>170940.6878</v>
      </c>
      <c r="S53" s="210">
        <f t="shared" si="5"/>
        <v>-541877.2728</v>
      </c>
      <c r="T53" s="83"/>
      <c r="U53" s="48"/>
      <c r="V53" s="48"/>
      <c r="W53" s="48"/>
      <c r="X53" s="48"/>
      <c r="Y53" s="48"/>
      <c r="Z53" s="48"/>
      <c r="AA53" s="48"/>
      <c r="AB53" s="48"/>
    </row>
    <row r="54" ht="16.5" customHeight="1">
      <c r="A54" s="48"/>
      <c r="B54" s="266"/>
      <c r="C54" s="266"/>
      <c r="D54" s="266"/>
      <c r="E54" s="266"/>
      <c r="F54" s="266"/>
      <c r="G54" s="266"/>
      <c r="H54" s="266"/>
      <c r="I54" s="48"/>
      <c r="J54" s="61"/>
      <c r="K54" s="284" t="s">
        <v>93</v>
      </c>
      <c r="L54" s="304"/>
      <c r="M54" s="377">
        <f>(M45/(-N42+(Q16*R43))+1)</f>
        <v>1.606757475</v>
      </c>
      <c r="N54" s="378"/>
      <c r="O54" s="207" t="s">
        <v>146</v>
      </c>
      <c r="P54" s="61"/>
      <c r="Q54" s="208">
        <v>5.0</v>
      </c>
      <c r="R54" s="209">
        <f>S44</f>
        <v>242128.1418</v>
      </c>
      <c r="S54" s="210">
        <f t="shared" si="5"/>
        <v>-299749.1309</v>
      </c>
      <c r="T54" s="83"/>
      <c r="U54" s="48"/>
      <c r="V54" s="48"/>
      <c r="W54" s="48"/>
      <c r="X54" s="48"/>
      <c r="Y54" s="48"/>
      <c r="Z54" s="48"/>
      <c r="AA54" s="48"/>
      <c r="AB54" s="48"/>
    </row>
    <row r="55" ht="14.25" customHeight="1">
      <c r="A55" s="48"/>
      <c r="B55" s="48"/>
      <c r="C55" s="48"/>
      <c r="D55" s="48"/>
      <c r="E55" s="48"/>
      <c r="F55" s="48"/>
      <c r="G55" s="48"/>
      <c r="H55" s="48"/>
      <c r="I55" s="48"/>
      <c r="J55" s="48"/>
      <c r="K55" s="100"/>
      <c r="L55" s="100"/>
      <c r="M55" s="100"/>
      <c r="N55" s="100"/>
      <c r="O55" s="48"/>
      <c r="P55" s="61"/>
      <c r="Q55" s="208">
        <v>6.0</v>
      </c>
      <c r="R55" s="209">
        <f>T29</f>
        <v>408000</v>
      </c>
      <c r="S55" s="210">
        <f t="shared" si="5"/>
        <v>108250.8691</v>
      </c>
      <c r="T55" s="83"/>
      <c r="U55" s="48"/>
      <c r="V55" s="48"/>
      <c r="W55" s="48"/>
      <c r="X55" s="48"/>
      <c r="Y55" s="48"/>
      <c r="Z55" s="48"/>
      <c r="AA55" s="48"/>
      <c r="AB55" s="48"/>
    </row>
    <row r="56" ht="16.5" customHeight="1">
      <c r="A56" s="48"/>
      <c r="B56" s="379" t="s">
        <v>94</v>
      </c>
      <c r="C56" s="380"/>
      <c r="D56" s="380"/>
      <c r="E56" s="380"/>
      <c r="F56" s="380"/>
      <c r="G56" s="380"/>
      <c r="H56" s="380"/>
      <c r="I56" s="48"/>
      <c r="J56" s="48"/>
      <c r="K56" s="224" t="s">
        <v>90</v>
      </c>
      <c r="L56" s="225"/>
      <c r="M56" s="226"/>
      <c r="N56" s="226"/>
      <c r="O56" s="98"/>
      <c r="P56" s="61"/>
      <c r="Q56" s="208">
        <v>7.0</v>
      </c>
      <c r="R56" s="209">
        <f>U44</f>
        <v>196516.6316</v>
      </c>
      <c r="S56" s="210">
        <f t="shared" si="5"/>
        <v>304767.5007</v>
      </c>
      <c r="T56" s="83"/>
      <c r="U56" s="48"/>
      <c r="V56" s="48"/>
      <c r="W56" s="48"/>
      <c r="X56" s="48"/>
      <c r="Y56" s="48"/>
      <c r="Z56" s="48"/>
      <c r="AA56" s="48"/>
      <c r="AB56" s="48"/>
    </row>
    <row r="57" ht="16.5" customHeight="1">
      <c r="A57" s="48"/>
      <c r="B57" s="48"/>
      <c r="C57" s="48"/>
      <c r="D57" s="48"/>
      <c r="E57" s="48"/>
      <c r="F57" s="48"/>
      <c r="G57" s="48"/>
      <c r="H57" s="48"/>
      <c r="I57" s="48"/>
      <c r="J57" s="61"/>
      <c r="K57" s="227"/>
      <c r="L57" s="211"/>
      <c r="M57" s="287" t="s">
        <v>147</v>
      </c>
      <c r="N57" s="228"/>
      <c r="O57" s="140"/>
      <c r="P57" s="229"/>
      <c r="Q57" s="230">
        <v>8.0</v>
      </c>
      <c r="R57" s="231">
        <f>V44</f>
        <v>702378.257</v>
      </c>
      <c r="S57" s="232">
        <f t="shared" si="5"/>
        <v>1007145.758</v>
      </c>
      <c r="T57" s="83"/>
      <c r="U57" s="48"/>
      <c r="V57" s="48"/>
      <c r="W57" s="48"/>
      <c r="X57" s="48"/>
      <c r="Y57" s="48"/>
      <c r="Z57" s="48"/>
      <c r="AA57" s="48"/>
      <c r="AB57" s="48"/>
    </row>
    <row r="58" ht="14.25" customHeight="1">
      <c r="A58" s="48"/>
      <c r="B58" s="54" t="s">
        <v>148</v>
      </c>
      <c r="C58" s="48"/>
      <c r="D58" s="48"/>
      <c r="E58" s="48"/>
      <c r="F58" s="48"/>
      <c r="G58" s="48"/>
      <c r="H58" s="48"/>
      <c r="I58" s="48"/>
      <c r="J58" s="61"/>
      <c r="K58" s="381" t="s">
        <v>149</v>
      </c>
      <c r="L58" s="382"/>
      <c r="M58" s="76">
        <v>0.22</v>
      </c>
      <c r="N58" s="383" t="s">
        <v>150</v>
      </c>
      <c r="O58" s="163">
        <v>0.0</v>
      </c>
      <c r="P58" s="238"/>
      <c r="Q58" s="239" t="s">
        <v>35</v>
      </c>
      <c r="R58" s="240" t="s">
        <v>98</v>
      </c>
      <c r="S58" s="241"/>
      <c r="T58" s="84"/>
      <c r="U58" s="48"/>
      <c r="V58" s="48"/>
      <c r="W58" s="48"/>
      <c r="X58" s="48"/>
      <c r="Y58" s="48"/>
      <c r="Z58" s="48"/>
      <c r="AA58" s="48"/>
      <c r="AB58" s="48"/>
    </row>
    <row r="59" ht="16.5" customHeight="1">
      <c r="A59" s="48"/>
      <c r="B59" s="48"/>
      <c r="C59" s="48"/>
      <c r="D59" s="48"/>
      <c r="E59" s="48"/>
      <c r="F59" s="48"/>
      <c r="G59" s="48"/>
      <c r="H59" s="48"/>
      <c r="I59" s="48"/>
      <c r="J59" s="61"/>
      <c r="K59" s="381" t="s">
        <v>151</v>
      </c>
      <c r="L59" s="382"/>
      <c r="M59" s="76">
        <v>0.23</v>
      </c>
      <c r="N59" s="383" t="s">
        <v>152</v>
      </c>
      <c r="O59" s="163">
        <v>0.0</v>
      </c>
      <c r="P59" s="238"/>
      <c r="Q59" s="242">
        <f>Q54</f>
        <v>5</v>
      </c>
      <c r="R59" s="243">
        <f>(-S54/R55)*365</f>
        <v>268.1579235</v>
      </c>
      <c r="S59" s="126"/>
      <c r="T59" s="244" t="s">
        <v>153</v>
      </c>
      <c r="U59" s="48"/>
      <c r="V59" s="48"/>
      <c r="W59" s="48"/>
      <c r="X59" s="48"/>
      <c r="Y59" s="48"/>
      <c r="Z59" s="48"/>
      <c r="AA59" s="48"/>
      <c r="AB59" s="48"/>
    </row>
    <row r="60" ht="14.25" customHeight="1">
      <c r="A60" s="48"/>
      <c r="B60" s="54" t="s">
        <v>100</v>
      </c>
      <c r="C60" s="48"/>
      <c r="D60" s="48"/>
      <c r="E60" s="48"/>
      <c r="F60" s="48"/>
      <c r="G60" s="48"/>
      <c r="H60" s="48"/>
      <c r="I60" s="48"/>
      <c r="J60" s="61"/>
      <c r="K60" s="384"/>
      <c r="L60" s="382"/>
      <c r="M60" s="84"/>
      <c r="N60" s="84"/>
      <c r="O60" s="85"/>
      <c r="P60" s="247"/>
      <c r="Q60" s="100"/>
      <c r="R60" s="195">
        <v>17.5</v>
      </c>
      <c r="S60" s="233"/>
      <c r="T60" s="48"/>
      <c r="U60" s="48"/>
      <c r="V60" s="48"/>
      <c r="W60" s="48"/>
      <c r="X60" s="48"/>
      <c r="Y60" s="48"/>
      <c r="Z60" s="48"/>
      <c r="AA60" s="48"/>
      <c r="AB60" s="48"/>
    </row>
    <row r="61" ht="16.5" customHeight="1">
      <c r="A61" s="48"/>
      <c r="B61" s="48"/>
      <c r="C61" s="48"/>
      <c r="D61" s="48"/>
      <c r="E61" s="48"/>
      <c r="F61" s="48"/>
      <c r="G61" s="48"/>
      <c r="H61" s="48"/>
      <c r="I61" s="48"/>
      <c r="J61" s="61"/>
      <c r="K61" s="384"/>
      <c r="L61" s="382"/>
      <c r="M61" s="84"/>
      <c r="N61" s="226"/>
      <c r="O61" s="99"/>
      <c r="P61" s="126"/>
      <c r="Q61" s="48"/>
      <c r="R61" s="48"/>
      <c r="S61" s="48"/>
      <c r="T61" s="48"/>
      <c r="U61" s="48"/>
      <c r="V61" s="48"/>
      <c r="W61" s="48"/>
      <c r="X61" s="48"/>
      <c r="Y61" s="48"/>
      <c r="Z61" s="48"/>
      <c r="AA61" s="48"/>
      <c r="AB61" s="48"/>
    </row>
    <row r="62" ht="16.5" customHeight="1">
      <c r="A62" s="48"/>
      <c r="B62" s="244" t="s">
        <v>103</v>
      </c>
      <c r="C62" s="48"/>
      <c r="D62" s="48"/>
      <c r="E62" s="48"/>
      <c r="F62" s="48"/>
      <c r="G62" s="48"/>
      <c r="H62" s="48"/>
      <c r="I62" s="48"/>
      <c r="J62" s="61"/>
      <c r="K62" s="97"/>
      <c r="L62" s="98"/>
      <c r="M62" s="99"/>
      <c r="N62" s="385" t="s">
        <v>104</v>
      </c>
      <c r="O62" s="251">
        <f>IRR('Ennoncé'!N42:V42)</f>
        <v>0.2224174825</v>
      </c>
      <c r="P62" s="207" t="s">
        <v>154</v>
      </c>
      <c r="Q62" s="48"/>
      <c r="R62" s="48"/>
      <c r="S62" s="48"/>
      <c r="T62" s="48"/>
      <c r="U62" s="48"/>
      <c r="V62" s="48"/>
      <c r="W62" s="48"/>
      <c r="X62" s="48"/>
      <c r="Y62" s="48"/>
      <c r="Z62" s="48"/>
      <c r="AA62" s="48"/>
      <c r="AB62" s="48"/>
    </row>
    <row r="63" ht="14.25" customHeight="1">
      <c r="A63" s="48"/>
      <c r="B63" s="244" t="s">
        <v>105</v>
      </c>
      <c r="C63" s="48"/>
      <c r="D63" s="48"/>
      <c r="E63" s="48"/>
      <c r="F63" s="48"/>
      <c r="G63" s="48"/>
      <c r="H63" s="48"/>
      <c r="I63" s="48"/>
      <c r="J63" s="48"/>
      <c r="K63" s="195"/>
      <c r="L63" s="195"/>
      <c r="M63" s="195"/>
      <c r="N63" s="228"/>
      <c r="O63" s="252"/>
      <c r="P63" s="84"/>
      <c r="Q63" s="48"/>
      <c r="R63" s="48"/>
      <c r="S63" s="48"/>
      <c r="T63" s="48"/>
      <c r="U63" s="48"/>
      <c r="V63" s="48"/>
      <c r="W63" s="48"/>
      <c r="X63" s="48"/>
      <c r="Y63" s="48"/>
      <c r="Z63" s="48"/>
      <c r="AA63" s="48"/>
      <c r="AB63" s="48"/>
    </row>
    <row r="64" ht="14.25" customHeight="1">
      <c r="A64" s="48"/>
      <c r="B64" s="244" t="s">
        <v>106</v>
      </c>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ht="16.5" customHeight="1">
      <c r="A65" s="48"/>
      <c r="B65" s="244" t="s">
        <v>107</v>
      </c>
      <c r="C65" s="48"/>
      <c r="D65" s="48"/>
      <c r="E65" s="48"/>
      <c r="F65" s="48"/>
      <c r="G65" s="48"/>
      <c r="H65" s="48"/>
      <c r="I65" s="48"/>
      <c r="J65" s="48"/>
      <c r="K65" s="58" t="s">
        <v>84</v>
      </c>
      <c r="L65" s="98"/>
      <c r="M65" s="98"/>
      <c r="N65" s="98"/>
      <c r="O65" s="98"/>
      <c r="P65" s="98"/>
      <c r="Q65" s="98"/>
      <c r="R65" s="98"/>
      <c r="S65" s="98"/>
      <c r="T65" s="98"/>
      <c r="U65" s="98"/>
      <c r="V65" s="59"/>
      <c r="W65" s="59"/>
      <c r="X65" s="48"/>
      <c r="Y65" s="48"/>
      <c r="Z65" s="48"/>
      <c r="AA65" s="48"/>
      <c r="AB65" s="48"/>
    </row>
    <row r="66" ht="15.75" customHeight="1">
      <c r="A66" s="48"/>
      <c r="B66" s="283" t="s">
        <v>109</v>
      </c>
      <c r="C66" s="266"/>
      <c r="D66" s="266"/>
      <c r="E66" s="266"/>
      <c r="F66" s="266"/>
      <c r="G66" s="266"/>
      <c r="H66" s="266"/>
      <c r="I66" s="48"/>
      <c r="J66" s="61"/>
      <c r="K66" s="253" t="s">
        <v>155</v>
      </c>
      <c r="L66" s="228"/>
      <c r="M66" s="254">
        <v>0.1</v>
      </c>
      <c r="N66" s="195"/>
      <c r="O66" s="195"/>
      <c r="P66" s="195"/>
      <c r="Q66" s="195"/>
      <c r="R66" s="195"/>
      <c r="S66" s="195"/>
      <c r="T66" s="195"/>
      <c r="U66" s="195"/>
      <c r="V66" s="195"/>
      <c r="W66" s="140"/>
      <c r="X66" s="66"/>
      <c r="Y66" s="48"/>
      <c r="Z66" s="48"/>
      <c r="AA66" s="48"/>
      <c r="AB66" s="48"/>
    </row>
    <row r="67" ht="14.25" customHeight="1">
      <c r="A67" s="48"/>
      <c r="B67" s="266"/>
      <c r="C67" s="266"/>
      <c r="D67" s="266"/>
      <c r="E67" s="266"/>
      <c r="F67" s="266"/>
      <c r="G67" s="266"/>
      <c r="H67" s="266"/>
      <c r="I67" s="48"/>
      <c r="J67" s="61"/>
      <c r="K67" s="256" t="s">
        <v>156</v>
      </c>
      <c r="L67" s="90"/>
      <c r="M67" s="257">
        <f>M43</f>
        <v>0.11</v>
      </c>
      <c r="N67" s="84"/>
      <c r="O67" s="84"/>
      <c r="P67" s="84"/>
      <c r="Q67" s="84"/>
      <c r="R67" s="84"/>
      <c r="S67" s="84"/>
      <c r="T67" s="84"/>
      <c r="U67" s="84"/>
      <c r="V67" s="84"/>
      <c r="W67" s="85"/>
      <c r="X67" s="66"/>
      <c r="Y67" s="48"/>
      <c r="Z67" s="48"/>
      <c r="AA67" s="48"/>
      <c r="AB67" s="48"/>
    </row>
    <row r="68" ht="14.25" customHeight="1">
      <c r="A68" s="48"/>
      <c r="B68" s="244" t="s">
        <v>113</v>
      </c>
      <c r="C68" s="48"/>
      <c r="D68" s="48"/>
      <c r="E68" s="48"/>
      <c r="F68" s="48"/>
      <c r="G68" s="48"/>
      <c r="H68" s="48"/>
      <c r="I68" s="48"/>
      <c r="J68" s="61"/>
      <c r="K68" s="258"/>
      <c r="L68" s="90"/>
      <c r="M68" s="259">
        <v>0.0</v>
      </c>
      <c r="N68" s="233">
        <v>1.0</v>
      </c>
      <c r="O68" s="233">
        <v>2.0</v>
      </c>
      <c r="P68" s="233">
        <v>3.0</v>
      </c>
      <c r="Q68" s="233">
        <v>4.0</v>
      </c>
      <c r="R68" s="233">
        <v>5.0</v>
      </c>
      <c r="S68" s="233">
        <v>6.0</v>
      </c>
      <c r="T68" s="233">
        <v>7.0</v>
      </c>
      <c r="U68" s="233">
        <v>8.0</v>
      </c>
      <c r="V68" s="233"/>
      <c r="W68" s="260"/>
      <c r="X68" s="66"/>
      <c r="Y68" s="48"/>
      <c r="Z68" s="48"/>
      <c r="AA68" s="48"/>
      <c r="AB68" s="48"/>
    </row>
    <row r="69" ht="14.25" customHeight="1">
      <c r="A69" s="48"/>
      <c r="B69" s="244" t="s">
        <v>114</v>
      </c>
      <c r="C69" s="48"/>
      <c r="D69" s="48"/>
      <c r="E69" s="48"/>
      <c r="F69" s="48"/>
      <c r="G69" s="48"/>
      <c r="H69" s="48"/>
      <c r="I69" s="48"/>
      <c r="J69" s="61"/>
      <c r="K69" s="83"/>
      <c r="L69" s="90"/>
      <c r="M69" s="84"/>
      <c r="N69" s="262">
        <f t="shared" ref="N69:U69" si="6">(1+$M$66)^($U$68-N68)</f>
        <v>1.9487171</v>
      </c>
      <c r="O69" s="262">
        <f t="shared" si="6"/>
        <v>1.771561</v>
      </c>
      <c r="P69" s="262">
        <f t="shared" si="6"/>
        <v>1.61051</v>
      </c>
      <c r="Q69" s="262">
        <f t="shared" si="6"/>
        <v>1.4641</v>
      </c>
      <c r="R69" s="262">
        <f t="shared" si="6"/>
        <v>1.331</v>
      </c>
      <c r="S69" s="262">
        <f t="shared" si="6"/>
        <v>1.21</v>
      </c>
      <c r="T69" s="262">
        <f t="shared" si="6"/>
        <v>1.1</v>
      </c>
      <c r="U69" s="262">
        <f t="shared" si="6"/>
        <v>1</v>
      </c>
      <c r="V69" s="262"/>
      <c r="W69" s="263"/>
      <c r="X69" s="66"/>
      <c r="Y69" s="48"/>
      <c r="Z69" s="48"/>
      <c r="AA69" s="48"/>
      <c r="AB69" s="48"/>
    </row>
    <row r="70" ht="14.25" customHeight="1">
      <c r="A70" s="48"/>
      <c r="B70" s="244" t="s">
        <v>116</v>
      </c>
      <c r="C70" s="48"/>
      <c r="D70" s="48"/>
      <c r="E70" s="48"/>
      <c r="F70" s="48"/>
      <c r="G70" s="48"/>
      <c r="H70" s="48"/>
      <c r="I70" s="48"/>
      <c r="J70" s="61"/>
      <c r="K70" s="83"/>
      <c r="L70" s="90"/>
      <c r="M70" s="244" t="s">
        <v>157</v>
      </c>
      <c r="N70" s="60">
        <f t="shared" ref="N70:U70" si="7">O42*N69</f>
        <v>505692.0875</v>
      </c>
      <c r="O70" s="60">
        <f t="shared" si="7"/>
        <v>459720.0795</v>
      </c>
      <c r="P70" s="60">
        <f t="shared" si="7"/>
        <v>417927.345</v>
      </c>
      <c r="Q70" s="60">
        <f t="shared" si="7"/>
        <v>336010.95</v>
      </c>
      <c r="R70" s="60">
        <f t="shared" si="7"/>
        <v>543048</v>
      </c>
      <c r="S70" s="60">
        <f t="shared" si="7"/>
        <v>493680</v>
      </c>
      <c r="T70" s="60">
        <f t="shared" si="7"/>
        <v>448800</v>
      </c>
      <c r="U70" s="60">
        <f t="shared" si="7"/>
        <v>1618657.222</v>
      </c>
      <c r="V70" s="60"/>
      <c r="W70" s="163"/>
      <c r="X70" s="66"/>
      <c r="Y70" s="48"/>
      <c r="Z70" s="48"/>
      <c r="AA70" s="48"/>
      <c r="AB70" s="48"/>
    </row>
    <row r="71" ht="14.25" customHeight="1">
      <c r="A71" s="48"/>
      <c r="B71" s="48"/>
      <c r="C71" s="48"/>
      <c r="D71" s="48"/>
      <c r="E71" s="48"/>
      <c r="F71" s="48"/>
      <c r="G71" s="48"/>
      <c r="H71" s="48"/>
      <c r="I71" s="48"/>
      <c r="J71" s="61"/>
      <c r="K71" s="256" t="s">
        <v>158</v>
      </c>
      <c r="L71" s="192">
        <f>SUM(N70:U70)</f>
        <v>4823535.684</v>
      </c>
      <c r="M71" s="86"/>
      <c r="N71" s="86"/>
      <c r="O71" s="86"/>
      <c r="P71" s="86"/>
      <c r="Q71" s="86"/>
      <c r="R71" s="90"/>
      <c r="S71" s="90"/>
      <c r="T71" s="90"/>
      <c r="U71" s="84"/>
      <c r="V71" s="84"/>
      <c r="W71" s="85"/>
      <c r="X71" s="66"/>
      <c r="Y71" s="48"/>
      <c r="Z71" s="48"/>
      <c r="AA71" s="48"/>
      <c r="AB71" s="48"/>
    </row>
    <row r="72" ht="14.25" customHeight="1">
      <c r="A72" s="48"/>
      <c r="B72" s="54" t="s">
        <v>159</v>
      </c>
      <c r="C72" s="48"/>
      <c r="D72" s="48"/>
      <c r="E72" s="48"/>
      <c r="F72" s="48"/>
      <c r="G72" s="48"/>
      <c r="H72" s="48"/>
      <c r="I72" s="48"/>
      <c r="J72" s="61"/>
      <c r="K72" s="256" t="s">
        <v>160</v>
      </c>
      <c r="L72" s="192">
        <f>N44</f>
        <v>-1327200</v>
      </c>
      <c r="M72" s="84"/>
      <c r="N72" s="84"/>
      <c r="O72" s="84"/>
      <c r="P72" s="84"/>
      <c r="Q72" s="84"/>
      <c r="R72" s="90"/>
      <c r="S72" s="90"/>
      <c r="T72" s="90"/>
      <c r="U72" s="84"/>
      <c r="V72" s="84"/>
      <c r="W72" s="85"/>
      <c r="X72" s="66"/>
      <c r="Y72" s="48"/>
      <c r="Z72" s="48"/>
      <c r="AA72" s="48"/>
      <c r="AB72" s="48"/>
    </row>
    <row r="73" ht="14.25" customHeight="1">
      <c r="A73" s="48"/>
      <c r="B73" s="244" t="s">
        <v>30</v>
      </c>
      <c r="C73" s="48"/>
      <c r="D73" s="48"/>
      <c r="E73" s="48"/>
      <c r="F73" s="48"/>
      <c r="G73" s="48"/>
      <c r="H73" s="48"/>
      <c r="I73" s="48"/>
      <c r="J73" s="61"/>
      <c r="K73" s="83"/>
      <c r="L73" s="84"/>
      <c r="M73" s="84"/>
      <c r="N73" s="84"/>
      <c r="O73" s="84"/>
      <c r="P73" s="84"/>
      <c r="Q73" s="84"/>
      <c r="R73" s="84"/>
      <c r="S73" s="84"/>
      <c r="T73" s="84"/>
      <c r="U73" s="84"/>
      <c r="V73" s="84"/>
      <c r="W73" s="85"/>
      <c r="X73" s="66"/>
      <c r="Y73" s="48"/>
      <c r="Z73" s="48"/>
      <c r="AA73" s="48"/>
      <c r="AB73" s="48"/>
    </row>
    <row r="74" ht="16.5" customHeight="1">
      <c r="A74" s="48"/>
      <c r="B74" s="244" t="s">
        <v>161</v>
      </c>
      <c r="C74" s="48"/>
      <c r="D74" s="48"/>
      <c r="E74" s="48"/>
      <c r="F74" s="48"/>
      <c r="G74" s="48"/>
      <c r="H74" s="48"/>
      <c r="I74" s="48"/>
      <c r="J74" s="61"/>
      <c r="K74" s="83"/>
      <c r="L74" s="244" t="s">
        <v>119</v>
      </c>
      <c r="M74" s="265">
        <f>((L71/-L72)^(1/U68))-1</f>
        <v>0.1750426772</v>
      </c>
      <c r="N74" s="84"/>
      <c r="O74" s="84"/>
      <c r="P74" s="84"/>
      <c r="Q74" s="84"/>
      <c r="R74" s="84"/>
      <c r="S74" s="84"/>
      <c r="T74" s="84"/>
      <c r="U74" s="84"/>
      <c r="V74" s="98"/>
      <c r="W74" s="99"/>
      <c r="X74" s="66"/>
      <c r="Y74" s="48"/>
      <c r="Z74" s="48"/>
      <c r="AA74" s="48"/>
      <c r="AB74" s="48"/>
    </row>
    <row r="75" ht="16.5" customHeight="1">
      <c r="A75" s="48"/>
      <c r="B75" s="283" t="s">
        <v>162</v>
      </c>
      <c r="C75" s="266"/>
      <c r="D75" s="266"/>
      <c r="E75" s="266"/>
      <c r="F75" s="266"/>
      <c r="G75" s="266"/>
      <c r="H75" s="266"/>
      <c r="I75" s="48"/>
      <c r="J75" s="61"/>
      <c r="K75" s="97"/>
      <c r="L75" s="98"/>
      <c r="M75" s="98"/>
      <c r="N75" s="98"/>
      <c r="O75" s="98"/>
      <c r="P75" s="98"/>
      <c r="Q75" s="98"/>
      <c r="R75" s="98"/>
      <c r="S75" s="98"/>
      <c r="T75" s="98"/>
      <c r="U75" s="99"/>
      <c r="V75" s="267" t="s">
        <v>119</v>
      </c>
      <c r="W75" s="251">
        <f>MIRR('Ennoncé'!N42:V42,Feuil3!M67,Feuil3!M66)</f>
        <v>0.1750426772</v>
      </c>
      <c r="X75" s="207" t="s">
        <v>153</v>
      </c>
      <c r="Y75" s="48"/>
      <c r="Z75" s="48"/>
      <c r="AA75" s="48"/>
      <c r="AB75" s="48"/>
    </row>
    <row r="76" ht="14.25" customHeight="1">
      <c r="A76" s="48"/>
      <c r="B76" s="266"/>
      <c r="C76" s="266"/>
      <c r="D76" s="266"/>
      <c r="E76" s="266"/>
      <c r="F76" s="266"/>
      <c r="G76" s="266"/>
      <c r="H76" s="266"/>
      <c r="I76" s="48"/>
      <c r="J76" s="48"/>
      <c r="K76" s="100"/>
      <c r="L76" s="100"/>
      <c r="M76" s="100"/>
      <c r="N76" s="100"/>
      <c r="O76" s="100"/>
      <c r="P76" s="100"/>
      <c r="Q76" s="100"/>
      <c r="R76" s="100"/>
      <c r="S76" s="100"/>
      <c r="T76" s="100"/>
      <c r="U76" s="100"/>
      <c r="V76" s="100"/>
      <c r="W76" s="363">
        <v>18.0</v>
      </c>
      <c r="X76" s="48"/>
      <c r="Y76" s="48"/>
      <c r="Z76" s="48"/>
      <c r="AA76" s="48"/>
      <c r="AB76" s="48"/>
    </row>
    <row r="77" ht="14.25" customHeight="1">
      <c r="A77" s="48"/>
      <c r="B77" s="244" t="s">
        <v>163</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row>
    <row r="78" ht="16.5" customHeight="1">
      <c r="A78" s="48"/>
      <c r="B78" s="386" t="s">
        <v>164</v>
      </c>
      <c r="C78" s="268"/>
      <c r="D78" s="268"/>
      <c r="E78" s="268"/>
      <c r="F78" s="268"/>
      <c r="G78" s="268"/>
      <c r="H78" s="268"/>
      <c r="I78" s="48"/>
      <c r="J78" s="48"/>
      <c r="K78" s="224" t="s">
        <v>120</v>
      </c>
      <c r="L78" s="225"/>
      <c r="M78" s="226"/>
      <c r="N78" s="226"/>
      <c r="O78" s="98"/>
      <c r="P78" s="59"/>
      <c r="Q78" s="59"/>
      <c r="R78" s="48"/>
      <c r="S78" s="48"/>
      <c r="T78" s="48"/>
      <c r="U78" s="48"/>
      <c r="V78" s="48"/>
      <c r="W78" s="48"/>
      <c r="X78" s="48"/>
      <c r="Y78" s="48"/>
      <c r="Z78" s="48"/>
      <c r="AA78" s="48"/>
      <c r="AB78" s="48"/>
    </row>
    <row r="79" ht="14.25" customHeight="1">
      <c r="A79" s="48"/>
      <c r="B79" s="268"/>
      <c r="C79" s="268"/>
      <c r="D79" s="268"/>
      <c r="E79" s="268"/>
      <c r="F79" s="268"/>
      <c r="G79" s="268"/>
      <c r="H79" s="268"/>
      <c r="I79" s="48"/>
      <c r="J79" s="61"/>
      <c r="K79" s="387"/>
      <c r="L79" s="388"/>
      <c r="M79" s="388"/>
      <c r="N79" s="388"/>
      <c r="O79" s="388"/>
      <c r="P79" s="388"/>
      <c r="Q79" s="389"/>
      <c r="R79" s="66"/>
      <c r="S79" s="48"/>
      <c r="T79" s="48"/>
      <c r="U79" s="48"/>
      <c r="V79" s="48"/>
      <c r="W79" s="48"/>
      <c r="X79" s="48"/>
      <c r="Y79" s="48"/>
      <c r="Z79" s="48"/>
      <c r="AA79" s="48"/>
      <c r="AB79" s="48"/>
    </row>
    <row r="80" ht="15.75" customHeight="1">
      <c r="A80" s="48"/>
      <c r="B80" s="386" t="s">
        <v>165</v>
      </c>
      <c r="C80" s="268"/>
      <c r="D80" s="268"/>
      <c r="E80" s="268"/>
      <c r="F80" s="268"/>
      <c r="G80" s="268"/>
      <c r="H80" s="268"/>
      <c r="I80" s="48"/>
      <c r="J80" s="61"/>
      <c r="K80" s="390"/>
      <c r="L80" s="391"/>
      <c r="M80" s="391"/>
      <c r="N80" s="391"/>
      <c r="O80" s="391"/>
      <c r="P80" s="391"/>
      <c r="Q80" s="392"/>
      <c r="R80" s="66"/>
      <c r="S80" s="48"/>
      <c r="T80" s="48"/>
      <c r="U80" s="48"/>
      <c r="V80" s="48"/>
      <c r="W80" s="48"/>
      <c r="X80" s="48"/>
      <c r="Y80" s="48"/>
      <c r="Z80" s="48"/>
      <c r="AA80" s="48"/>
      <c r="AB80" s="48"/>
    </row>
    <row r="81" ht="13.5" customHeight="1">
      <c r="A81" s="48"/>
      <c r="B81" s="268"/>
      <c r="C81" s="268"/>
      <c r="D81" s="268"/>
      <c r="E81" s="268"/>
      <c r="F81" s="268"/>
      <c r="G81" s="268"/>
      <c r="H81" s="268"/>
      <c r="I81" s="48"/>
      <c r="J81" s="61"/>
      <c r="K81" s="390"/>
      <c r="L81" s="391"/>
      <c r="M81" s="391"/>
      <c r="N81" s="391"/>
      <c r="O81" s="391"/>
      <c r="P81" s="391"/>
      <c r="Q81" s="392"/>
      <c r="R81" s="66"/>
      <c r="S81" s="48"/>
      <c r="T81" s="48"/>
      <c r="U81" s="48"/>
      <c r="V81" s="48"/>
      <c r="W81" s="48"/>
      <c r="X81" s="48"/>
      <c r="Y81" s="48"/>
      <c r="Z81" s="48"/>
      <c r="AA81" s="48"/>
      <c r="AB81" s="48"/>
    </row>
    <row r="82" ht="15.0" customHeight="1">
      <c r="A82" s="48"/>
      <c r="B82" s="268"/>
      <c r="C82" s="268"/>
      <c r="D82" s="268"/>
      <c r="E82" s="268"/>
      <c r="F82" s="268"/>
      <c r="G82" s="268"/>
      <c r="H82" s="268"/>
      <c r="I82" s="48"/>
      <c r="J82" s="61"/>
      <c r="K82" s="393"/>
      <c r="L82" s="394"/>
      <c r="M82" s="394"/>
      <c r="N82" s="394"/>
      <c r="O82" s="394"/>
      <c r="P82" s="394"/>
      <c r="Q82" s="395"/>
      <c r="R82" s="66"/>
      <c r="S82" s="48"/>
      <c r="T82" s="48"/>
      <c r="U82" s="48"/>
      <c r="V82" s="48"/>
      <c r="W82" s="48"/>
      <c r="X82" s="48"/>
      <c r="Y82" s="48"/>
      <c r="Z82" s="48"/>
      <c r="AA82" s="48"/>
      <c r="AB82" s="48"/>
    </row>
    <row r="83" ht="14.25" customHeight="1">
      <c r="A83" s="48"/>
      <c r="B83" s="268"/>
      <c r="C83" s="268"/>
      <c r="D83" s="268"/>
      <c r="E83" s="268"/>
      <c r="F83" s="268"/>
      <c r="G83" s="268"/>
      <c r="H83" s="268"/>
      <c r="I83" s="48"/>
      <c r="J83" s="48"/>
      <c r="K83" s="211"/>
      <c r="L83" s="211"/>
      <c r="M83" s="195"/>
      <c r="N83" s="228"/>
      <c r="O83" s="195"/>
      <c r="P83" s="139"/>
      <c r="Q83" s="100"/>
      <c r="R83" s="48"/>
      <c r="S83" s="48"/>
      <c r="T83" s="48"/>
      <c r="U83" s="48"/>
      <c r="V83" s="48"/>
      <c r="W83" s="48"/>
      <c r="X83" s="48"/>
      <c r="Y83" s="48"/>
      <c r="Z83" s="48"/>
      <c r="AA83" s="48"/>
      <c r="AB83" s="48"/>
    </row>
    <row r="84" ht="14.25" customHeight="1">
      <c r="A84" s="48"/>
      <c r="B84" s="48"/>
      <c r="C84" s="48"/>
      <c r="D84" s="48"/>
      <c r="E84" s="48"/>
      <c r="F84" s="48"/>
      <c r="G84" s="48"/>
      <c r="H84" s="48"/>
      <c r="I84" s="48"/>
      <c r="J84" s="48"/>
      <c r="K84" s="84"/>
      <c r="L84" s="84"/>
      <c r="M84" s="84"/>
      <c r="N84" s="86"/>
      <c r="O84" s="275"/>
      <c r="P84" s="244"/>
      <c r="Q84" s="48"/>
      <c r="R84" s="48"/>
      <c r="S84" s="48"/>
      <c r="T84" s="48"/>
      <c r="U84" s="48"/>
      <c r="V84" s="48"/>
      <c r="W84" s="48"/>
      <c r="X84" s="48"/>
      <c r="Y84" s="48"/>
      <c r="Z84" s="48"/>
      <c r="AA84" s="48"/>
      <c r="AB84" s="48"/>
    </row>
    <row r="85" ht="14.25" customHeight="1">
      <c r="A85" s="48"/>
      <c r="B85" s="244" t="s">
        <v>58</v>
      </c>
      <c r="C85" s="48"/>
      <c r="D85" s="48"/>
      <c r="E85" s="48"/>
      <c r="F85" s="48"/>
      <c r="G85" s="48"/>
      <c r="H85" s="48"/>
      <c r="I85" s="48"/>
      <c r="J85" s="48"/>
      <c r="K85" s="84"/>
      <c r="L85" s="84"/>
      <c r="M85" s="84"/>
      <c r="N85" s="90"/>
      <c r="O85" s="265"/>
      <c r="P85" s="84"/>
      <c r="Q85" s="48"/>
      <c r="R85" s="48"/>
      <c r="S85" s="48"/>
      <c r="T85" s="48"/>
      <c r="U85" s="48"/>
      <c r="V85" s="48"/>
      <c r="W85" s="48"/>
      <c r="X85" s="48"/>
      <c r="Y85" s="48"/>
      <c r="Z85" s="48"/>
      <c r="AA85" s="48"/>
      <c r="AB85" s="48"/>
    </row>
    <row r="86" ht="15.75" customHeight="1">
      <c r="A86" s="48"/>
      <c r="B86" s="396" t="s">
        <v>166</v>
      </c>
      <c r="C86" s="276"/>
      <c r="D86" s="276"/>
      <c r="E86" s="276"/>
      <c r="F86" s="276"/>
      <c r="G86" s="276"/>
      <c r="H86" s="276"/>
      <c r="I86" s="276"/>
      <c r="J86" s="48"/>
      <c r="K86" s="60"/>
      <c r="L86" s="48"/>
      <c r="M86" s="244" t="s">
        <v>167</v>
      </c>
      <c r="N86" s="397" t="s">
        <v>168</v>
      </c>
      <c r="O86" s="398"/>
      <c r="P86" s="397" t="s">
        <v>169</v>
      </c>
      <c r="Q86" s="398">
        <v>0.1</v>
      </c>
      <c r="R86" s="398"/>
      <c r="S86" s="48"/>
      <c r="T86" s="48"/>
      <c r="U86" s="48"/>
      <c r="V86" s="48"/>
      <c r="W86" s="48"/>
      <c r="X86" s="48"/>
      <c r="Y86" s="48"/>
      <c r="Z86" s="48"/>
      <c r="AA86" s="48"/>
      <c r="AB86" s="48"/>
    </row>
    <row r="87" ht="14.25" customHeight="1">
      <c r="A87" s="48"/>
      <c r="B87" s="276"/>
      <c r="C87" s="276"/>
      <c r="D87" s="276"/>
      <c r="E87" s="276"/>
      <c r="F87" s="276"/>
      <c r="G87" s="276"/>
      <c r="H87" s="276"/>
      <c r="I87" s="276"/>
      <c r="J87" s="48"/>
      <c r="K87" s="48"/>
      <c r="L87" s="84"/>
      <c r="M87" s="84"/>
      <c r="N87" s="383" t="s">
        <v>54</v>
      </c>
      <c r="O87" s="398"/>
      <c r="P87" s="397" t="s">
        <v>169</v>
      </c>
      <c r="Q87" s="398">
        <v>0.5</v>
      </c>
      <c r="R87" s="399" t="s">
        <v>170</v>
      </c>
      <c r="S87" s="244" t="s">
        <v>171</v>
      </c>
      <c r="T87" s="48"/>
      <c r="U87" s="48"/>
      <c r="V87" s="48"/>
      <c r="W87" s="48"/>
      <c r="X87" s="48"/>
      <c r="Y87" s="48"/>
      <c r="Z87" s="48"/>
      <c r="AA87" s="48"/>
      <c r="AB87" s="48"/>
    </row>
    <row r="88" ht="14.25" customHeight="1">
      <c r="A88" s="48"/>
      <c r="B88" s="48"/>
      <c r="C88" s="48"/>
      <c r="D88" s="48"/>
      <c r="E88" s="48"/>
      <c r="F88" s="48"/>
      <c r="G88" s="48"/>
      <c r="H88" s="48"/>
      <c r="I88" s="48"/>
      <c r="J88" s="48"/>
      <c r="K88" s="84">
        <v>1.0</v>
      </c>
      <c r="L88" s="54" t="s">
        <v>55</v>
      </c>
      <c r="M88" s="60">
        <f t="shared" ref="M88:M90" si="8">L19</f>
        <v>327000</v>
      </c>
      <c r="N88" s="60">
        <f>Feuil5!L19</f>
        <v>327000</v>
      </c>
      <c r="O88" s="398">
        <f t="shared" ref="O88:O90" si="9">IF((M88-N88=0),1,0)</f>
        <v>1</v>
      </c>
      <c r="P88" s="398">
        <f t="shared" ref="P88:P90" si="10">IF((M88-N88=0),1,0)</f>
        <v>1</v>
      </c>
      <c r="Q88" s="398">
        <f t="shared" ref="Q88:Q90" si="11">IF(O88+P88=2,1,0)</f>
        <v>1</v>
      </c>
      <c r="R88" s="400">
        <v>0.0</v>
      </c>
      <c r="S88" s="400">
        <f t="shared" ref="S88:S90" si="12">Q88*R88</f>
        <v>0</v>
      </c>
      <c r="T88" s="400">
        <f t="shared" ref="T88:T90" si="13">IFERROR(S88,0)</f>
        <v>0</v>
      </c>
      <c r="U88" s="48"/>
      <c r="V88" s="48"/>
      <c r="W88" s="48"/>
      <c r="X88" s="84"/>
      <c r="Y88" s="48"/>
      <c r="Z88" s="48"/>
      <c r="AA88" s="48"/>
      <c r="AB88" s="48"/>
    </row>
    <row r="89" ht="14.25" customHeight="1">
      <c r="A89" s="48"/>
      <c r="B89" s="48"/>
      <c r="C89" s="48"/>
      <c r="D89" s="48"/>
      <c r="E89" s="48"/>
      <c r="F89" s="48"/>
      <c r="G89" s="48"/>
      <c r="H89" s="48"/>
      <c r="I89" s="48"/>
      <c r="J89" s="48"/>
      <c r="K89" s="84">
        <v>2.0</v>
      </c>
      <c r="L89" s="54" t="s">
        <v>57</v>
      </c>
      <c r="M89" s="60">
        <f t="shared" si="8"/>
        <v>343070</v>
      </c>
      <c r="N89" s="60">
        <f>Feuil5!L20</f>
        <v>343000</v>
      </c>
      <c r="O89" s="398">
        <f t="shared" si="9"/>
        <v>0</v>
      </c>
      <c r="P89" s="398">
        <f t="shared" si="10"/>
        <v>0</v>
      </c>
      <c r="Q89" s="398">
        <f t="shared" si="11"/>
        <v>0</v>
      </c>
      <c r="R89" s="400">
        <v>1.75</v>
      </c>
      <c r="S89" s="400">
        <f t="shared" si="12"/>
        <v>0</v>
      </c>
      <c r="T89" s="400">
        <f t="shared" si="13"/>
        <v>0</v>
      </c>
      <c r="U89" s="84"/>
      <c r="V89" s="48"/>
      <c r="W89" s="48"/>
      <c r="X89" s="48"/>
      <c r="Y89" s="48"/>
      <c r="Z89" s="48"/>
      <c r="AA89" s="48"/>
      <c r="AB89" s="48"/>
    </row>
    <row r="90" ht="14.25" customHeight="1">
      <c r="A90" s="48"/>
      <c r="B90" s="48"/>
      <c r="C90" s="48"/>
      <c r="D90" s="48"/>
      <c r="E90" s="48"/>
      <c r="F90" s="48"/>
      <c r="G90" s="48"/>
      <c r="H90" s="48"/>
      <c r="I90" s="48"/>
      <c r="J90" s="48"/>
      <c r="K90" s="84">
        <v>3.0</v>
      </c>
      <c r="L90" s="54" t="s">
        <v>41</v>
      </c>
      <c r="M90" s="60">
        <f t="shared" si="8"/>
        <v>637130</v>
      </c>
      <c r="N90" s="60">
        <f>Feuil5!L21</f>
        <v>637000</v>
      </c>
      <c r="O90" s="398">
        <f t="shared" si="9"/>
        <v>0</v>
      </c>
      <c r="P90" s="398">
        <f t="shared" si="10"/>
        <v>0</v>
      </c>
      <c r="Q90" s="398">
        <f t="shared" si="11"/>
        <v>0</v>
      </c>
      <c r="R90" s="400">
        <v>0.0</v>
      </c>
      <c r="S90" s="400">
        <f t="shared" si="12"/>
        <v>0</v>
      </c>
      <c r="T90" s="400">
        <f t="shared" si="13"/>
        <v>0</v>
      </c>
      <c r="U90" s="84"/>
      <c r="V90" s="48"/>
      <c r="W90" s="48"/>
      <c r="X90" s="48"/>
      <c r="Y90" s="48"/>
      <c r="Z90" s="48"/>
      <c r="AA90" s="48"/>
      <c r="AB90" s="48"/>
    </row>
    <row r="91" ht="14.25" customHeight="1">
      <c r="A91" s="48"/>
      <c r="B91" s="48"/>
      <c r="C91" s="48"/>
      <c r="D91" s="48"/>
      <c r="E91" s="48"/>
      <c r="F91" s="48"/>
      <c r="G91" s="48"/>
      <c r="H91" s="48"/>
      <c r="I91" s="48"/>
      <c r="J91" s="48"/>
      <c r="K91" s="48"/>
      <c r="L91" s="84"/>
      <c r="M91" s="122"/>
      <c r="N91" s="54" t="s">
        <v>47</v>
      </c>
      <c r="O91" s="398"/>
      <c r="P91" s="398"/>
      <c r="Q91" s="398"/>
      <c r="R91" s="400"/>
      <c r="S91" s="48"/>
      <c r="T91" s="48"/>
      <c r="U91" s="84"/>
      <c r="V91" s="48"/>
      <c r="W91" s="48"/>
      <c r="X91" s="48"/>
      <c r="Y91" s="48"/>
      <c r="Z91" s="48"/>
      <c r="AA91" s="48"/>
      <c r="AB91" s="48"/>
    </row>
    <row r="92" ht="14.25" customHeight="1">
      <c r="A92" s="48"/>
      <c r="B92" s="48"/>
      <c r="C92" s="48"/>
      <c r="D92" s="48"/>
      <c r="E92" s="48"/>
      <c r="F92" s="48"/>
      <c r="G92" s="48"/>
      <c r="H92" s="48"/>
      <c r="I92" s="48"/>
      <c r="J92" s="48"/>
      <c r="K92" s="84">
        <v>5.0</v>
      </c>
      <c r="L92" s="54" t="s">
        <v>55</v>
      </c>
      <c r="M92" s="122">
        <f t="shared" ref="M92:M94" si="14">M19</f>
        <v>233560</v>
      </c>
      <c r="N92" s="60">
        <f>L19-((L19-M12)/L12*V24)</f>
        <v>233560</v>
      </c>
      <c r="O92" s="398">
        <f t="shared" ref="O92:O96" si="15">IF((M92-N92=0),1,0)</f>
        <v>1</v>
      </c>
      <c r="P92" s="398">
        <f t="shared" ref="P92:P96" si="16">IF((M92-N92=0),1,0)</f>
        <v>1</v>
      </c>
      <c r="Q92" s="398">
        <f t="shared" ref="Q92:Q107" si="17">IF(O92+P92=2,1,0)</f>
        <v>1</v>
      </c>
      <c r="R92" s="400">
        <v>0.25</v>
      </c>
      <c r="S92" s="400">
        <f t="shared" ref="S92:S107" si="18">Q92*R92</f>
        <v>0.25</v>
      </c>
      <c r="T92" s="400">
        <f t="shared" ref="T92:T107" si="19">IFERROR(S92,0)</f>
        <v>0.25</v>
      </c>
      <c r="U92" s="84"/>
      <c r="V92" s="48"/>
      <c r="W92" s="48"/>
      <c r="X92" s="48"/>
      <c r="Y92" s="48"/>
      <c r="Z92" s="48"/>
      <c r="AA92" s="48"/>
      <c r="AB92" s="48"/>
    </row>
    <row r="93" ht="14.25" customHeight="1">
      <c r="A93" s="48"/>
      <c r="B93" s="48"/>
      <c r="C93" s="48"/>
      <c r="D93" s="48"/>
      <c r="E93" s="48"/>
      <c r="F93" s="48"/>
      <c r="G93" s="48"/>
      <c r="H93" s="48"/>
      <c r="I93" s="48"/>
      <c r="J93" s="48"/>
      <c r="K93" s="84">
        <v>6.0</v>
      </c>
      <c r="L93" s="54" t="s">
        <v>57</v>
      </c>
      <c r="M93" s="60">
        <f t="shared" si="14"/>
        <v>120000</v>
      </c>
      <c r="N93" s="60">
        <f>L13</f>
        <v>120000</v>
      </c>
      <c r="O93" s="398">
        <f t="shared" si="15"/>
        <v>1</v>
      </c>
      <c r="P93" s="398">
        <f t="shared" si="16"/>
        <v>1</v>
      </c>
      <c r="Q93" s="398">
        <f t="shared" si="17"/>
        <v>1</v>
      </c>
      <c r="R93" s="400">
        <v>0.0</v>
      </c>
      <c r="S93" s="400">
        <f t="shared" si="18"/>
        <v>0</v>
      </c>
      <c r="T93" s="400">
        <f t="shared" si="19"/>
        <v>0</v>
      </c>
      <c r="U93" s="84"/>
      <c r="V93" s="48"/>
      <c r="W93" s="48"/>
      <c r="X93" s="48"/>
      <c r="Y93" s="48"/>
      <c r="Z93" s="48"/>
      <c r="AA93" s="48"/>
      <c r="AB93" s="48"/>
    </row>
    <row r="94" ht="14.25" customHeight="1">
      <c r="A94" s="48"/>
      <c r="B94" s="48"/>
      <c r="C94" s="48"/>
      <c r="D94" s="48"/>
      <c r="E94" s="48"/>
      <c r="F94" s="48"/>
      <c r="G94" s="48"/>
      <c r="H94" s="48"/>
      <c r="I94" s="48"/>
      <c r="J94" s="48"/>
      <c r="K94" s="84">
        <v>7.0</v>
      </c>
      <c r="L94" s="54" t="s">
        <v>41</v>
      </c>
      <c r="M94" s="60">
        <f t="shared" si="14"/>
        <v>807097.222</v>
      </c>
      <c r="N94" s="60">
        <f>L21*(1+L14)^V24</f>
        <v>807097.222</v>
      </c>
      <c r="O94" s="398">
        <f t="shared" si="15"/>
        <v>1</v>
      </c>
      <c r="P94" s="398">
        <f t="shared" si="16"/>
        <v>1</v>
      </c>
      <c r="Q94" s="398">
        <f t="shared" si="17"/>
        <v>1</v>
      </c>
      <c r="R94" s="400">
        <v>0.25</v>
      </c>
      <c r="S94" s="400">
        <f t="shared" si="18"/>
        <v>0.25</v>
      </c>
      <c r="T94" s="400">
        <f t="shared" si="19"/>
        <v>0.25</v>
      </c>
      <c r="U94" s="84"/>
      <c r="V94" s="48"/>
      <c r="W94" s="48"/>
      <c r="X94" s="48"/>
      <c r="Y94" s="48"/>
      <c r="Z94" s="48"/>
      <c r="AA94" s="48"/>
      <c r="AB94" s="48"/>
    </row>
    <row r="95" ht="14.25" customHeight="1">
      <c r="A95" s="48"/>
      <c r="B95" s="48"/>
      <c r="C95" s="48"/>
      <c r="D95" s="48"/>
      <c r="E95" s="48"/>
      <c r="F95" s="48"/>
      <c r="G95" s="48"/>
      <c r="H95" s="48"/>
      <c r="I95" s="48"/>
      <c r="J95" s="48"/>
      <c r="K95" s="84">
        <v>8.0</v>
      </c>
      <c r="L95" s="48"/>
      <c r="M95" s="290">
        <f>O25</f>
        <v>15300</v>
      </c>
      <c r="N95" s="290">
        <f>Feuil5!O25</f>
        <v>15300</v>
      </c>
      <c r="O95" s="398">
        <f t="shared" si="15"/>
        <v>1</v>
      </c>
      <c r="P95" s="398">
        <f t="shared" si="16"/>
        <v>1</v>
      </c>
      <c r="Q95" s="398">
        <f t="shared" si="17"/>
        <v>1</v>
      </c>
      <c r="R95" s="400">
        <v>0.0</v>
      </c>
      <c r="S95" s="400">
        <f t="shared" si="18"/>
        <v>0</v>
      </c>
      <c r="T95" s="400">
        <f t="shared" si="19"/>
        <v>0</v>
      </c>
      <c r="U95" s="84"/>
      <c r="V95" s="48"/>
      <c r="W95" s="48"/>
      <c r="X95" s="48"/>
      <c r="Y95" s="48"/>
      <c r="Z95" s="48"/>
      <c r="AA95" s="48"/>
      <c r="AB95" s="48"/>
    </row>
    <row r="96" ht="14.25" customHeight="1">
      <c r="A96" s="48"/>
      <c r="B96" s="48"/>
      <c r="C96" s="48"/>
      <c r="D96" s="48"/>
      <c r="E96" s="48"/>
      <c r="F96" s="48"/>
      <c r="G96" s="48"/>
      <c r="H96" s="48"/>
      <c r="I96" s="48"/>
      <c r="J96" s="48"/>
      <c r="K96" s="84">
        <v>9.0</v>
      </c>
      <c r="L96" s="48"/>
      <c r="M96" s="290">
        <f>S25</f>
        <v>26000</v>
      </c>
      <c r="N96" s="290">
        <f>Feuil5!S25</f>
        <v>26000</v>
      </c>
      <c r="O96" s="398">
        <f t="shared" si="15"/>
        <v>1</v>
      </c>
      <c r="P96" s="398">
        <f t="shared" si="16"/>
        <v>1</v>
      </c>
      <c r="Q96" s="398">
        <f t="shared" si="17"/>
        <v>1</v>
      </c>
      <c r="R96" s="400">
        <v>0.0</v>
      </c>
      <c r="S96" s="400">
        <f t="shared" si="18"/>
        <v>0</v>
      </c>
      <c r="T96" s="400">
        <f t="shared" si="19"/>
        <v>0</v>
      </c>
      <c r="U96" s="48"/>
      <c r="V96" s="48"/>
      <c r="W96" s="48"/>
      <c r="X96" s="48"/>
      <c r="Y96" s="48"/>
      <c r="Z96" s="48"/>
      <c r="AA96" s="48"/>
      <c r="AB96" s="48"/>
    </row>
    <row r="97" ht="14.25" customHeight="1">
      <c r="A97" s="48"/>
      <c r="B97" s="48"/>
      <c r="C97" s="48"/>
      <c r="D97" s="48"/>
      <c r="E97" s="48"/>
      <c r="F97" s="48"/>
      <c r="G97" s="48"/>
      <c r="H97" s="48"/>
      <c r="I97" s="48"/>
      <c r="J97" s="48"/>
      <c r="K97" s="84">
        <v>10.0</v>
      </c>
      <c r="L97" s="48"/>
      <c r="M97" s="60">
        <f>'Ennoncé'!N42</f>
        <v>-1327200</v>
      </c>
      <c r="N97" s="60">
        <f>N42</f>
        <v>-1327200</v>
      </c>
      <c r="O97" s="398">
        <f t="shared" ref="O97:O102" si="20">IF(M97/N97&gt;0.998,1,0)</f>
        <v>1</v>
      </c>
      <c r="P97" s="398">
        <f t="shared" ref="P97:P102" si="21">IF(M97/N97&lt;1.002,1,0)</f>
        <v>1</v>
      </c>
      <c r="Q97" s="398">
        <f t="shared" si="17"/>
        <v>1</v>
      </c>
      <c r="R97" s="400">
        <f t="shared" ref="R97:R103" si="22">$Q$87</f>
        <v>0.5</v>
      </c>
      <c r="S97" s="400">
        <f t="shared" si="18"/>
        <v>0.5</v>
      </c>
      <c r="T97" s="400">
        <f t="shared" si="19"/>
        <v>0.5</v>
      </c>
      <c r="U97" s="48"/>
      <c r="V97" s="48"/>
      <c r="W97" s="48"/>
      <c r="X97" s="48"/>
      <c r="Y97" s="48"/>
      <c r="Z97" s="48"/>
      <c r="AA97" s="48"/>
      <c r="AB97" s="48"/>
    </row>
    <row r="98" ht="14.25" customHeight="1">
      <c r="A98" s="48"/>
      <c r="B98" s="48"/>
      <c r="C98" s="48"/>
      <c r="D98" s="48"/>
      <c r="E98" s="48"/>
      <c r="F98" s="48"/>
      <c r="G98" s="48"/>
      <c r="H98" s="48"/>
      <c r="I98" s="48"/>
      <c r="J98" s="48"/>
      <c r="K98" s="84">
        <v>11.0</v>
      </c>
      <c r="L98" s="48"/>
      <c r="M98" s="60">
        <f>'Ennoncé'!R42</f>
        <v>229500</v>
      </c>
      <c r="N98" s="60">
        <f>R29-Q16</f>
        <v>229500</v>
      </c>
      <c r="O98" s="398">
        <f t="shared" si="20"/>
        <v>1</v>
      </c>
      <c r="P98" s="398">
        <f t="shared" si="21"/>
        <v>1</v>
      </c>
      <c r="Q98" s="398">
        <f t="shared" si="17"/>
        <v>1</v>
      </c>
      <c r="R98" s="400">
        <f t="shared" si="22"/>
        <v>0.5</v>
      </c>
      <c r="S98" s="400">
        <f t="shared" si="18"/>
        <v>0.5</v>
      </c>
      <c r="T98" s="400">
        <f t="shared" si="19"/>
        <v>0.5</v>
      </c>
      <c r="U98" s="48"/>
      <c r="V98" s="48"/>
      <c r="W98" s="48"/>
      <c r="X98" s="48"/>
      <c r="Y98" s="48"/>
      <c r="Z98" s="48"/>
      <c r="AA98" s="48"/>
      <c r="AB98" s="48"/>
    </row>
    <row r="99" ht="14.25" customHeight="1">
      <c r="A99" s="48"/>
      <c r="B99" s="48"/>
      <c r="C99" s="48"/>
      <c r="D99" s="48"/>
      <c r="E99" s="48"/>
      <c r="F99" s="48"/>
      <c r="G99" s="48"/>
      <c r="H99" s="48"/>
      <c r="I99" s="48"/>
      <c r="J99" s="48"/>
      <c r="K99" s="84">
        <v>12.0</v>
      </c>
      <c r="L99" s="48"/>
      <c r="M99" s="60">
        <f>'Ennoncé'!V42</f>
        <v>1618657.222</v>
      </c>
      <c r="N99" s="60">
        <f>V42</f>
        <v>1618657.222</v>
      </c>
      <c r="O99" s="398">
        <f t="shared" si="20"/>
        <v>1</v>
      </c>
      <c r="P99" s="398">
        <f t="shared" si="21"/>
        <v>1</v>
      </c>
      <c r="Q99" s="398">
        <f t="shared" si="17"/>
        <v>1</v>
      </c>
      <c r="R99" s="400">
        <f t="shared" si="22"/>
        <v>0.5</v>
      </c>
      <c r="S99" s="400">
        <f t="shared" si="18"/>
        <v>0.5</v>
      </c>
      <c r="T99" s="400">
        <f t="shared" si="19"/>
        <v>0.5</v>
      </c>
      <c r="U99" s="48"/>
      <c r="V99" s="48"/>
      <c r="W99" s="48"/>
      <c r="X99" s="48"/>
      <c r="Y99" s="48"/>
      <c r="Z99" s="48"/>
      <c r="AA99" s="48"/>
      <c r="AB99" s="48"/>
    </row>
    <row r="100" ht="14.25" customHeight="1">
      <c r="A100" s="48"/>
      <c r="B100" s="48"/>
      <c r="C100" s="48"/>
      <c r="D100" s="48"/>
      <c r="E100" s="48"/>
      <c r="F100" s="48"/>
      <c r="G100" s="48"/>
      <c r="H100" s="48"/>
      <c r="I100" s="48"/>
      <c r="J100" s="48"/>
      <c r="K100" s="84">
        <v>13.0</v>
      </c>
      <c r="L100" s="48"/>
      <c r="M100" s="122">
        <f>'Ennoncé'!M45</f>
        <v>817279.2189</v>
      </c>
      <c r="N100" s="122">
        <f>M121</f>
        <v>817279.2189</v>
      </c>
      <c r="O100" s="398">
        <f t="shared" si="20"/>
        <v>1</v>
      </c>
      <c r="P100" s="398">
        <f t="shared" si="21"/>
        <v>1</v>
      </c>
      <c r="Q100" s="398">
        <f t="shared" si="17"/>
        <v>1</v>
      </c>
      <c r="R100" s="400">
        <f t="shared" si="22"/>
        <v>0.5</v>
      </c>
      <c r="S100" s="400">
        <f t="shared" si="18"/>
        <v>0.5</v>
      </c>
      <c r="T100" s="400">
        <f t="shared" si="19"/>
        <v>0.5</v>
      </c>
      <c r="U100" s="48"/>
      <c r="V100" s="48"/>
      <c r="W100" s="48"/>
      <c r="X100" s="48"/>
      <c r="Y100" s="48"/>
      <c r="Z100" s="48"/>
      <c r="AA100" s="48"/>
      <c r="AB100" s="48"/>
    </row>
    <row r="101" ht="14.25" customHeight="1">
      <c r="A101" s="48"/>
      <c r="B101" s="48"/>
      <c r="C101" s="48"/>
      <c r="D101" s="48"/>
      <c r="E101" s="48"/>
      <c r="F101" s="48"/>
      <c r="G101" s="48"/>
      <c r="H101" s="48"/>
      <c r="I101" s="48"/>
      <c r="J101" s="48"/>
      <c r="K101" s="84">
        <v>14.0</v>
      </c>
      <c r="L101" s="48"/>
      <c r="M101" s="122">
        <f>'Ennoncé'!M49</f>
        <v>158814.5594</v>
      </c>
      <c r="N101" s="122">
        <f>M49</f>
        <v>158814.5594</v>
      </c>
      <c r="O101" s="398">
        <f t="shared" si="20"/>
        <v>1</v>
      </c>
      <c r="P101" s="398">
        <f t="shared" si="21"/>
        <v>1</v>
      </c>
      <c r="Q101" s="398">
        <f t="shared" si="17"/>
        <v>1</v>
      </c>
      <c r="R101" s="400">
        <f t="shared" si="22"/>
        <v>0.5</v>
      </c>
      <c r="S101" s="84">
        <f t="shared" si="18"/>
        <v>0.5</v>
      </c>
      <c r="T101" s="84">
        <f t="shared" si="19"/>
        <v>0.5</v>
      </c>
      <c r="U101" s="48"/>
      <c r="V101" s="48"/>
      <c r="W101" s="48"/>
      <c r="X101" s="48"/>
      <c r="Y101" s="48"/>
      <c r="Z101" s="48"/>
      <c r="AA101" s="48"/>
      <c r="AB101" s="48"/>
    </row>
    <row r="102" ht="14.25" customHeight="1">
      <c r="A102" s="48"/>
      <c r="B102" s="48"/>
      <c r="C102" s="48"/>
      <c r="D102" s="48"/>
      <c r="E102" s="48"/>
      <c r="F102" s="48"/>
      <c r="G102" s="48"/>
      <c r="H102" s="48"/>
      <c r="I102" s="48"/>
      <c r="J102" s="48"/>
      <c r="K102" s="84">
        <v>15.0</v>
      </c>
      <c r="L102" s="48"/>
      <c r="M102" s="401">
        <f>'Ennoncé'!M54</f>
        <v>1.606757475</v>
      </c>
      <c r="N102" s="401">
        <f>M54</f>
        <v>1.606757475</v>
      </c>
      <c r="O102" s="398">
        <f t="shared" si="20"/>
        <v>1</v>
      </c>
      <c r="P102" s="398">
        <f t="shared" si="21"/>
        <v>1</v>
      </c>
      <c r="Q102" s="398">
        <f t="shared" si="17"/>
        <v>1</v>
      </c>
      <c r="R102" s="400">
        <f t="shared" si="22"/>
        <v>0.5</v>
      </c>
      <c r="S102" s="400">
        <f t="shared" si="18"/>
        <v>0.5</v>
      </c>
      <c r="T102" s="400">
        <f t="shared" si="19"/>
        <v>0.5</v>
      </c>
      <c r="U102" s="48"/>
      <c r="V102" s="48"/>
      <c r="W102" s="48"/>
      <c r="X102" s="48"/>
      <c r="Y102" s="48"/>
      <c r="Z102" s="48"/>
      <c r="AA102" s="48"/>
      <c r="AB102" s="48"/>
    </row>
    <row r="103" ht="14.25" customHeight="1">
      <c r="A103" s="48"/>
      <c r="B103" s="48"/>
      <c r="C103" s="48"/>
      <c r="D103" s="48"/>
      <c r="E103" s="48"/>
      <c r="F103" s="48"/>
      <c r="G103" s="48"/>
      <c r="H103" s="48"/>
      <c r="I103" s="48"/>
      <c r="J103" s="48"/>
      <c r="K103" s="84">
        <v>16.0</v>
      </c>
      <c r="L103" s="48"/>
      <c r="M103" s="265">
        <f>'Ennoncé'!O62</f>
        <v>0.2224708296</v>
      </c>
      <c r="N103" s="265">
        <f>O62</f>
        <v>0.2224174825</v>
      </c>
      <c r="O103" s="398">
        <f>IF(M103/N103&gt;0.996,1,0)</f>
        <v>1</v>
      </c>
      <c r="P103" s="398">
        <f>IF(M103/N103&lt;1.004,1,0)</f>
        <v>1</v>
      </c>
      <c r="Q103" s="398">
        <f t="shared" si="17"/>
        <v>1</v>
      </c>
      <c r="R103" s="400">
        <f t="shared" si="22"/>
        <v>0.5</v>
      </c>
      <c r="S103" s="84">
        <f t="shared" si="18"/>
        <v>0.5</v>
      </c>
      <c r="T103" s="84">
        <f t="shared" si="19"/>
        <v>0.5</v>
      </c>
      <c r="U103" s="48"/>
      <c r="V103" s="48"/>
      <c r="W103" s="48"/>
      <c r="X103" s="48"/>
      <c r="Y103" s="48"/>
      <c r="Z103" s="48"/>
      <c r="AA103" s="48"/>
      <c r="AB103" s="48"/>
    </row>
    <row r="104" ht="14.25" customHeight="1">
      <c r="A104" s="48"/>
      <c r="B104" s="48"/>
      <c r="C104" s="48"/>
      <c r="D104" s="48"/>
      <c r="E104" s="48"/>
      <c r="F104" s="48"/>
      <c r="G104" s="48"/>
      <c r="H104" s="48"/>
      <c r="I104" s="48"/>
      <c r="J104" s="48"/>
      <c r="K104" s="84">
        <v>17.1</v>
      </c>
      <c r="L104" s="48"/>
      <c r="M104" s="60">
        <f>'Ennoncé'!R49</f>
        <v>-1346961.929</v>
      </c>
      <c r="N104" s="60">
        <f>-(SUM(L19:L21)+Q15+(Q16*R43))</f>
        <v>-1346961.929</v>
      </c>
      <c r="O104" s="398">
        <f t="shared" ref="O104:O107" si="23">IF(M104/N104&gt;0.998,1,0)</f>
        <v>1</v>
      </c>
      <c r="P104" s="398">
        <f t="shared" ref="P104:P107" si="24">IF(M104/N104&lt;1.002,1,0)</f>
        <v>1</v>
      </c>
      <c r="Q104" s="398">
        <f t="shared" si="17"/>
        <v>1</v>
      </c>
      <c r="R104" s="400">
        <v>0.25</v>
      </c>
      <c r="S104" s="400">
        <f t="shared" si="18"/>
        <v>0.25</v>
      </c>
      <c r="T104" s="400">
        <f t="shared" si="19"/>
        <v>0.25</v>
      </c>
      <c r="U104" s="48"/>
      <c r="V104" s="48"/>
      <c r="W104" s="48"/>
      <c r="X104" s="48"/>
      <c r="Y104" s="48"/>
      <c r="Z104" s="48"/>
      <c r="AA104" s="48"/>
      <c r="AB104" s="48"/>
    </row>
    <row r="105" ht="14.25" customHeight="1">
      <c r="A105" s="48"/>
      <c r="B105" s="48"/>
      <c r="C105" s="48"/>
      <c r="D105" s="48"/>
      <c r="E105" s="48"/>
      <c r="F105" s="48"/>
      <c r="G105" s="48"/>
      <c r="H105" s="48"/>
      <c r="I105" s="48"/>
      <c r="J105" s="48"/>
      <c r="K105" s="84">
        <v>17.2</v>
      </c>
      <c r="L105" s="48"/>
      <c r="M105" s="60">
        <f>'Ennoncé'!S50</f>
        <v>-1113178.145</v>
      </c>
      <c r="N105" s="60">
        <f>R50+M104</f>
        <v>-1113178.145</v>
      </c>
      <c r="O105" s="398">
        <f t="shared" si="23"/>
        <v>1</v>
      </c>
      <c r="P105" s="398">
        <f t="shared" si="24"/>
        <v>1</v>
      </c>
      <c r="Q105" s="398">
        <f t="shared" si="17"/>
        <v>1</v>
      </c>
      <c r="R105" s="400">
        <v>0.25</v>
      </c>
      <c r="S105" s="84">
        <f t="shared" si="18"/>
        <v>0.25</v>
      </c>
      <c r="T105" s="84">
        <f t="shared" si="19"/>
        <v>0.25</v>
      </c>
      <c r="U105" s="48"/>
      <c r="V105" s="48"/>
      <c r="W105" s="48"/>
      <c r="X105" s="48"/>
      <c r="Y105" s="48"/>
      <c r="Z105" s="48"/>
      <c r="AA105" s="48"/>
      <c r="AB105" s="48"/>
    </row>
    <row r="106" ht="14.25" customHeight="1">
      <c r="A106" s="48"/>
      <c r="B106" s="48"/>
      <c r="C106" s="48"/>
      <c r="D106" s="48"/>
      <c r="E106" s="48"/>
      <c r="F106" s="48"/>
      <c r="G106" s="48"/>
      <c r="H106" s="48"/>
      <c r="I106" s="48"/>
      <c r="J106" s="48"/>
      <c r="K106" s="84">
        <v>17.5</v>
      </c>
      <c r="L106" s="48"/>
      <c r="M106" s="402">
        <f>'Ennoncé'!R59</f>
        <v>151.5887955</v>
      </c>
      <c r="N106" s="402">
        <f>R59</f>
        <v>268.1579235</v>
      </c>
      <c r="O106" s="398">
        <f t="shared" si="23"/>
        <v>0</v>
      </c>
      <c r="P106" s="398">
        <f t="shared" si="24"/>
        <v>1</v>
      </c>
      <c r="Q106" s="398">
        <f t="shared" si="17"/>
        <v>0</v>
      </c>
      <c r="R106" s="400"/>
      <c r="S106" s="84">
        <f t="shared" si="18"/>
        <v>0</v>
      </c>
      <c r="T106" s="84">
        <f t="shared" si="19"/>
        <v>0</v>
      </c>
      <c r="U106" s="48"/>
      <c r="V106" s="48"/>
      <c r="W106" s="48"/>
      <c r="X106" s="48"/>
      <c r="Y106" s="48"/>
      <c r="Z106" s="48"/>
      <c r="AA106" s="48"/>
      <c r="AB106" s="48"/>
    </row>
    <row r="107" ht="14.25" customHeight="1">
      <c r="A107" s="48"/>
      <c r="B107" s="48"/>
      <c r="C107" s="48"/>
      <c r="D107" s="48"/>
      <c r="E107" s="48"/>
      <c r="F107" s="48"/>
      <c r="G107" s="48"/>
      <c r="H107" s="48"/>
      <c r="I107" s="48"/>
      <c r="J107" s="48"/>
      <c r="K107" s="149">
        <v>18.0</v>
      </c>
      <c r="L107" s="403"/>
      <c r="M107" s="404">
        <f>'Ennoncé'!W75</f>
        <v>0.1750426772</v>
      </c>
      <c r="N107" s="404">
        <f>W75</f>
        <v>0.1750426772</v>
      </c>
      <c r="O107" s="405">
        <f t="shared" si="23"/>
        <v>1</v>
      </c>
      <c r="P107" s="405">
        <f t="shared" si="24"/>
        <v>1</v>
      </c>
      <c r="Q107" s="405">
        <f t="shared" si="17"/>
        <v>1</v>
      </c>
      <c r="R107" s="406">
        <f>$Q$87</f>
        <v>0.5</v>
      </c>
      <c r="S107" s="149">
        <f t="shared" si="18"/>
        <v>0.5</v>
      </c>
      <c r="T107" s="149">
        <f t="shared" si="19"/>
        <v>0.5</v>
      </c>
      <c r="U107" s="406">
        <f>SUM(T88:T107)</f>
        <v>5</v>
      </c>
      <c r="V107" s="400">
        <f>20-SUM(R88:R107)</f>
        <v>13.25</v>
      </c>
      <c r="W107" s="244" t="s">
        <v>172</v>
      </c>
      <c r="X107" s="400">
        <f>V107+U107</f>
        <v>18.25</v>
      </c>
      <c r="Y107" s="48"/>
      <c r="Z107" s="48"/>
      <c r="AA107" s="48"/>
      <c r="AB107" s="48"/>
    </row>
    <row r="108" ht="14.25" customHeight="1">
      <c r="A108" s="48"/>
      <c r="B108" s="48"/>
      <c r="C108" s="48"/>
      <c r="D108" s="48"/>
      <c r="E108" s="48"/>
      <c r="F108" s="48"/>
      <c r="G108" s="48"/>
      <c r="H108" s="48"/>
      <c r="I108" s="48"/>
      <c r="J108" s="48"/>
      <c r="K108" s="407"/>
      <c r="L108" s="407"/>
      <c r="M108" s="158"/>
      <c r="N108" s="158"/>
      <c r="O108" s="408"/>
      <c r="P108" s="408"/>
      <c r="Q108" s="408"/>
      <c r="R108" s="409"/>
      <c r="S108" s="407"/>
      <c r="T108" s="53"/>
      <c r="U108" s="53"/>
      <c r="V108" s="48"/>
      <c r="W108" s="48"/>
      <c r="X108" s="48"/>
      <c r="Y108" s="48"/>
      <c r="Z108" s="48"/>
      <c r="AA108" s="48"/>
      <c r="AB108" s="48"/>
    </row>
    <row r="109" ht="14.25" customHeight="1">
      <c r="A109" s="48"/>
      <c r="B109" s="48"/>
      <c r="C109" s="48"/>
      <c r="D109" s="48"/>
      <c r="E109" s="48"/>
      <c r="F109" s="48"/>
      <c r="G109" s="48"/>
      <c r="H109" s="48"/>
      <c r="I109" s="48"/>
      <c r="J109" s="48"/>
      <c r="K109" s="84"/>
      <c r="L109" s="84"/>
      <c r="M109" s="60"/>
      <c r="N109" s="60"/>
      <c r="O109" s="398"/>
      <c r="P109" s="398"/>
      <c r="Q109" s="398"/>
      <c r="R109" s="400"/>
      <c r="S109" s="84"/>
      <c r="T109" s="48"/>
      <c r="U109" s="48"/>
      <c r="V109" s="48"/>
      <c r="W109" s="48"/>
      <c r="X109" s="48"/>
      <c r="Y109" s="48"/>
      <c r="Z109" s="48"/>
      <c r="AA109" s="48"/>
      <c r="AB109" s="48"/>
    </row>
    <row r="110" ht="14.25" customHeight="1">
      <c r="A110" s="48"/>
      <c r="B110" s="48"/>
      <c r="C110" s="48"/>
      <c r="D110" s="48"/>
      <c r="E110" s="48"/>
      <c r="F110" s="48"/>
      <c r="G110" s="48"/>
      <c r="H110" s="48"/>
      <c r="I110" s="48"/>
      <c r="J110" s="48"/>
      <c r="K110" s="84"/>
      <c r="L110" s="84"/>
      <c r="M110" s="60"/>
      <c r="N110" s="60"/>
      <c r="O110" s="398"/>
      <c r="P110" s="398"/>
      <c r="Q110" s="398"/>
      <c r="R110" s="400"/>
      <c r="S110" s="84"/>
      <c r="T110" s="48"/>
      <c r="U110" s="48"/>
      <c r="V110" s="48"/>
      <c r="W110" s="48"/>
      <c r="X110" s="48"/>
      <c r="Y110" s="48"/>
      <c r="Z110" s="48"/>
      <c r="AA110" s="48"/>
      <c r="AB110" s="48"/>
    </row>
    <row r="111" ht="14.25" customHeight="1">
      <c r="A111" s="48"/>
      <c r="B111" s="48"/>
      <c r="C111" s="48"/>
      <c r="D111" s="48"/>
      <c r="E111" s="48"/>
      <c r="F111" s="48"/>
      <c r="G111" s="48"/>
      <c r="H111" s="48"/>
      <c r="I111" s="48"/>
      <c r="J111" s="48"/>
      <c r="K111" s="149"/>
      <c r="L111" s="149"/>
      <c r="M111" s="404"/>
      <c r="N111" s="404"/>
      <c r="O111" s="405"/>
      <c r="P111" s="405"/>
      <c r="Q111" s="405"/>
      <c r="R111" s="406"/>
      <c r="S111" s="149"/>
      <c r="T111" s="149"/>
      <c r="U111" s="149"/>
      <c r="V111" s="48"/>
      <c r="W111" s="48"/>
      <c r="X111" s="48"/>
      <c r="Y111" s="48"/>
      <c r="Z111" s="48"/>
      <c r="AA111" s="48"/>
      <c r="AB111" s="48"/>
    </row>
    <row r="112" ht="14.25" customHeight="1">
      <c r="A112" s="48"/>
      <c r="B112" s="48"/>
      <c r="C112" s="48"/>
      <c r="D112" s="48"/>
      <c r="E112" s="48"/>
      <c r="F112" s="48"/>
      <c r="G112" s="48"/>
      <c r="H112" s="48"/>
      <c r="I112" s="48"/>
      <c r="J112" s="48"/>
      <c r="K112" s="53"/>
      <c r="L112" s="53"/>
      <c r="M112" s="53"/>
      <c r="N112" s="53"/>
      <c r="O112" s="53"/>
      <c r="P112" s="53"/>
      <c r="Q112" s="53"/>
      <c r="R112" s="53"/>
      <c r="S112" s="53"/>
      <c r="T112" s="53"/>
      <c r="U112" s="53"/>
      <c r="V112" s="48"/>
      <c r="W112" s="48"/>
      <c r="X112" s="48"/>
      <c r="Y112" s="48"/>
      <c r="Z112" s="48"/>
      <c r="AA112" s="48"/>
      <c r="AB112" s="48"/>
    </row>
    <row r="113" ht="14.25" customHeight="1">
      <c r="A113" s="48"/>
      <c r="B113" s="233"/>
      <c r="C113" s="48"/>
      <c r="D113" s="48"/>
      <c r="E113" s="48"/>
      <c r="F113" s="48"/>
      <c r="G113" s="48"/>
      <c r="H113" s="48"/>
      <c r="I113" s="48"/>
      <c r="J113" s="48"/>
      <c r="K113" s="48"/>
      <c r="L113" s="48"/>
      <c r="M113" s="48"/>
      <c r="N113" s="48"/>
      <c r="O113" s="48"/>
      <c r="P113" s="48"/>
      <c r="Q113" s="410" t="s">
        <v>173</v>
      </c>
      <c r="R113" s="411">
        <f>V107</f>
        <v>13.25</v>
      </c>
      <c r="S113" s="400">
        <f>SUM(R88:R111)</f>
        <v>6.75</v>
      </c>
      <c r="T113" s="48"/>
      <c r="U113" s="48"/>
      <c r="V113" s="48"/>
      <c r="W113" s="48"/>
      <c r="X113" s="48"/>
      <c r="Y113" s="48"/>
      <c r="Z113" s="48"/>
      <c r="AA113" s="48"/>
      <c r="AB113" s="48"/>
    </row>
    <row r="114" ht="14.25" customHeight="1">
      <c r="A114" s="48"/>
      <c r="B114" s="48"/>
      <c r="C114" s="48"/>
      <c r="D114" s="48"/>
      <c r="E114" s="48"/>
      <c r="F114" s="48"/>
      <c r="G114" s="48"/>
      <c r="H114" s="48"/>
      <c r="I114" s="48"/>
      <c r="J114" s="48"/>
      <c r="K114" s="48"/>
      <c r="L114" s="48"/>
      <c r="M114" s="48"/>
      <c r="N114" s="48"/>
      <c r="O114" s="48"/>
      <c r="P114" s="48"/>
      <c r="Q114" s="244" t="s">
        <v>174</v>
      </c>
      <c r="R114" s="48"/>
      <c r="S114" s="400">
        <f>(20-S113)</f>
        <v>13.25</v>
      </c>
      <c r="T114" s="48"/>
      <c r="U114" s="48"/>
      <c r="V114" s="48"/>
      <c r="W114" s="48"/>
      <c r="X114" s="48"/>
      <c r="Y114" s="48"/>
      <c r="Z114" s="48"/>
      <c r="AA114" s="48"/>
      <c r="AB114" s="48"/>
    </row>
    <row r="115" ht="14.2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ht="14.2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ht="14.2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ht="14.2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ht="14.2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ht="16.5" customHeight="1">
      <c r="A120" s="48"/>
      <c r="B120" s="48"/>
      <c r="C120" s="48"/>
      <c r="D120" s="48"/>
      <c r="E120" s="48"/>
      <c r="F120" s="48"/>
      <c r="G120" s="48"/>
      <c r="H120" s="48"/>
      <c r="I120" s="48"/>
      <c r="J120" s="61"/>
      <c r="K120" s="315" t="s">
        <v>80</v>
      </c>
      <c r="L120" s="316"/>
      <c r="M120" s="412">
        <f>N42</f>
        <v>-1327200</v>
      </c>
      <c r="N120" s="60">
        <f>((Feuil5!O27)*O25)-Feuil5!O26</f>
        <v>259500</v>
      </c>
      <c r="O120" s="60">
        <f t="shared" ref="O120:P120" si="25">P42</f>
        <v>259500</v>
      </c>
      <c r="P120" s="60">
        <f t="shared" si="25"/>
        <v>259500</v>
      </c>
      <c r="Q120" s="60">
        <f>'Ennoncé'!R42</f>
        <v>229500</v>
      </c>
      <c r="R120" s="60">
        <f t="shared" ref="R120:T120" si="26">S42</f>
        <v>408000</v>
      </c>
      <c r="S120" s="60">
        <f t="shared" si="26"/>
        <v>408000</v>
      </c>
      <c r="T120" s="60">
        <f t="shared" si="26"/>
        <v>408000</v>
      </c>
      <c r="U120" s="60">
        <f>'Ennoncé'!V42</f>
        <v>1618657.222</v>
      </c>
      <c r="V120" s="48"/>
      <c r="W120" s="48"/>
      <c r="X120" s="48"/>
      <c r="Y120" s="48"/>
      <c r="Z120" s="48"/>
      <c r="AA120" s="48"/>
      <c r="AB120" s="48"/>
    </row>
    <row r="121" ht="14.25" customHeight="1">
      <c r="A121" s="48"/>
      <c r="B121" s="48"/>
      <c r="C121" s="48"/>
      <c r="D121" s="48"/>
      <c r="E121" s="48"/>
      <c r="F121" s="48"/>
      <c r="G121" s="48"/>
      <c r="H121" s="48"/>
      <c r="I121" s="48"/>
      <c r="J121" s="48"/>
      <c r="K121" s="100"/>
      <c r="L121" s="100"/>
      <c r="M121" s="60">
        <f t="array" ref="M121">NPV(M43,N120:U120)+M120</f>
        <v>817279.2189</v>
      </c>
      <c r="N121" s="48"/>
      <c r="O121" s="48"/>
      <c r="P121" s="48"/>
      <c r="Q121" s="48"/>
      <c r="R121" s="48"/>
      <c r="S121" s="48"/>
      <c r="T121" s="48"/>
      <c r="U121" s="48"/>
      <c r="V121" s="48"/>
      <c r="W121" s="48"/>
      <c r="X121" s="48"/>
      <c r="Y121" s="48"/>
      <c r="Z121" s="48"/>
      <c r="AA121" s="48"/>
      <c r="AB121" s="48"/>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conditionalFormatting sqref="M26:M28">
    <cfRule type="cellIs" dxfId="0" priority="1" stopIfTrue="1" operator="lessThan">
      <formula>0</formula>
    </cfRule>
  </conditionalFormatting>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5" width="11.75"/>
    <col customWidth="1" min="6" max="26" width="11.75"/>
  </cols>
  <sheetData>
    <row r="1" ht="14.25" customHeight="1">
      <c r="A1" s="413" t="s">
        <v>175</v>
      </c>
      <c r="B1" s="414">
        <f>Feuil3!X107</f>
        <v>18.25</v>
      </c>
      <c r="C1" s="48" t="str">
        <f>'Ennoncé'!H1</f>
        <v/>
      </c>
      <c r="D1" s="48" t="str">
        <f>'Ennoncé'!J1</f>
        <v/>
      </c>
      <c r="E1" s="413" t="str">
        <f>'Ennoncé'!C1</f>
        <v/>
      </c>
      <c r="F1" s="413" t="str">
        <f>'Ennoncé'!E1</f>
        <v/>
      </c>
      <c r="G1" s="5"/>
      <c r="H1" s="5"/>
      <c r="I1" s="5"/>
      <c r="J1" s="5"/>
      <c r="K1" s="5"/>
      <c r="L1" s="5"/>
      <c r="M1" s="5"/>
      <c r="N1" s="5"/>
      <c r="O1" s="5"/>
      <c r="P1" s="5"/>
      <c r="Q1" s="5"/>
      <c r="R1" s="5"/>
      <c r="S1" s="5"/>
      <c r="T1" s="5"/>
      <c r="U1" s="5"/>
      <c r="V1" s="5"/>
      <c r="W1" s="5"/>
      <c r="X1" s="5"/>
      <c r="Y1" s="5"/>
      <c r="Z1" s="5"/>
    </row>
    <row r="2" ht="13.5" customHeight="1">
      <c r="A2" s="5"/>
      <c r="B2" s="5"/>
      <c r="C2" s="5"/>
      <c r="D2" s="5"/>
      <c r="E2" s="5"/>
      <c r="F2" s="5"/>
      <c r="G2" s="5"/>
      <c r="H2" s="5"/>
      <c r="I2" s="5"/>
      <c r="J2" s="5"/>
      <c r="K2" s="5"/>
      <c r="L2" s="5"/>
      <c r="M2" s="5"/>
      <c r="N2" s="5"/>
      <c r="O2" s="5"/>
      <c r="P2" s="5"/>
      <c r="Q2" s="5"/>
      <c r="R2" s="5"/>
      <c r="S2" s="5"/>
      <c r="T2" s="5"/>
      <c r="U2" s="5"/>
      <c r="V2" s="5"/>
      <c r="W2" s="5"/>
      <c r="X2" s="5"/>
      <c r="Y2" s="5"/>
      <c r="Z2" s="5"/>
    </row>
    <row r="3" ht="13.5" customHeight="1">
      <c r="A3" s="5"/>
      <c r="B3" s="5"/>
      <c r="C3" s="5"/>
      <c r="D3" s="5"/>
      <c r="E3" s="5"/>
      <c r="F3" s="5"/>
      <c r="G3" s="5"/>
      <c r="H3" s="5"/>
      <c r="I3" s="5"/>
      <c r="J3" s="5"/>
      <c r="K3" s="5"/>
      <c r="L3" s="5"/>
      <c r="M3" s="5"/>
      <c r="N3" s="5"/>
      <c r="O3" s="5"/>
      <c r="P3" s="5"/>
      <c r="Q3" s="5"/>
      <c r="R3" s="5"/>
      <c r="S3" s="5"/>
      <c r="T3" s="5"/>
      <c r="U3" s="5"/>
      <c r="V3" s="5"/>
      <c r="W3" s="5"/>
      <c r="X3" s="5"/>
      <c r="Y3" s="5"/>
      <c r="Z3" s="5"/>
    </row>
    <row r="4" ht="13.5" customHeight="1">
      <c r="A4" s="5"/>
      <c r="B4" s="5"/>
      <c r="C4" s="5"/>
      <c r="D4" s="5"/>
      <c r="E4" s="5"/>
      <c r="F4" s="5"/>
      <c r="G4" s="5"/>
      <c r="H4" s="5"/>
      <c r="I4" s="5"/>
      <c r="J4" s="5"/>
      <c r="K4" s="5"/>
      <c r="L4" s="5"/>
      <c r="M4" s="5"/>
      <c r="N4" s="5"/>
      <c r="O4" s="5"/>
      <c r="P4" s="5"/>
      <c r="Q4" s="5"/>
      <c r="R4" s="5"/>
      <c r="S4" s="5"/>
      <c r="T4" s="5"/>
      <c r="U4" s="5"/>
      <c r="V4" s="5"/>
      <c r="W4" s="5"/>
      <c r="X4" s="5"/>
      <c r="Y4" s="5"/>
      <c r="Z4" s="5"/>
    </row>
    <row r="5" ht="13.5" customHeight="1">
      <c r="A5" s="5"/>
      <c r="B5" s="5"/>
      <c r="C5" s="5"/>
      <c r="D5" s="5"/>
      <c r="E5" s="5"/>
      <c r="F5" s="5"/>
      <c r="G5" s="5"/>
      <c r="H5" s="5"/>
      <c r="I5" s="5"/>
      <c r="J5" s="5"/>
      <c r="K5" s="5"/>
      <c r="L5" s="5"/>
      <c r="M5" s="5"/>
      <c r="N5" s="5"/>
      <c r="O5" s="5"/>
      <c r="P5" s="5"/>
      <c r="Q5" s="5"/>
      <c r="R5" s="5"/>
      <c r="S5" s="5"/>
      <c r="T5" s="5"/>
      <c r="U5" s="5"/>
      <c r="V5" s="5"/>
      <c r="W5" s="5"/>
      <c r="X5" s="5"/>
      <c r="Y5" s="5"/>
      <c r="Z5" s="5"/>
    </row>
    <row r="6" ht="13.5" customHeight="1">
      <c r="A6" s="5"/>
      <c r="B6" s="5"/>
      <c r="C6" s="5"/>
      <c r="D6" s="5"/>
      <c r="E6" s="5"/>
      <c r="F6" s="5"/>
      <c r="G6" s="5"/>
      <c r="H6" s="5"/>
      <c r="I6" s="5"/>
      <c r="J6" s="5"/>
      <c r="K6" s="5"/>
      <c r="L6" s="5"/>
      <c r="M6" s="5"/>
      <c r="N6" s="5"/>
      <c r="O6" s="5"/>
      <c r="P6" s="5"/>
      <c r="Q6" s="5"/>
      <c r="R6" s="5"/>
      <c r="S6" s="5"/>
      <c r="T6" s="5"/>
      <c r="U6" s="5"/>
      <c r="V6" s="5"/>
      <c r="W6" s="5"/>
      <c r="X6" s="5"/>
      <c r="Y6" s="5"/>
      <c r="Z6" s="5"/>
    </row>
    <row r="7" ht="13.5" customHeight="1">
      <c r="A7" s="5"/>
      <c r="B7" s="5"/>
      <c r="C7" s="5"/>
      <c r="D7" s="5"/>
      <c r="E7" s="5"/>
      <c r="F7" s="5"/>
      <c r="G7" s="5"/>
      <c r="H7" s="5"/>
      <c r="I7" s="5"/>
      <c r="J7" s="5"/>
      <c r="K7" s="5"/>
      <c r="L7" s="5"/>
      <c r="M7" s="5"/>
      <c r="N7" s="5"/>
      <c r="O7" s="5"/>
      <c r="P7" s="5"/>
      <c r="Q7" s="5"/>
      <c r="R7" s="5"/>
      <c r="S7" s="5"/>
      <c r="T7" s="5"/>
      <c r="U7" s="5"/>
      <c r="V7" s="5"/>
      <c r="W7" s="5"/>
      <c r="X7" s="5"/>
      <c r="Y7" s="5"/>
      <c r="Z7" s="5"/>
    </row>
    <row r="8" ht="13.5" customHeight="1">
      <c r="A8" s="5"/>
      <c r="B8" s="5"/>
      <c r="C8" s="5"/>
      <c r="D8" s="5"/>
      <c r="E8" s="5"/>
      <c r="F8" s="5"/>
      <c r="G8" s="5"/>
      <c r="H8" s="5"/>
      <c r="I8" s="5"/>
      <c r="J8" s="5"/>
      <c r="K8" s="5"/>
      <c r="L8" s="5"/>
      <c r="M8" s="5"/>
      <c r="N8" s="5"/>
      <c r="O8" s="5"/>
      <c r="P8" s="5"/>
      <c r="Q8" s="5"/>
      <c r="R8" s="5"/>
      <c r="S8" s="5"/>
      <c r="T8" s="5"/>
      <c r="U8" s="5"/>
      <c r="V8" s="5"/>
      <c r="W8" s="5"/>
      <c r="X8" s="5"/>
      <c r="Y8" s="5"/>
      <c r="Z8" s="5"/>
    </row>
    <row r="9" ht="13.5" customHeight="1">
      <c r="A9" s="5"/>
      <c r="B9" s="5"/>
      <c r="C9" s="5"/>
      <c r="D9" s="5"/>
      <c r="E9" s="5"/>
      <c r="F9" s="5"/>
      <c r="G9" s="5"/>
      <c r="H9" s="5"/>
      <c r="I9" s="5"/>
      <c r="J9" s="5"/>
      <c r="K9" s="5"/>
      <c r="L9" s="5"/>
      <c r="M9" s="5"/>
      <c r="N9" s="5"/>
      <c r="O9" s="5"/>
      <c r="P9" s="5"/>
      <c r="Q9" s="5"/>
      <c r="R9" s="5"/>
      <c r="S9" s="5"/>
      <c r="T9" s="5"/>
      <c r="U9" s="5"/>
      <c r="V9" s="5"/>
      <c r="W9" s="5"/>
      <c r="X9" s="5"/>
      <c r="Y9" s="5"/>
      <c r="Z9" s="5"/>
    </row>
    <row r="10" ht="13.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23" width="10.75"/>
    <col customWidth="1" min="24" max="26" width="10.75"/>
  </cols>
  <sheetData>
    <row r="1" ht="14.25" customHeight="1">
      <c r="A1" s="39"/>
      <c r="B1" s="40" t="s">
        <v>22</v>
      </c>
      <c r="C1" s="277"/>
      <c r="D1" s="40" t="s">
        <v>23</v>
      </c>
      <c r="E1" s="278"/>
      <c r="F1" s="279"/>
      <c r="G1" s="40" t="s">
        <v>24</v>
      </c>
      <c r="H1" s="280"/>
      <c r="I1" s="45" t="s">
        <v>25</v>
      </c>
      <c r="J1" s="281"/>
      <c r="K1" s="47"/>
      <c r="L1" s="48"/>
      <c r="M1" s="48"/>
      <c r="N1" s="48"/>
      <c r="O1" s="48"/>
      <c r="P1" s="48"/>
      <c r="Q1" s="48"/>
      <c r="R1" s="48"/>
      <c r="S1" s="48"/>
      <c r="T1" s="48"/>
      <c r="U1" s="48"/>
      <c r="V1" s="48"/>
      <c r="W1" s="48"/>
      <c r="X1" s="48"/>
      <c r="Y1" s="5"/>
      <c r="Z1" s="5"/>
    </row>
    <row r="2" ht="14.25" customHeight="1">
      <c r="A2" s="48"/>
      <c r="B2" s="282" t="s">
        <v>26</v>
      </c>
      <c r="C2" s="52"/>
      <c r="D2" s="52"/>
      <c r="E2" s="52"/>
      <c r="F2" s="52"/>
      <c r="G2" s="282" t="s">
        <v>27</v>
      </c>
      <c r="H2" s="52"/>
      <c r="I2" s="52"/>
      <c r="J2" s="53"/>
      <c r="K2" s="54" t="s">
        <v>28</v>
      </c>
      <c r="L2" s="48"/>
      <c r="M2" s="48"/>
      <c r="N2" s="48"/>
      <c r="O2" s="48"/>
      <c r="P2" s="48"/>
      <c r="Q2" s="48"/>
      <c r="R2" s="48"/>
      <c r="S2" s="48"/>
      <c r="T2" s="48"/>
      <c r="U2" s="48"/>
      <c r="V2" s="48"/>
      <c r="W2" s="48"/>
      <c r="X2" s="48"/>
      <c r="Y2" s="5"/>
      <c r="Z2" s="5"/>
    </row>
    <row r="3" ht="15.75" customHeight="1">
      <c r="A3" s="48"/>
      <c r="B3" s="283" t="s">
        <v>176</v>
      </c>
      <c r="C3" s="266"/>
      <c r="D3" s="266"/>
      <c r="E3" s="266"/>
      <c r="F3" s="266"/>
      <c r="G3" s="266"/>
      <c r="H3" s="266"/>
      <c r="I3" s="48"/>
      <c r="J3" s="48"/>
      <c r="K3" s="48"/>
      <c r="L3" s="48"/>
      <c r="M3" s="48"/>
      <c r="N3" s="48"/>
      <c r="O3" s="48"/>
      <c r="P3" s="48"/>
      <c r="Q3" s="48"/>
      <c r="R3" s="48"/>
      <c r="S3" s="48"/>
      <c r="T3" s="48"/>
      <c r="U3" s="48"/>
      <c r="V3" s="48"/>
      <c r="W3" s="48"/>
      <c r="X3" s="48"/>
      <c r="Y3" s="5"/>
      <c r="Z3" s="5"/>
    </row>
    <row r="4" ht="13.5" customHeight="1">
      <c r="A4" s="48"/>
      <c r="B4" s="266"/>
      <c r="C4" s="266"/>
      <c r="D4" s="266"/>
      <c r="E4" s="266"/>
      <c r="F4" s="266"/>
      <c r="G4" s="266"/>
      <c r="H4" s="266"/>
      <c r="I4" s="48"/>
      <c r="J4" s="48"/>
      <c r="K4" s="58" t="s">
        <v>30</v>
      </c>
      <c r="L4" s="59"/>
      <c r="M4" s="59"/>
      <c r="N4" s="59"/>
      <c r="O4" s="59"/>
      <c r="P4" s="59"/>
      <c r="Q4" s="59"/>
      <c r="R4" s="60"/>
      <c r="S4" s="48"/>
      <c r="T4" s="48"/>
      <c r="U4" s="48"/>
      <c r="V4" s="48"/>
      <c r="W4" s="48"/>
      <c r="X4" s="48"/>
      <c r="Y4" s="5"/>
      <c r="Z4" s="5"/>
    </row>
    <row r="5" ht="13.5" customHeight="1">
      <c r="A5" s="48"/>
      <c r="B5" s="266"/>
      <c r="C5" s="266"/>
      <c r="D5" s="266"/>
      <c r="E5" s="266"/>
      <c r="F5" s="266"/>
      <c r="G5" s="266"/>
      <c r="H5" s="266"/>
      <c r="I5" s="48"/>
      <c r="J5" s="61"/>
      <c r="K5" s="194"/>
      <c r="L5" s="287" t="s">
        <v>123</v>
      </c>
      <c r="M5" s="195"/>
      <c r="N5" s="195"/>
      <c r="O5" s="195"/>
      <c r="P5" s="287" t="s">
        <v>124</v>
      </c>
      <c r="Q5" s="288" t="s">
        <v>125</v>
      </c>
      <c r="R5" s="66"/>
      <c r="S5" s="48"/>
      <c r="T5" s="48"/>
      <c r="U5" s="48"/>
      <c r="V5" s="48"/>
      <c r="W5" s="48"/>
      <c r="X5" s="48"/>
      <c r="Y5" s="5"/>
      <c r="Z5" s="5"/>
    </row>
    <row r="6" ht="13.5" customHeight="1">
      <c r="A6" s="48"/>
      <c r="B6" s="266"/>
      <c r="C6" s="266"/>
      <c r="D6" s="266"/>
      <c r="E6" s="266"/>
      <c r="F6" s="266"/>
      <c r="G6" s="266"/>
      <c r="H6" s="266"/>
      <c r="I6" s="48"/>
      <c r="J6" s="61"/>
      <c r="K6" s="207" t="s">
        <v>126</v>
      </c>
      <c r="L6" s="60">
        <v>954000.0</v>
      </c>
      <c r="M6" s="84"/>
      <c r="N6" s="84"/>
      <c r="O6" s="244" t="s">
        <v>57</v>
      </c>
      <c r="P6" s="60">
        <v>294000.0</v>
      </c>
      <c r="Q6" s="289">
        <v>0.35</v>
      </c>
      <c r="R6" s="66"/>
      <c r="S6" s="48"/>
      <c r="T6" s="48"/>
      <c r="U6" s="48"/>
      <c r="V6" s="48"/>
      <c r="W6" s="48"/>
      <c r="X6" s="48"/>
      <c r="Y6" s="5"/>
      <c r="Z6" s="5"/>
    </row>
    <row r="7" ht="13.5" customHeight="1">
      <c r="A7" s="48"/>
      <c r="B7" s="266"/>
      <c r="C7" s="266"/>
      <c r="D7" s="266"/>
      <c r="E7" s="266"/>
      <c r="F7" s="266"/>
      <c r="G7" s="266"/>
      <c r="H7" s="266"/>
      <c r="I7" s="48"/>
      <c r="J7" s="61"/>
      <c r="K7" s="207" t="s">
        <v>127</v>
      </c>
      <c r="L7" s="60">
        <v>4550.0</v>
      </c>
      <c r="M7" s="84"/>
      <c r="N7" s="84"/>
      <c r="O7" s="244" t="s">
        <v>41</v>
      </c>
      <c r="P7" s="60">
        <v>546000.0</v>
      </c>
      <c r="Q7" s="289">
        <v>0.65</v>
      </c>
      <c r="R7" s="66"/>
      <c r="S7" s="48"/>
      <c r="T7" s="48"/>
      <c r="U7" s="48"/>
      <c r="V7" s="48"/>
      <c r="W7" s="48"/>
      <c r="X7" s="48"/>
      <c r="Y7" s="5"/>
      <c r="Z7" s="5"/>
    </row>
    <row r="8" ht="13.5" customHeight="1">
      <c r="A8" s="48"/>
      <c r="B8" s="266"/>
      <c r="C8" s="266"/>
      <c r="D8" s="266"/>
      <c r="E8" s="266"/>
      <c r="F8" s="266"/>
      <c r="G8" s="266"/>
      <c r="H8" s="266"/>
      <c r="I8" s="48"/>
      <c r="J8" s="61"/>
      <c r="K8" s="207" t="s">
        <v>128</v>
      </c>
      <c r="L8" s="60">
        <v>21450.0</v>
      </c>
      <c r="M8" s="84"/>
      <c r="N8" s="84"/>
      <c r="O8" s="291" t="s">
        <v>129</v>
      </c>
      <c r="P8" s="181">
        <f>P6+P7</f>
        <v>840000</v>
      </c>
      <c r="Q8" s="85"/>
      <c r="R8" s="415"/>
      <c r="S8" s="48"/>
      <c r="T8" s="48"/>
      <c r="U8" s="48"/>
      <c r="V8" s="48"/>
      <c r="W8" s="48"/>
      <c r="X8" s="48"/>
      <c r="Y8" s="5"/>
      <c r="Z8" s="5"/>
    </row>
    <row r="9" ht="14.25" customHeight="1">
      <c r="A9" s="48"/>
      <c r="B9" s="266"/>
      <c r="C9" s="266"/>
      <c r="D9" s="266"/>
      <c r="E9" s="266"/>
      <c r="F9" s="266"/>
      <c r="G9" s="266"/>
      <c r="H9" s="266"/>
      <c r="I9" s="48"/>
      <c r="J9" s="61"/>
      <c r="K9" s="234" t="s">
        <v>129</v>
      </c>
      <c r="L9" s="181">
        <f>SUM(L6:L8)</f>
        <v>980000</v>
      </c>
      <c r="M9" s="84"/>
      <c r="N9" s="84"/>
      <c r="O9" s="84"/>
      <c r="P9" s="84"/>
      <c r="Q9" s="85"/>
      <c r="R9" s="66"/>
      <c r="S9" s="48"/>
      <c r="T9" s="48"/>
      <c r="U9" s="48"/>
      <c r="V9" s="48"/>
      <c r="W9" s="48"/>
      <c r="X9" s="48"/>
      <c r="Y9" s="5"/>
      <c r="Z9" s="5"/>
    </row>
    <row r="10" ht="14.25" customHeight="1">
      <c r="A10" s="48"/>
      <c r="B10" s="266"/>
      <c r="C10" s="266"/>
      <c r="D10" s="266"/>
      <c r="E10" s="266"/>
      <c r="F10" s="266"/>
      <c r="G10" s="266"/>
      <c r="H10" s="266"/>
      <c r="I10" s="48"/>
      <c r="J10" s="61"/>
      <c r="K10" s="83"/>
      <c r="L10" s="84"/>
      <c r="M10" s="84"/>
      <c r="N10" s="60"/>
      <c r="O10" s="60"/>
      <c r="P10" s="84"/>
      <c r="Q10" s="85"/>
      <c r="R10" s="66"/>
      <c r="S10" s="48"/>
      <c r="T10" s="48"/>
      <c r="U10" s="48"/>
      <c r="V10" s="48"/>
      <c r="W10" s="48"/>
      <c r="X10" s="48"/>
      <c r="Y10" s="5"/>
      <c r="Z10" s="5"/>
    </row>
    <row r="11" ht="15.75" customHeight="1">
      <c r="A11" s="48"/>
      <c r="B11" s="283" t="s">
        <v>177</v>
      </c>
      <c r="C11" s="266"/>
      <c r="D11" s="266"/>
      <c r="E11" s="266"/>
      <c r="F11" s="266"/>
      <c r="G11" s="266"/>
      <c r="H11" s="266"/>
      <c r="I11" s="48"/>
      <c r="J11" s="61"/>
      <c r="K11" s="83"/>
      <c r="L11" s="244" t="s">
        <v>47</v>
      </c>
      <c r="M11" s="84"/>
      <c r="N11" s="84"/>
      <c r="O11" s="84"/>
      <c r="P11" s="84"/>
      <c r="Q11" s="85"/>
      <c r="R11" s="66"/>
      <c r="S11" s="48"/>
      <c r="T11" s="48"/>
      <c r="U11" s="48"/>
      <c r="V11" s="48"/>
      <c r="W11" s="48"/>
      <c r="X11" s="48"/>
      <c r="Y11" s="5"/>
      <c r="Z11" s="5"/>
    </row>
    <row r="12" ht="14.25" customHeight="1">
      <c r="A12" s="48"/>
      <c r="B12" s="266"/>
      <c r="C12" s="266"/>
      <c r="D12" s="266"/>
      <c r="E12" s="266"/>
      <c r="F12" s="266"/>
      <c r="G12" s="266"/>
      <c r="H12" s="266"/>
      <c r="I12" s="48"/>
      <c r="J12" s="61"/>
      <c r="K12" s="256" t="s">
        <v>55</v>
      </c>
      <c r="L12" s="292">
        <v>25.0</v>
      </c>
      <c r="M12" s="60">
        <v>35000.0</v>
      </c>
      <c r="N12" s="84"/>
      <c r="O12" s="84"/>
      <c r="P12" s="84"/>
      <c r="Q12" s="85"/>
      <c r="R12" s="66"/>
      <c r="S12" s="48"/>
      <c r="T12" s="48"/>
      <c r="U12" s="48"/>
      <c r="V12" s="48"/>
      <c r="W12" s="48"/>
      <c r="X12" s="48"/>
      <c r="Y12" s="5"/>
      <c r="Z12" s="5"/>
    </row>
    <row r="13" ht="14.25" customHeight="1">
      <c r="A13" s="48"/>
      <c r="B13" s="266"/>
      <c r="C13" s="266"/>
      <c r="D13" s="266"/>
      <c r="E13" s="266"/>
      <c r="F13" s="266"/>
      <c r="G13" s="266"/>
      <c r="H13" s="266"/>
      <c r="I13" s="48"/>
      <c r="J13" s="61"/>
      <c r="K13" s="256" t="s">
        <v>57</v>
      </c>
      <c r="L13" s="401">
        <v>120000.0</v>
      </c>
      <c r="M13" s="84"/>
      <c r="N13" s="84"/>
      <c r="O13" s="84"/>
      <c r="P13" s="84"/>
      <c r="Q13" s="85"/>
      <c r="R13" s="66"/>
      <c r="S13" s="48"/>
      <c r="T13" s="48"/>
      <c r="U13" s="48"/>
      <c r="V13" s="48"/>
      <c r="W13" s="48"/>
      <c r="X13" s="48"/>
      <c r="Y13" s="5"/>
      <c r="Z13" s="5"/>
    </row>
    <row r="14" ht="14.25" customHeight="1">
      <c r="A14" s="48"/>
      <c r="B14" s="266"/>
      <c r="C14" s="266"/>
      <c r="D14" s="266"/>
      <c r="E14" s="266"/>
      <c r="F14" s="266"/>
      <c r="G14" s="266"/>
      <c r="H14" s="266"/>
      <c r="I14" s="48"/>
      <c r="J14" s="61"/>
      <c r="K14" s="256" t="s">
        <v>41</v>
      </c>
      <c r="L14" s="76">
        <v>0.03</v>
      </c>
      <c r="M14" s="84"/>
      <c r="N14" s="84"/>
      <c r="O14" s="84"/>
      <c r="P14" s="84"/>
      <c r="Q14" s="85"/>
      <c r="R14" s="66"/>
      <c r="S14" s="48"/>
      <c r="T14" s="48"/>
      <c r="U14" s="48"/>
      <c r="V14" s="48"/>
      <c r="W14" s="48"/>
      <c r="X14" s="48"/>
      <c r="Y14" s="5"/>
      <c r="Z14" s="5"/>
    </row>
    <row r="15" ht="14.25" customHeight="1">
      <c r="A15" s="48"/>
      <c r="B15" s="266"/>
      <c r="C15" s="266"/>
      <c r="D15" s="266"/>
      <c r="E15" s="266"/>
      <c r="F15" s="266"/>
      <c r="G15" s="266"/>
      <c r="H15" s="266"/>
      <c r="I15" s="48"/>
      <c r="J15" s="61"/>
      <c r="K15" s="83"/>
      <c r="L15" s="84"/>
      <c r="M15" s="84"/>
      <c r="N15" s="84"/>
      <c r="O15" s="244" t="s">
        <v>130</v>
      </c>
      <c r="P15" s="84"/>
      <c r="Q15" s="163">
        <v>20000.0</v>
      </c>
      <c r="R15" s="66"/>
      <c r="S15" s="48"/>
      <c r="T15" s="48"/>
      <c r="U15" s="48"/>
      <c r="V15" s="48"/>
      <c r="W15" s="48"/>
      <c r="X15" s="48"/>
      <c r="Y15" s="5"/>
      <c r="Z15" s="5"/>
    </row>
    <row r="16" ht="14.25" customHeight="1">
      <c r="A16" s="48"/>
      <c r="B16" s="266"/>
      <c r="C16" s="266"/>
      <c r="D16" s="266"/>
      <c r="E16" s="266"/>
      <c r="F16" s="266"/>
      <c r="G16" s="266"/>
      <c r="H16" s="266"/>
      <c r="I16" s="48"/>
      <c r="J16" s="61"/>
      <c r="K16" s="83"/>
      <c r="L16" s="84"/>
      <c r="M16" s="84"/>
      <c r="N16" s="84"/>
      <c r="O16" s="84"/>
      <c r="P16" s="84"/>
      <c r="Q16" s="163">
        <v>30000.0</v>
      </c>
      <c r="R16" s="66"/>
      <c r="S16" s="48"/>
      <c r="T16" s="48"/>
      <c r="U16" s="48"/>
      <c r="V16" s="48"/>
      <c r="W16" s="48"/>
      <c r="X16" s="48"/>
      <c r="Y16" s="5"/>
      <c r="Z16" s="5"/>
    </row>
    <row r="17" ht="15.75" customHeight="1">
      <c r="A17" s="48"/>
      <c r="B17" s="283" t="s">
        <v>178</v>
      </c>
      <c r="C17" s="266"/>
      <c r="D17" s="266"/>
      <c r="E17" s="266"/>
      <c r="F17" s="266"/>
      <c r="G17" s="266"/>
      <c r="H17" s="266"/>
      <c r="I17" s="48"/>
      <c r="J17" s="61"/>
      <c r="K17" s="83"/>
      <c r="L17" s="98"/>
      <c r="M17" s="98"/>
      <c r="N17" s="84"/>
      <c r="O17" s="84"/>
      <c r="P17" s="84"/>
      <c r="Q17" s="85"/>
      <c r="R17" s="66"/>
      <c r="S17" s="48"/>
      <c r="T17" s="48"/>
      <c r="U17" s="48"/>
      <c r="V17" s="48"/>
      <c r="W17" s="48"/>
      <c r="X17" s="48"/>
      <c r="Y17" s="5"/>
      <c r="Z17" s="5"/>
    </row>
    <row r="18" ht="15.75" customHeight="1">
      <c r="A18" s="48"/>
      <c r="B18" s="266"/>
      <c r="C18" s="266"/>
      <c r="D18" s="266"/>
      <c r="E18" s="266"/>
      <c r="F18" s="266"/>
      <c r="G18" s="266"/>
      <c r="H18" s="266"/>
      <c r="I18" s="48"/>
      <c r="J18" s="61"/>
      <c r="K18" s="80"/>
      <c r="L18" s="81" t="s">
        <v>54</v>
      </c>
      <c r="M18" s="82" t="s">
        <v>47</v>
      </c>
      <c r="N18" s="83"/>
      <c r="O18" s="84"/>
      <c r="P18" s="84"/>
      <c r="Q18" s="85"/>
      <c r="R18" s="66"/>
      <c r="S18" s="48"/>
      <c r="T18" s="90"/>
      <c r="U18" s="48"/>
      <c r="V18" s="48"/>
      <c r="W18" s="48"/>
      <c r="X18" s="48"/>
      <c r="Y18" s="5"/>
      <c r="Z18" s="5"/>
    </row>
    <row r="19" ht="13.5" customHeight="1">
      <c r="A19" s="48"/>
      <c r="B19" s="266"/>
      <c r="C19" s="266"/>
      <c r="D19" s="266"/>
      <c r="E19" s="266"/>
      <c r="F19" s="266"/>
      <c r="G19" s="266"/>
      <c r="H19" s="266"/>
      <c r="I19" s="48"/>
      <c r="J19" s="61"/>
      <c r="K19" s="87" t="s">
        <v>55</v>
      </c>
      <c r="L19" s="88">
        <v>327000.0</v>
      </c>
      <c r="M19" s="89">
        <f>L19-((L19-M12)/L12*V24)</f>
        <v>233560</v>
      </c>
      <c r="N19" s="83"/>
      <c r="O19" s="84"/>
      <c r="P19" s="84"/>
      <c r="Q19" s="85"/>
      <c r="R19" s="66"/>
      <c r="S19" s="48"/>
      <c r="T19" s="90"/>
      <c r="U19" s="48"/>
      <c r="V19" s="48"/>
      <c r="W19" s="48"/>
      <c r="X19" s="48"/>
      <c r="Y19" s="5"/>
      <c r="Z19" s="5"/>
    </row>
    <row r="20" ht="15.75" customHeight="1">
      <c r="A20" s="48"/>
      <c r="B20" s="283" t="s">
        <v>179</v>
      </c>
      <c r="C20" s="266"/>
      <c r="D20" s="266"/>
      <c r="E20" s="266"/>
      <c r="F20" s="266"/>
      <c r="G20" s="266"/>
      <c r="H20" s="266"/>
      <c r="I20" s="48"/>
      <c r="J20" s="61"/>
      <c r="K20" s="91" t="s">
        <v>57</v>
      </c>
      <c r="L20" s="92">
        <f>L9*Q6</f>
        <v>343000</v>
      </c>
      <c r="M20" s="93">
        <f>L13</f>
        <v>120000</v>
      </c>
      <c r="N20" s="83"/>
      <c r="O20" s="84"/>
      <c r="P20" s="84"/>
      <c r="Q20" s="85"/>
      <c r="R20" s="66"/>
      <c r="S20" s="48"/>
      <c r="T20" s="48"/>
      <c r="U20" s="48"/>
      <c r="V20" s="48"/>
      <c r="W20" s="48"/>
      <c r="X20" s="48"/>
      <c r="Y20" s="5"/>
      <c r="Z20" s="5"/>
    </row>
    <row r="21" ht="16.5" customHeight="1">
      <c r="A21" s="48"/>
      <c r="B21" s="266"/>
      <c r="C21" s="266"/>
      <c r="D21" s="266"/>
      <c r="E21" s="266"/>
      <c r="F21" s="266"/>
      <c r="G21" s="266"/>
      <c r="H21" s="266"/>
      <c r="I21" s="48"/>
      <c r="J21" s="61"/>
      <c r="K21" s="94" t="s">
        <v>41</v>
      </c>
      <c r="L21" s="95">
        <f>L9*Q7</f>
        <v>637000</v>
      </c>
      <c r="M21" s="96">
        <f>L21*(1+L14)^V24</f>
        <v>806932.5418</v>
      </c>
      <c r="N21" s="97"/>
      <c r="O21" s="98"/>
      <c r="P21" s="98"/>
      <c r="Q21" s="99"/>
      <c r="R21" s="66"/>
      <c r="S21" s="48"/>
      <c r="T21" s="48"/>
      <c r="U21" s="48"/>
      <c r="V21" s="48"/>
      <c r="W21" s="48"/>
      <c r="X21" s="48"/>
      <c r="Y21" s="5"/>
      <c r="Z21" s="5"/>
    </row>
    <row r="22" ht="14.25" customHeight="1">
      <c r="A22" s="48"/>
      <c r="B22" s="266"/>
      <c r="C22" s="266"/>
      <c r="D22" s="266"/>
      <c r="E22" s="266"/>
      <c r="F22" s="266"/>
      <c r="G22" s="266"/>
      <c r="H22" s="266"/>
      <c r="I22" s="48"/>
      <c r="J22" s="48"/>
      <c r="K22" s="100"/>
      <c r="L22" s="100"/>
      <c r="M22" s="100"/>
      <c r="N22" s="100"/>
      <c r="O22" s="100"/>
      <c r="P22" s="100"/>
      <c r="Q22" s="100"/>
      <c r="R22" s="48"/>
      <c r="S22" s="48"/>
      <c r="T22" s="48"/>
      <c r="U22" s="48"/>
      <c r="V22" s="48"/>
      <c r="W22" s="48"/>
      <c r="X22" s="48"/>
      <c r="Y22" s="5"/>
      <c r="Z22" s="5"/>
    </row>
    <row r="23" ht="16.5" customHeight="1">
      <c r="A23" s="48"/>
      <c r="B23" s="266"/>
      <c r="C23" s="266"/>
      <c r="D23" s="266"/>
      <c r="E23" s="266"/>
      <c r="F23" s="266"/>
      <c r="G23" s="266"/>
      <c r="H23" s="266"/>
      <c r="I23" s="48"/>
      <c r="J23" s="48"/>
      <c r="K23" s="58" t="s">
        <v>58</v>
      </c>
      <c r="L23" s="101"/>
      <c r="M23" s="101"/>
      <c r="N23" s="98"/>
      <c r="O23" s="102"/>
      <c r="P23" s="98"/>
      <c r="Q23" s="98"/>
      <c r="R23" s="98"/>
      <c r="S23" s="98"/>
      <c r="T23" s="98"/>
      <c r="U23" s="98"/>
      <c r="V23" s="59"/>
      <c r="W23" s="48"/>
      <c r="X23" s="48"/>
      <c r="Y23" s="5"/>
      <c r="Z23" s="5"/>
    </row>
    <row r="24" ht="15.75" customHeight="1">
      <c r="A24" s="48"/>
      <c r="B24" s="283" t="s">
        <v>180</v>
      </c>
      <c r="C24" s="266"/>
      <c r="D24" s="266"/>
      <c r="E24" s="266"/>
      <c r="F24" s="266"/>
      <c r="G24" s="266"/>
      <c r="H24" s="266"/>
      <c r="I24" s="48"/>
      <c r="J24" s="61"/>
      <c r="K24" s="284" t="s">
        <v>60</v>
      </c>
      <c r="L24" s="416"/>
      <c r="M24" s="105" t="s">
        <v>61</v>
      </c>
      <c r="N24" s="106">
        <v>0.0</v>
      </c>
      <c r="O24" s="107">
        <v>1.0</v>
      </c>
      <c r="P24" s="107">
        <v>2.0</v>
      </c>
      <c r="Q24" s="107">
        <v>3.0</v>
      </c>
      <c r="R24" s="107">
        <v>4.0</v>
      </c>
      <c r="S24" s="107">
        <v>5.0</v>
      </c>
      <c r="T24" s="107">
        <v>6.0</v>
      </c>
      <c r="U24" s="107">
        <v>7.0</v>
      </c>
      <c r="V24" s="108">
        <v>8.0</v>
      </c>
      <c r="W24" s="109"/>
      <c r="X24" s="86"/>
      <c r="Y24" s="5"/>
      <c r="Z24" s="5"/>
    </row>
    <row r="25" ht="13.5" customHeight="1">
      <c r="A25" s="48"/>
      <c r="B25" s="266"/>
      <c r="C25" s="266"/>
      <c r="D25" s="266"/>
      <c r="E25" s="266"/>
      <c r="F25" s="266"/>
      <c r="G25" s="266"/>
      <c r="H25" s="266"/>
      <c r="I25" s="48"/>
      <c r="J25" s="61"/>
      <c r="K25" s="284" t="s">
        <v>62</v>
      </c>
      <c r="L25" s="416"/>
      <c r="M25" s="110"/>
      <c r="N25" s="111"/>
      <c r="O25" s="112">
        <f t="shared" ref="O25:R25" si="1">$C$39</f>
        <v>15300</v>
      </c>
      <c r="P25" s="112">
        <f t="shared" si="1"/>
        <v>15300</v>
      </c>
      <c r="Q25" s="112">
        <f t="shared" si="1"/>
        <v>15300</v>
      </c>
      <c r="R25" s="112">
        <f t="shared" si="1"/>
        <v>15300</v>
      </c>
      <c r="S25" s="112">
        <f t="shared" ref="S25:V25" si="2">$E$39</f>
        <v>26000</v>
      </c>
      <c r="T25" s="112">
        <f t="shared" si="2"/>
        <v>26000</v>
      </c>
      <c r="U25" s="112">
        <f t="shared" si="2"/>
        <v>26000</v>
      </c>
      <c r="V25" s="113">
        <f t="shared" si="2"/>
        <v>26000</v>
      </c>
      <c r="W25" s="114"/>
      <c r="X25" s="115"/>
      <c r="Y25" s="5"/>
      <c r="Z25" s="5"/>
    </row>
    <row r="26" ht="13.5" customHeight="1">
      <c r="A26" s="48"/>
      <c r="B26" s="266"/>
      <c r="C26" s="266"/>
      <c r="D26" s="266"/>
      <c r="E26" s="266"/>
      <c r="F26" s="266"/>
      <c r="G26" s="266"/>
      <c r="H26" s="266"/>
      <c r="I26" s="48"/>
      <c r="J26" s="61"/>
      <c r="K26" s="253" t="s">
        <v>132</v>
      </c>
      <c r="L26" s="417"/>
      <c r="M26" s="310"/>
      <c r="N26" s="418"/>
      <c r="O26" s="419">
        <v>123000.0</v>
      </c>
      <c r="P26" s="420">
        <f>O26</f>
        <v>123000</v>
      </c>
      <c r="Q26" s="120">
        <f>O26</f>
        <v>123000</v>
      </c>
      <c r="R26" s="421">
        <f>O26</f>
        <v>123000</v>
      </c>
      <c r="S26" s="419">
        <v>242000.0</v>
      </c>
      <c r="T26" s="420">
        <f>S26</f>
        <v>242000</v>
      </c>
      <c r="U26" s="120">
        <f>S26</f>
        <v>242000</v>
      </c>
      <c r="V26" s="311">
        <f>S26</f>
        <v>242000</v>
      </c>
      <c r="W26" s="121"/>
      <c r="X26" s="122"/>
      <c r="Y26" s="5"/>
      <c r="Z26" s="5"/>
    </row>
    <row r="27" ht="13.5" customHeight="1">
      <c r="A27" s="48"/>
      <c r="B27" s="266"/>
      <c r="C27" s="266"/>
      <c r="D27" s="266"/>
      <c r="E27" s="266"/>
      <c r="F27" s="266"/>
      <c r="G27" s="266"/>
      <c r="H27" s="266"/>
      <c r="I27" s="48"/>
      <c r="J27" s="61"/>
      <c r="K27" s="256" t="s">
        <v>133</v>
      </c>
      <c r="L27" s="422"/>
      <c r="M27" s="313"/>
      <c r="N27" s="423"/>
      <c r="O27" s="424">
        <v>25.0</v>
      </c>
      <c r="P27" s="425">
        <f t="shared" ref="P27:V27" si="3">$O$27</f>
        <v>25</v>
      </c>
      <c r="Q27" s="122">
        <f t="shared" si="3"/>
        <v>25</v>
      </c>
      <c r="R27" s="122">
        <f t="shared" si="3"/>
        <v>25</v>
      </c>
      <c r="S27" s="426">
        <f t="shared" si="3"/>
        <v>25</v>
      </c>
      <c r="T27" s="122">
        <f t="shared" si="3"/>
        <v>25</v>
      </c>
      <c r="U27" s="122">
        <f t="shared" si="3"/>
        <v>25</v>
      </c>
      <c r="V27" s="314">
        <f t="shared" si="3"/>
        <v>25</v>
      </c>
      <c r="W27" s="126"/>
      <c r="X27" s="60"/>
      <c r="Y27" s="5"/>
      <c r="Z27" s="5"/>
    </row>
    <row r="28" ht="16.5" customHeight="1">
      <c r="A28" s="48"/>
      <c r="B28" s="266"/>
      <c r="C28" s="266"/>
      <c r="D28" s="266"/>
      <c r="E28" s="266"/>
      <c r="F28" s="266"/>
      <c r="G28" s="266"/>
      <c r="H28" s="266"/>
      <c r="I28" s="48"/>
      <c r="J28" s="61"/>
      <c r="K28" s="315" t="s">
        <v>134</v>
      </c>
      <c r="L28" s="427"/>
      <c r="M28" s="317"/>
      <c r="N28" s="130"/>
      <c r="O28" s="428">
        <f t="shared" ref="O28:V28" si="4">O27*O25</f>
        <v>382500</v>
      </c>
      <c r="P28" s="131">
        <f t="shared" si="4"/>
        <v>382500</v>
      </c>
      <c r="Q28" s="131">
        <f t="shared" si="4"/>
        <v>382500</v>
      </c>
      <c r="R28" s="131">
        <f t="shared" si="4"/>
        <v>382500</v>
      </c>
      <c r="S28" s="131">
        <f t="shared" si="4"/>
        <v>650000</v>
      </c>
      <c r="T28" s="131">
        <f t="shared" si="4"/>
        <v>650000</v>
      </c>
      <c r="U28" s="131">
        <f t="shared" si="4"/>
        <v>650000</v>
      </c>
      <c r="V28" s="132">
        <f t="shared" si="4"/>
        <v>650000</v>
      </c>
      <c r="W28" s="126"/>
      <c r="X28" s="60"/>
      <c r="Y28" s="5"/>
      <c r="Z28" s="5"/>
    </row>
    <row r="29" ht="15.75" customHeight="1">
      <c r="A29" s="48"/>
      <c r="B29" s="283" t="s">
        <v>181</v>
      </c>
      <c r="C29" s="266"/>
      <c r="D29" s="266"/>
      <c r="E29" s="266"/>
      <c r="F29" s="266"/>
      <c r="G29" s="266"/>
      <c r="H29" s="266"/>
      <c r="I29" s="48"/>
      <c r="J29" s="61"/>
      <c r="K29" s="284" t="s">
        <v>64</v>
      </c>
      <c r="L29" s="285"/>
      <c r="M29" s="286"/>
      <c r="N29" s="135"/>
      <c r="O29" s="136">
        <f t="shared" ref="O29:V29" si="5">O28-O26</f>
        <v>259500</v>
      </c>
      <c r="P29" s="136">
        <f t="shared" si="5"/>
        <v>259500</v>
      </c>
      <c r="Q29" s="136">
        <f t="shared" si="5"/>
        <v>259500</v>
      </c>
      <c r="R29" s="136">
        <f t="shared" si="5"/>
        <v>259500</v>
      </c>
      <c r="S29" s="136">
        <f t="shared" si="5"/>
        <v>408000</v>
      </c>
      <c r="T29" s="136">
        <f t="shared" si="5"/>
        <v>408000</v>
      </c>
      <c r="U29" s="136">
        <f t="shared" si="5"/>
        <v>408000</v>
      </c>
      <c r="V29" s="429">
        <f t="shared" si="5"/>
        <v>408000</v>
      </c>
      <c r="W29" s="126"/>
      <c r="X29" s="60"/>
      <c r="Y29" s="5"/>
      <c r="Z29" s="5"/>
    </row>
    <row r="30" ht="13.5" customHeight="1">
      <c r="A30" s="48"/>
      <c r="B30" s="266"/>
      <c r="C30" s="266"/>
      <c r="D30" s="266"/>
      <c r="E30" s="266"/>
      <c r="F30" s="266"/>
      <c r="G30" s="266"/>
      <c r="H30" s="266"/>
      <c r="I30" s="48"/>
      <c r="J30" s="61"/>
      <c r="K30" s="253" t="s">
        <v>65</v>
      </c>
      <c r="L30" s="417"/>
      <c r="M30" s="118"/>
      <c r="N30" s="430"/>
      <c r="O30" s="139"/>
      <c r="P30" s="139"/>
      <c r="Q30" s="139"/>
      <c r="R30" s="139"/>
      <c r="S30" s="139"/>
      <c r="T30" s="139"/>
      <c r="U30" s="139"/>
      <c r="V30" s="140"/>
      <c r="W30" s="83"/>
      <c r="X30" s="84"/>
      <c r="Y30" s="5"/>
      <c r="Z30" s="5"/>
    </row>
    <row r="31" ht="13.5" customHeight="1">
      <c r="A31" s="48"/>
      <c r="B31" s="266"/>
      <c r="C31" s="266"/>
      <c r="D31" s="266"/>
      <c r="E31" s="266"/>
      <c r="F31" s="266"/>
      <c r="G31" s="266"/>
      <c r="H31" s="266"/>
      <c r="I31" s="48"/>
      <c r="J31" s="61"/>
      <c r="K31" s="256" t="s">
        <v>55</v>
      </c>
      <c r="L31" s="422"/>
      <c r="M31" s="142"/>
      <c r="N31" s="431">
        <f t="shared" ref="N31:N33" si="6">-L19</f>
        <v>-327000</v>
      </c>
      <c r="O31" s="432"/>
      <c r="P31" s="60"/>
      <c r="Q31" s="60"/>
      <c r="R31" s="60"/>
      <c r="S31" s="60"/>
      <c r="T31" s="60"/>
      <c r="U31" s="60"/>
      <c r="V31" s="85"/>
      <c r="W31" s="83"/>
      <c r="X31" s="84"/>
      <c r="Y31" s="5"/>
      <c r="Z31" s="5"/>
    </row>
    <row r="32" ht="13.5" customHeight="1">
      <c r="A32" s="48"/>
      <c r="B32" s="266"/>
      <c r="C32" s="266"/>
      <c r="D32" s="266"/>
      <c r="E32" s="266"/>
      <c r="F32" s="266"/>
      <c r="G32" s="266"/>
      <c r="H32" s="266"/>
      <c r="I32" s="48"/>
      <c r="J32" s="61"/>
      <c r="K32" s="256" t="s">
        <v>57</v>
      </c>
      <c r="L32" s="422"/>
      <c r="M32" s="142"/>
      <c r="N32" s="431">
        <f t="shared" si="6"/>
        <v>-343000</v>
      </c>
      <c r="O32" s="432"/>
      <c r="P32" s="60"/>
      <c r="Q32" s="60"/>
      <c r="R32" s="60"/>
      <c r="S32" s="60"/>
      <c r="T32" s="60"/>
      <c r="U32" s="60"/>
      <c r="V32" s="85"/>
      <c r="W32" s="83"/>
      <c r="X32" s="84"/>
      <c r="Y32" s="5"/>
      <c r="Z32" s="5"/>
    </row>
    <row r="33" ht="13.5" customHeight="1">
      <c r="A33" s="48"/>
      <c r="B33" s="266"/>
      <c r="C33" s="266"/>
      <c r="D33" s="266"/>
      <c r="E33" s="266"/>
      <c r="F33" s="266"/>
      <c r="G33" s="266"/>
      <c r="H33" s="266"/>
      <c r="I33" s="48"/>
      <c r="J33" s="61"/>
      <c r="K33" s="256" t="s">
        <v>41</v>
      </c>
      <c r="L33" s="422"/>
      <c r="M33" s="142"/>
      <c r="N33" s="431">
        <f t="shared" si="6"/>
        <v>-637000</v>
      </c>
      <c r="O33" s="432"/>
      <c r="P33" s="60"/>
      <c r="Q33" s="60"/>
      <c r="R33" s="433"/>
      <c r="S33" s="60"/>
      <c r="T33" s="60"/>
      <c r="U33" s="60"/>
      <c r="V33" s="85"/>
      <c r="W33" s="83"/>
      <c r="X33" s="84"/>
      <c r="Y33" s="5"/>
      <c r="Z33" s="5"/>
    </row>
    <row r="34" ht="16.5" customHeight="1">
      <c r="A34" s="48"/>
      <c r="B34" s="48"/>
      <c r="C34" s="59"/>
      <c r="D34" s="59"/>
      <c r="E34" s="59"/>
      <c r="F34" s="59"/>
      <c r="G34" s="48"/>
      <c r="H34" s="48"/>
      <c r="I34" s="48"/>
      <c r="J34" s="61"/>
      <c r="K34" s="256" t="s">
        <v>135</v>
      </c>
      <c r="L34" s="422"/>
      <c r="M34" s="142"/>
      <c r="N34" s="431">
        <f>-Q15</f>
        <v>-20000</v>
      </c>
      <c r="O34" s="432"/>
      <c r="P34" s="60"/>
      <c r="Q34" s="434"/>
      <c r="R34" s="424">
        <f>-Q16</f>
        <v>-30000</v>
      </c>
      <c r="S34" s="432"/>
      <c r="T34" s="60"/>
      <c r="U34" s="60"/>
      <c r="V34" s="85"/>
      <c r="W34" s="83"/>
      <c r="X34" s="84"/>
      <c r="Y34" s="5"/>
      <c r="Z34" s="5"/>
    </row>
    <row r="35" ht="16.5" customHeight="1">
      <c r="A35" s="48"/>
      <c r="B35" s="61"/>
      <c r="C35" s="325" t="s">
        <v>182</v>
      </c>
      <c r="D35" s="326"/>
      <c r="E35" s="325" t="s">
        <v>183</v>
      </c>
      <c r="F35" s="326"/>
      <c r="G35" s="66"/>
      <c r="H35" s="48"/>
      <c r="I35" s="48"/>
      <c r="J35" s="61"/>
      <c r="K35" s="327"/>
      <c r="L35" s="328"/>
      <c r="M35" s="147"/>
      <c r="N35" s="435"/>
      <c r="O35" s="149"/>
      <c r="P35" s="149"/>
      <c r="Q35" s="149"/>
      <c r="R35" s="436"/>
      <c r="S35" s="150"/>
      <c r="T35" s="149"/>
      <c r="U35" s="150"/>
      <c r="V35" s="151"/>
      <c r="W35" s="83"/>
      <c r="X35" s="84"/>
      <c r="Y35" s="5"/>
      <c r="Z35" s="5"/>
    </row>
    <row r="36" ht="15.75" customHeight="1">
      <c r="A36" s="48"/>
      <c r="B36" s="61"/>
      <c r="C36" s="331" t="s">
        <v>72</v>
      </c>
      <c r="D36" s="332" t="s">
        <v>136</v>
      </c>
      <c r="E36" s="331" t="s">
        <v>72</v>
      </c>
      <c r="F36" s="332" t="s">
        <v>136</v>
      </c>
      <c r="G36" s="66"/>
      <c r="H36" s="48"/>
      <c r="I36" s="48"/>
      <c r="J36" s="61"/>
      <c r="K36" s="333" t="s">
        <v>73</v>
      </c>
      <c r="L36" s="437"/>
      <c r="M36" s="156"/>
      <c r="N36" s="157"/>
      <c r="O36" s="158"/>
      <c r="P36" s="158"/>
      <c r="Q36" s="158"/>
      <c r="R36" s="158"/>
      <c r="S36" s="158"/>
      <c r="T36" s="158"/>
      <c r="U36" s="158"/>
      <c r="V36" s="438"/>
      <c r="W36" s="83"/>
      <c r="X36" s="84"/>
      <c r="Y36" s="5"/>
      <c r="Z36" s="5"/>
    </row>
    <row r="37" ht="13.5" customHeight="1">
      <c r="A37" s="48"/>
      <c r="B37" s="61"/>
      <c r="C37" s="339"/>
      <c r="D37" s="340"/>
      <c r="E37" s="339"/>
      <c r="F37" s="340"/>
      <c r="G37" s="66"/>
      <c r="H37" s="48"/>
      <c r="I37" s="48"/>
      <c r="J37" s="61"/>
      <c r="K37" s="256" t="s">
        <v>137</v>
      </c>
      <c r="L37" s="422"/>
      <c r="M37" s="162"/>
      <c r="N37" s="121"/>
      <c r="O37" s="60"/>
      <c r="P37" s="60"/>
      <c r="Q37" s="60"/>
      <c r="R37" s="60"/>
      <c r="S37" s="60"/>
      <c r="T37" s="60"/>
      <c r="U37" s="60"/>
      <c r="V37" s="163">
        <f t="shared" ref="V37:V39" si="7">M19</f>
        <v>233560</v>
      </c>
      <c r="W37" s="83"/>
      <c r="X37" s="84"/>
      <c r="Y37" s="5"/>
      <c r="Z37" s="5"/>
    </row>
    <row r="38" ht="16.5" customHeight="1">
      <c r="A38" s="48"/>
      <c r="B38" s="61"/>
      <c r="C38" s="341"/>
      <c r="D38" s="342"/>
      <c r="E38" s="341"/>
      <c r="F38" s="342"/>
      <c r="G38" s="66"/>
      <c r="H38" s="48"/>
      <c r="I38" s="48"/>
      <c r="J38" s="61"/>
      <c r="K38" s="256" t="s">
        <v>138</v>
      </c>
      <c r="L38" s="422"/>
      <c r="M38" s="162"/>
      <c r="N38" s="121"/>
      <c r="O38" s="60"/>
      <c r="P38" s="60"/>
      <c r="Q38" s="60"/>
      <c r="R38" s="60"/>
      <c r="S38" s="60"/>
      <c r="T38" s="60"/>
      <c r="U38" s="60"/>
      <c r="V38" s="163">
        <f t="shared" si="7"/>
        <v>120000</v>
      </c>
      <c r="W38" s="83"/>
      <c r="X38" s="84"/>
      <c r="Y38" s="5"/>
      <c r="Z38" s="5"/>
    </row>
    <row r="39" ht="16.5" customHeight="1">
      <c r="A39" s="48"/>
      <c r="B39" s="61"/>
      <c r="C39" s="343">
        <v>15300.0</v>
      </c>
      <c r="D39" s="344">
        <v>1.0</v>
      </c>
      <c r="E39" s="343">
        <v>26000.0</v>
      </c>
      <c r="F39" s="344">
        <v>1.0</v>
      </c>
      <c r="G39" s="66"/>
      <c r="H39" s="48"/>
      <c r="I39" s="48"/>
      <c r="J39" s="61"/>
      <c r="K39" s="256" t="s">
        <v>139</v>
      </c>
      <c r="L39" s="422"/>
      <c r="M39" s="162"/>
      <c r="N39" s="121"/>
      <c r="O39" s="60"/>
      <c r="P39" s="60"/>
      <c r="Q39" s="60"/>
      <c r="R39" s="60"/>
      <c r="S39" s="60"/>
      <c r="T39" s="60"/>
      <c r="U39" s="60"/>
      <c r="V39" s="163">
        <f t="shared" si="7"/>
        <v>806932.5418</v>
      </c>
      <c r="W39" s="83"/>
      <c r="X39" s="84"/>
      <c r="Y39" s="5"/>
      <c r="Z39" s="5"/>
    </row>
    <row r="40" ht="16.5" customHeight="1">
      <c r="A40" s="48"/>
      <c r="B40" s="61"/>
      <c r="C40" s="345">
        <v>11000.0</v>
      </c>
      <c r="D40" s="346">
        <v>0.4</v>
      </c>
      <c r="E40" s="345">
        <v>22000.0</v>
      </c>
      <c r="F40" s="346">
        <v>0.5</v>
      </c>
      <c r="G40" s="66"/>
      <c r="H40" s="48"/>
      <c r="I40" s="48"/>
      <c r="J40" s="61"/>
      <c r="K40" s="256" t="s">
        <v>135</v>
      </c>
      <c r="L40" s="422"/>
      <c r="M40" s="162"/>
      <c r="N40" s="121"/>
      <c r="O40" s="60"/>
      <c r="P40" s="60"/>
      <c r="Q40" s="60"/>
      <c r="R40" s="60"/>
      <c r="S40" s="60"/>
      <c r="T40" s="60"/>
      <c r="U40" s="170"/>
      <c r="V40" s="163">
        <f>-(N34+R34)</f>
        <v>50000</v>
      </c>
      <c r="W40" s="83"/>
      <c r="X40" s="84"/>
      <c r="Y40" s="5"/>
      <c r="Z40" s="5"/>
    </row>
    <row r="41" ht="16.5" customHeight="1">
      <c r="A41" s="48"/>
      <c r="B41" s="61"/>
      <c r="C41" s="345">
        <v>16000.0</v>
      </c>
      <c r="D41" s="346">
        <v>0.3</v>
      </c>
      <c r="E41" s="345">
        <v>30000.0</v>
      </c>
      <c r="F41" s="346">
        <v>0.3</v>
      </c>
      <c r="G41" s="66"/>
      <c r="H41" s="48"/>
      <c r="I41" s="48"/>
      <c r="J41" s="61"/>
      <c r="K41" s="347"/>
      <c r="L41" s="439"/>
      <c r="M41" s="174"/>
      <c r="N41" s="175"/>
      <c r="O41" s="150"/>
      <c r="P41" s="150"/>
      <c r="Q41" s="150"/>
      <c r="R41" s="150"/>
      <c r="S41" s="150"/>
      <c r="T41" s="150"/>
      <c r="U41" s="176"/>
      <c r="V41" s="151"/>
      <c r="W41" s="83"/>
      <c r="X41" s="84"/>
      <c r="Y41" s="5"/>
      <c r="Z41" s="5"/>
    </row>
    <row r="42" ht="16.5" customHeight="1">
      <c r="A42" s="48"/>
      <c r="B42" s="61"/>
      <c r="C42" s="345">
        <v>20000.0</v>
      </c>
      <c r="D42" s="346">
        <v>0.1</v>
      </c>
      <c r="E42" s="345">
        <v>40000.0</v>
      </c>
      <c r="F42" s="346">
        <v>0.05</v>
      </c>
      <c r="G42" s="66"/>
      <c r="H42" s="48"/>
      <c r="I42" s="48"/>
      <c r="J42" s="61"/>
      <c r="K42" s="333" t="s">
        <v>78</v>
      </c>
      <c r="L42" s="437"/>
      <c r="M42" s="440"/>
      <c r="N42" s="441">
        <f t="shared" ref="N42:V42" si="8">SUM(N29:N41)</f>
        <v>-1327000</v>
      </c>
      <c r="O42" s="351">
        <f t="shared" si="8"/>
        <v>259500</v>
      </c>
      <c r="P42" s="351">
        <f t="shared" si="8"/>
        <v>259500</v>
      </c>
      <c r="Q42" s="351">
        <f t="shared" si="8"/>
        <v>259500</v>
      </c>
      <c r="R42" s="351">
        <f t="shared" si="8"/>
        <v>229500</v>
      </c>
      <c r="S42" s="351">
        <f t="shared" si="8"/>
        <v>408000</v>
      </c>
      <c r="T42" s="351">
        <f t="shared" si="8"/>
        <v>408000</v>
      </c>
      <c r="U42" s="351">
        <f t="shared" si="8"/>
        <v>408000</v>
      </c>
      <c r="V42" s="442">
        <f t="shared" si="8"/>
        <v>1618492.542</v>
      </c>
      <c r="W42" s="180"/>
      <c r="X42" s="181"/>
      <c r="Y42" s="5"/>
      <c r="Z42" s="5"/>
    </row>
    <row r="43" ht="16.5" customHeight="1">
      <c r="A43" s="48"/>
      <c r="B43" s="61"/>
      <c r="C43" s="355">
        <v>23000.0</v>
      </c>
      <c r="D43" s="356">
        <v>0.05</v>
      </c>
      <c r="E43" s="355"/>
      <c r="F43" s="356"/>
      <c r="G43" s="66"/>
      <c r="H43" s="48"/>
      <c r="I43" s="48"/>
      <c r="J43" s="61"/>
      <c r="K43" s="256" t="s">
        <v>79</v>
      </c>
      <c r="L43" s="422"/>
      <c r="M43" s="357">
        <v>0.11</v>
      </c>
      <c r="N43" s="183">
        <f t="shared" ref="N43:V43" si="9">(1+$M$43)^-N24</f>
        <v>1</v>
      </c>
      <c r="O43" s="184">
        <f t="shared" si="9"/>
        <v>0.9009009009</v>
      </c>
      <c r="P43" s="184">
        <f t="shared" si="9"/>
        <v>0.8116224332</v>
      </c>
      <c r="Q43" s="184">
        <f t="shared" si="9"/>
        <v>0.7311913813</v>
      </c>
      <c r="R43" s="184">
        <f t="shared" si="9"/>
        <v>0.6587309741</v>
      </c>
      <c r="S43" s="184">
        <f t="shared" si="9"/>
        <v>0.5934513281</v>
      </c>
      <c r="T43" s="184">
        <f t="shared" si="9"/>
        <v>0.5346408361</v>
      </c>
      <c r="U43" s="184">
        <f t="shared" si="9"/>
        <v>0.4816584109</v>
      </c>
      <c r="V43" s="358">
        <f t="shared" si="9"/>
        <v>0.4339264963</v>
      </c>
      <c r="W43" s="185"/>
      <c r="X43" s="186"/>
      <c r="Y43" s="5"/>
      <c r="Z43" s="5"/>
    </row>
    <row r="44" ht="16.5" customHeight="1">
      <c r="A44" s="48"/>
      <c r="B44" s="48"/>
      <c r="C44" s="100"/>
      <c r="D44" s="359">
        <f>SUM(D39:D43)</f>
        <v>1.85</v>
      </c>
      <c r="E44" s="359"/>
      <c r="F44" s="359">
        <f>SUM(F39:F43)</f>
        <v>1.85</v>
      </c>
      <c r="G44" s="48"/>
      <c r="H44" s="48"/>
      <c r="I44" s="48"/>
      <c r="J44" s="61"/>
      <c r="K44" s="315" t="s">
        <v>80</v>
      </c>
      <c r="L44" s="427"/>
      <c r="M44" s="188"/>
      <c r="N44" s="189">
        <f t="shared" ref="N44:V44" si="10">N42*N43</f>
        <v>-1327000</v>
      </c>
      <c r="O44" s="190">
        <f t="shared" si="10"/>
        <v>233783.7838</v>
      </c>
      <c r="P44" s="190">
        <f t="shared" si="10"/>
        <v>210616.0214</v>
      </c>
      <c r="Q44" s="190">
        <f t="shared" si="10"/>
        <v>189744.1634</v>
      </c>
      <c r="R44" s="190">
        <f t="shared" si="10"/>
        <v>151178.7586</v>
      </c>
      <c r="S44" s="190">
        <f t="shared" si="10"/>
        <v>242128.1418</v>
      </c>
      <c r="T44" s="190">
        <f t="shared" si="10"/>
        <v>218133.4611</v>
      </c>
      <c r="U44" s="190">
        <f t="shared" si="10"/>
        <v>196516.6316</v>
      </c>
      <c r="V44" s="360">
        <f t="shared" si="10"/>
        <v>702306.798</v>
      </c>
      <c r="W44" s="191"/>
      <c r="X44" s="192"/>
      <c r="Y44" s="5"/>
      <c r="Z44" s="5"/>
    </row>
    <row r="45" ht="15.75" customHeight="1">
      <c r="A45" s="48"/>
      <c r="B45" s="283" t="s">
        <v>184</v>
      </c>
      <c r="C45" s="266"/>
      <c r="D45" s="266"/>
      <c r="E45" s="266"/>
      <c r="F45" s="266"/>
      <c r="G45" s="266"/>
      <c r="H45" s="266"/>
      <c r="I45" s="48"/>
      <c r="J45" s="61"/>
      <c r="K45" s="284" t="s">
        <v>82</v>
      </c>
      <c r="L45" s="286"/>
      <c r="M45" s="361">
        <f>SUM(N44:V44)</f>
        <v>817407.7598</v>
      </c>
      <c r="N45" s="443"/>
      <c r="O45" s="444" t="s">
        <v>185</v>
      </c>
      <c r="P45" s="195"/>
      <c r="Q45" s="195"/>
      <c r="R45" s="195"/>
      <c r="S45" s="195"/>
      <c r="T45" s="195"/>
      <c r="U45" s="195"/>
      <c r="V45" s="195"/>
      <c r="W45" s="84"/>
      <c r="X45" s="84"/>
      <c r="Y45" s="5"/>
      <c r="Z45" s="5"/>
    </row>
    <row r="46" ht="13.5" customHeight="1">
      <c r="A46" s="48"/>
      <c r="B46" s="266"/>
      <c r="C46" s="266"/>
      <c r="D46" s="266"/>
      <c r="E46" s="266"/>
      <c r="F46" s="266"/>
      <c r="G46" s="266"/>
      <c r="H46" s="266"/>
      <c r="I46" s="48"/>
      <c r="J46" s="48"/>
      <c r="K46" s="100"/>
      <c r="L46" s="100"/>
      <c r="M46" s="100"/>
      <c r="N46" s="100"/>
      <c r="O46" s="48"/>
      <c r="P46" s="48"/>
      <c r="Q46" s="48"/>
      <c r="R46" s="48"/>
      <c r="S46" s="48"/>
      <c r="T46" s="48"/>
      <c r="U46" s="84"/>
      <c r="V46" s="84"/>
      <c r="W46" s="84"/>
      <c r="X46" s="84"/>
      <c r="Y46" s="5"/>
      <c r="Z46" s="5"/>
    </row>
    <row r="47" ht="13.5" customHeight="1">
      <c r="A47" s="48"/>
      <c r="B47" s="266"/>
      <c r="C47" s="266"/>
      <c r="D47" s="266"/>
      <c r="E47" s="266"/>
      <c r="F47" s="266"/>
      <c r="G47" s="266"/>
      <c r="H47" s="266"/>
      <c r="I47" s="48"/>
      <c r="J47" s="48"/>
      <c r="K47" s="58" t="s">
        <v>58</v>
      </c>
      <c r="L47" s="98"/>
      <c r="M47" s="198"/>
      <c r="N47" s="198"/>
      <c r="O47" s="84"/>
      <c r="P47" s="48"/>
      <c r="Q47" s="58" t="s">
        <v>95</v>
      </c>
      <c r="R47" s="59"/>
      <c r="S47" s="59"/>
      <c r="T47" s="48"/>
      <c r="U47" s="84"/>
      <c r="V47" s="84"/>
      <c r="W47" s="84"/>
      <c r="X47" s="84"/>
      <c r="Y47" s="5"/>
      <c r="Z47" s="5"/>
    </row>
    <row r="48" ht="14.25" customHeight="1">
      <c r="A48" s="48"/>
      <c r="B48" s="266"/>
      <c r="C48" s="266"/>
      <c r="D48" s="266"/>
      <c r="E48" s="266"/>
      <c r="F48" s="266"/>
      <c r="G48" s="266"/>
      <c r="H48" s="266"/>
      <c r="I48" s="48"/>
      <c r="J48" s="61"/>
      <c r="K48" s="253" t="s">
        <v>140</v>
      </c>
      <c r="L48" s="195"/>
      <c r="M48" s="365">
        <f>PMT(M43,V24,-1)</f>
        <v>0.1943210542</v>
      </c>
      <c r="N48" s="445"/>
      <c r="O48" s="83"/>
      <c r="P48" s="61"/>
      <c r="Q48" s="367" t="s">
        <v>86</v>
      </c>
      <c r="R48" s="368" t="s">
        <v>141</v>
      </c>
      <c r="S48" s="369" t="s">
        <v>142</v>
      </c>
      <c r="T48" s="83"/>
      <c r="U48" s="84"/>
      <c r="V48" s="48"/>
      <c r="W48" s="48"/>
      <c r="X48" s="48"/>
      <c r="Y48" s="5"/>
      <c r="Z48" s="5"/>
    </row>
    <row r="49" ht="15.75" customHeight="1">
      <c r="A49" s="48"/>
      <c r="B49" s="283" t="s">
        <v>186</v>
      </c>
      <c r="C49" s="266"/>
      <c r="D49" s="266"/>
      <c r="E49" s="266"/>
      <c r="F49" s="266"/>
      <c r="G49" s="266"/>
      <c r="H49" s="266"/>
      <c r="I49" s="48"/>
      <c r="J49" s="61"/>
      <c r="K49" s="315" t="s">
        <v>89</v>
      </c>
      <c r="L49" s="427"/>
      <c r="M49" s="370">
        <f>M45*M48</f>
        <v>158839.5376</v>
      </c>
      <c r="N49" s="446"/>
      <c r="O49" s="207" t="s">
        <v>153</v>
      </c>
      <c r="P49" s="61"/>
      <c r="Q49" s="208">
        <v>0.0</v>
      </c>
      <c r="R49" s="209">
        <f>M53</f>
        <v>-1346761.929</v>
      </c>
      <c r="S49" s="210">
        <f>R49</f>
        <v>-1346761.929</v>
      </c>
      <c r="T49" s="83"/>
      <c r="U49" s="84"/>
      <c r="V49" s="48"/>
      <c r="W49" s="48"/>
      <c r="X49" s="48"/>
      <c r="Y49" s="5"/>
      <c r="Z49" s="5"/>
    </row>
    <row r="50" ht="13.5" customHeight="1">
      <c r="A50" s="48"/>
      <c r="B50" s="266"/>
      <c r="C50" s="266"/>
      <c r="D50" s="266"/>
      <c r="E50" s="266"/>
      <c r="F50" s="266"/>
      <c r="G50" s="266"/>
      <c r="H50" s="266"/>
      <c r="I50" s="48"/>
      <c r="J50" s="48"/>
      <c r="K50" s="211"/>
      <c r="L50" s="212"/>
      <c r="M50" s="213"/>
      <c r="N50" s="213"/>
      <c r="O50" s="48"/>
      <c r="P50" s="61"/>
      <c r="Q50" s="208">
        <v>1.0</v>
      </c>
      <c r="R50" s="209">
        <f>O44</f>
        <v>233783.7838</v>
      </c>
      <c r="S50" s="210">
        <f t="shared" ref="S50:S57" si="11">S49+R50</f>
        <v>-1112978.145</v>
      </c>
      <c r="T50" s="83"/>
      <c r="U50" s="48"/>
      <c r="V50" s="48"/>
      <c r="W50" s="48"/>
      <c r="X50" s="48"/>
      <c r="Y50" s="5"/>
      <c r="Z50" s="5"/>
    </row>
    <row r="51" ht="13.5" customHeight="1">
      <c r="A51" s="48"/>
      <c r="B51" s="266"/>
      <c r="C51" s="266"/>
      <c r="D51" s="266"/>
      <c r="E51" s="266"/>
      <c r="F51" s="266"/>
      <c r="G51" s="266"/>
      <c r="H51" s="266"/>
      <c r="I51" s="48"/>
      <c r="J51" s="48"/>
      <c r="K51" s="58" t="s">
        <v>83</v>
      </c>
      <c r="L51" s="101"/>
      <c r="M51" s="214"/>
      <c r="N51" s="214"/>
      <c r="O51" s="84"/>
      <c r="P51" s="61"/>
      <c r="Q51" s="208">
        <v>2.0</v>
      </c>
      <c r="R51" s="209">
        <f>P44</f>
        <v>210616.0214</v>
      </c>
      <c r="S51" s="210">
        <f t="shared" si="11"/>
        <v>-902362.124</v>
      </c>
      <c r="T51" s="83"/>
      <c r="U51" s="48"/>
      <c r="V51" s="48"/>
      <c r="W51" s="48"/>
      <c r="X51" s="48"/>
      <c r="Y51" s="5"/>
      <c r="Z51" s="5"/>
    </row>
    <row r="52" ht="13.5" customHeight="1">
      <c r="A52" s="48"/>
      <c r="B52" s="266"/>
      <c r="C52" s="266"/>
      <c r="D52" s="266"/>
      <c r="E52" s="266"/>
      <c r="F52" s="266"/>
      <c r="G52" s="266"/>
      <c r="H52" s="266"/>
      <c r="I52" s="48"/>
      <c r="J52" s="61"/>
      <c r="K52" s="253" t="s">
        <v>144</v>
      </c>
      <c r="L52" s="195"/>
      <c r="M52" s="375">
        <f>M45</f>
        <v>817407.7598</v>
      </c>
      <c r="N52" s="376"/>
      <c r="O52" s="83"/>
      <c r="P52" s="61"/>
      <c r="Q52" s="208">
        <v>3.0</v>
      </c>
      <c r="R52" s="209">
        <f>Q44</f>
        <v>189744.1634</v>
      </c>
      <c r="S52" s="210">
        <f t="shared" si="11"/>
        <v>-712617.9606</v>
      </c>
      <c r="T52" s="83"/>
      <c r="U52" s="48"/>
      <c r="V52" s="48"/>
      <c r="W52" s="48"/>
      <c r="X52" s="48"/>
      <c r="Y52" s="5"/>
      <c r="Z52" s="5"/>
    </row>
    <row r="53" ht="16.5" customHeight="1">
      <c r="A53" s="48"/>
      <c r="B53" s="266"/>
      <c r="C53" s="266"/>
      <c r="D53" s="266"/>
      <c r="E53" s="266"/>
      <c r="F53" s="266"/>
      <c r="G53" s="266"/>
      <c r="H53" s="266"/>
      <c r="I53" s="48"/>
      <c r="J53" s="61"/>
      <c r="K53" s="315" t="s">
        <v>145</v>
      </c>
      <c r="L53" s="101"/>
      <c r="M53" s="214">
        <f>N42+(R34*R43)</f>
        <v>-1346761.929</v>
      </c>
      <c r="N53" s="220"/>
      <c r="O53" s="83"/>
      <c r="P53" s="61"/>
      <c r="Q53" s="208">
        <v>4.0</v>
      </c>
      <c r="R53" s="209">
        <f>R29*R43</f>
        <v>170940.6878</v>
      </c>
      <c r="S53" s="210">
        <f t="shared" si="11"/>
        <v>-541677.2728</v>
      </c>
      <c r="T53" s="83"/>
      <c r="U53" s="48"/>
      <c r="V53" s="48"/>
      <c r="W53" s="48"/>
      <c r="X53" s="48"/>
      <c r="Y53" s="5"/>
      <c r="Z53" s="5"/>
    </row>
    <row r="54" ht="16.5" customHeight="1">
      <c r="A54" s="48"/>
      <c r="B54" s="266"/>
      <c r="C54" s="266"/>
      <c r="D54" s="266"/>
      <c r="E54" s="266"/>
      <c r="F54" s="266"/>
      <c r="G54" s="266"/>
      <c r="H54" s="266"/>
      <c r="I54" s="48"/>
      <c r="J54" s="61"/>
      <c r="K54" s="284" t="s">
        <v>93</v>
      </c>
      <c r="L54" s="416"/>
      <c r="M54" s="377">
        <f>(M45/-M53)+1</f>
        <v>1.606943025</v>
      </c>
      <c r="N54" s="447"/>
      <c r="O54" s="207" t="s">
        <v>153</v>
      </c>
      <c r="P54" s="61"/>
      <c r="Q54" s="208">
        <v>5.0</v>
      </c>
      <c r="R54" s="209">
        <f>S44</f>
        <v>242128.1418</v>
      </c>
      <c r="S54" s="210">
        <f t="shared" si="11"/>
        <v>-299549.1309</v>
      </c>
      <c r="T54" s="83"/>
      <c r="U54" s="48"/>
      <c r="V54" s="48"/>
      <c r="W54" s="48"/>
      <c r="X54" s="48"/>
      <c r="Y54" s="5"/>
      <c r="Z54" s="5"/>
    </row>
    <row r="55" ht="14.25" customHeight="1">
      <c r="A55" s="48"/>
      <c r="B55" s="48"/>
      <c r="C55" s="48"/>
      <c r="D55" s="48"/>
      <c r="E55" s="48"/>
      <c r="F55" s="48"/>
      <c r="G55" s="48"/>
      <c r="H55" s="48"/>
      <c r="I55" s="48"/>
      <c r="J55" s="48"/>
      <c r="K55" s="100"/>
      <c r="L55" s="100"/>
      <c r="M55" s="100"/>
      <c r="N55" s="100"/>
      <c r="O55" s="48"/>
      <c r="P55" s="61"/>
      <c r="Q55" s="208">
        <v>6.0</v>
      </c>
      <c r="R55" s="209">
        <f>T29</f>
        <v>408000</v>
      </c>
      <c r="S55" s="210">
        <f t="shared" si="11"/>
        <v>108450.8691</v>
      </c>
      <c r="T55" s="83"/>
      <c r="U55" s="48"/>
      <c r="V55" s="48"/>
      <c r="W55" s="48"/>
      <c r="X55" s="48"/>
      <c r="Y55" s="5"/>
      <c r="Z55" s="5"/>
    </row>
    <row r="56" ht="16.5" customHeight="1">
      <c r="A56" s="48"/>
      <c r="B56" s="379" t="s">
        <v>187</v>
      </c>
      <c r="C56" s="380"/>
      <c r="D56" s="380"/>
      <c r="E56" s="380"/>
      <c r="F56" s="380"/>
      <c r="G56" s="380"/>
      <c r="H56" s="380"/>
      <c r="I56" s="48"/>
      <c r="J56" s="48"/>
      <c r="K56" s="224" t="s">
        <v>90</v>
      </c>
      <c r="L56" s="225"/>
      <c r="M56" s="226"/>
      <c r="N56" s="226"/>
      <c r="O56" s="98"/>
      <c r="P56" s="61"/>
      <c r="Q56" s="208">
        <v>7.0</v>
      </c>
      <c r="R56" s="209">
        <f>U44</f>
        <v>196516.6316</v>
      </c>
      <c r="S56" s="210">
        <f t="shared" si="11"/>
        <v>304967.5007</v>
      </c>
      <c r="T56" s="83"/>
      <c r="U56" s="48"/>
      <c r="V56" s="48"/>
      <c r="W56" s="48"/>
      <c r="X56" s="48"/>
      <c r="Y56" s="5"/>
      <c r="Z56" s="5"/>
    </row>
    <row r="57" ht="16.5" customHeight="1">
      <c r="A57" s="48"/>
      <c r="B57" s="48"/>
      <c r="C57" s="48"/>
      <c r="D57" s="48"/>
      <c r="E57" s="48"/>
      <c r="F57" s="48"/>
      <c r="G57" s="48"/>
      <c r="H57" s="48"/>
      <c r="I57" s="48"/>
      <c r="J57" s="61"/>
      <c r="K57" s="227"/>
      <c r="L57" s="211"/>
      <c r="M57" s="287" t="s">
        <v>147</v>
      </c>
      <c r="N57" s="228"/>
      <c r="O57" s="140"/>
      <c r="P57" s="229"/>
      <c r="Q57" s="230">
        <v>8.0</v>
      </c>
      <c r="R57" s="231">
        <f>V44</f>
        <v>702306.798</v>
      </c>
      <c r="S57" s="232">
        <f t="shared" si="11"/>
        <v>1007274.299</v>
      </c>
      <c r="T57" s="83"/>
      <c r="U57" s="48"/>
      <c r="V57" s="48"/>
      <c r="W57" s="48"/>
      <c r="X57" s="48"/>
      <c r="Y57" s="5"/>
      <c r="Z57" s="5"/>
    </row>
    <row r="58" ht="14.25" customHeight="1">
      <c r="A58" s="48"/>
      <c r="B58" s="54" t="s">
        <v>148</v>
      </c>
      <c r="C58" s="48"/>
      <c r="D58" s="48"/>
      <c r="E58" s="48"/>
      <c r="F58" s="48"/>
      <c r="G58" s="48"/>
      <c r="H58" s="48"/>
      <c r="I58" s="48"/>
      <c r="J58" s="61"/>
      <c r="K58" s="381" t="s">
        <v>149</v>
      </c>
      <c r="L58" s="382"/>
      <c r="M58" s="76">
        <v>0.22</v>
      </c>
      <c r="N58" s="383" t="s">
        <v>150</v>
      </c>
      <c r="O58" s="163">
        <f t="array" ref="O58">NPV(M58,O42:V42)+N42</f>
        <v>12464.91275</v>
      </c>
      <c r="P58" s="238"/>
      <c r="Q58" s="239" t="s">
        <v>35</v>
      </c>
      <c r="R58" s="240" t="s">
        <v>98</v>
      </c>
      <c r="S58" s="241"/>
      <c r="T58" s="84"/>
      <c r="U58" s="48"/>
      <c r="V58" s="48"/>
      <c r="W58" s="48"/>
      <c r="X58" s="48"/>
      <c r="Y58" s="5"/>
      <c r="Z58" s="5"/>
    </row>
    <row r="59" ht="16.5" customHeight="1">
      <c r="A59" s="48"/>
      <c r="B59" s="48"/>
      <c r="C59" s="48"/>
      <c r="D59" s="48"/>
      <c r="E59" s="48"/>
      <c r="F59" s="48"/>
      <c r="G59" s="48"/>
      <c r="H59" s="48"/>
      <c r="I59" s="48"/>
      <c r="J59" s="61"/>
      <c r="K59" s="381" t="s">
        <v>151</v>
      </c>
      <c r="L59" s="382"/>
      <c r="M59" s="76">
        <v>0.23</v>
      </c>
      <c r="N59" s="383" t="s">
        <v>152</v>
      </c>
      <c r="O59" s="163">
        <f t="array" ref="O59">NPV(M59,O42:V42)+N42</f>
        <v>-37307.61712</v>
      </c>
      <c r="P59" s="238"/>
      <c r="Q59" s="242">
        <f>Q54</f>
        <v>5</v>
      </c>
      <c r="R59" s="243">
        <f>(-S54/R55)*365</f>
        <v>267.9790019</v>
      </c>
      <c r="S59" s="126"/>
      <c r="T59" s="244" t="s">
        <v>153</v>
      </c>
      <c r="U59" s="48"/>
      <c r="V59" s="48"/>
      <c r="W59" s="48"/>
      <c r="X59" s="48"/>
      <c r="Y59" s="5"/>
      <c r="Z59" s="5"/>
    </row>
    <row r="60" ht="14.25" customHeight="1">
      <c r="A60" s="48"/>
      <c r="B60" s="54" t="s">
        <v>100</v>
      </c>
      <c r="C60" s="48"/>
      <c r="D60" s="48"/>
      <c r="E60" s="48"/>
      <c r="F60" s="48"/>
      <c r="G60" s="48"/>
      <c r="H60" s="48"/>
      <c r="I60" s="48"/>
      <c r="J60" s="61"/>
      <c r="K60" s="384"/>
      <c r="L60" s="382"/>
      <c r="M60" s="84"/>
      <c r="N60" s="84"/>
      <c r="O60" s="85"/>
      <c r="P60" s="247"/>
      <c r="Q60" s="100"/>
      <c r="R60" s="100"/>
      <c r="S60" s="233"/>
      <c r="T60" s="48"/>
      <c r="U60" s="48"/>
      <c r="V60" s="48"/>
      <c r="W60" s="48"/>
      <c r="X60" s="48"/>
      <c r="Y60" s="5"/>
      <c r="Z60" s="5"/>
    </row>
    <row r="61" ht="16.5" customHeight="1">
      <c r="A61" s="48"/>
      <c r="B61" s="48"/>
      <c r="C61" s="48"/>
      <c r="D61" s="48"/>
      <c r="E61" s="48"/>
      <c r="F61" s="48"/>
      <c r="G61" s="48"/>
      <c r="H61" s="48"/>
      <c r="I61" s="48"/>
      <c r="J61" s="61"/>
      <c r="K61" s="384"/>
      <c r="L61" s="382"/>
      <c r="M61" s="84"/>
      <c r="N61" s="226"/>
      <c r="O61" s="99"/>
      <c r="P61" s="126"/>
      <c r="Q61" s="48"/>
      <c r="R61" s="48"/>
      <c r="S61" s="48"/>
      <c r="T61" s="48"/>
      <c r="U61" s="48"/>
      <c r="V61" s="48"/>
      <c r="W61" s="48"/>
      <c r="X61" s="48"/>
      <c r="Y61" s="5"/>
      <c r="Z61" s="5"/>
    </row>
    <row r="62" ht="16.5" customHeight="1">
      <c r="A62" s="48"/>
      <c r="B62" s="244" t="s">
        <v>103</v>
      </c>
      <c r="C62" s="48"/>
      <c r="D62" s="48"/>
      <c r="E62" s="48"/>
      <c r="F62" s="48"/>
      <c r="G62" s="48"/>
      <c r="H62" s="48"/>
      <c r="I62" s="48"/>
      <c r="J62" s="61"/>
      <c r="K62" s="97"/>
      <c r="L62" s="98"/>
      <c r="M62" s="99"/>
      <c r="N62" s="385" t="s">
        <v>104</v>
      </c>
      <c r="O62" s="251">
        <f>M58+((O58/(O58-O59))*(M59-M58))</f>
        <v>0.222504376</v>
      </c>
      <c r="P62" s="207" t="s">
        <v>153</v>
      </c>
      <c r="Q62" s="48"/>
      <c r="R62" s="48"/>
      <c r="S62" s="48"/>
      <c r="T62" s="48"/>
      <c r="U62" s="48"/>
      <c r="V62" s="48"/>
      <c r="W62" s="48"/>
      <c r="X62" s="48"/>
      <c r="Y62" s="5"/>
      <c r="Z62" s="5"/>
    </row>
    <row r="63" ht="14.25" customHeight="1">
      <c r="A63" s="48"/>
      <c r="B63" s="244" t="s">
        <v>105</v>
      </c>
      <c r="C63" s="48"/>
      <c r="D63" s="48"/>
      <c r="E63" s="48"/>
      <c r="F63" s="48"/>
      <c r="G63" s="48"/>
      <c r="H63" s="48"/>
      <c r="I63" s="48"/>
      <c r="J63" s="48"/>
      <c r="K63" s="195"/>
      <c r="L63" s="195"/>
      <c r="M63" s="195"/>
      <c r="N63" s="228"/>
      <c r="O63" s="252">
        <f>IRR(N42:V42)</f>
        <v>0.22245054</v>
      </c>
      <c r="P63" s="84"/>
      <c r="Q63" s="48"/>
      <c r="R63" s="48"/>
      <c r="S63" s="48"/>
      <c r="T63" s="48"/>
      <c r="U63" s="48"/>
      <c r="V63" s="48"/>
      <c r="W63" s="48"/>
      <c r="X63" s="48"/>
      <c r="Y63" s="5"/>
      <c r="Z63" s="5"/>
    </row>
    <row r="64" ht="14.25" customHeight="1">
      <c r="A64" s="48"/>
      <c r="B64" s="244" t="s">
        <v>106</v>
      </c>
      <c r="C64" s="48"/>
      <c r="D64" s="48"/>
      <c r="E64" s="48"/>
      <c r="F64" s="48"/>
      <c r="G64" s="48"/>
      <c r="H64" s="48"/>
      <c r="I64" s="48"/>
      <c r="J64" s="48"/>
      <c r="K64" s="48"/>
      <c r="L64" s="48"/>
      <c r="M64" s="48"/>
      <c r="N64" s="48"/>
      <c r="O64" s="48"/>
      <c r="P64" s="48"/>
      <c r="Q64" s="48"/>
      <c r="R64" s="48"/>
      <c r="S64" s="48"/>
      <c r="T64" s="48"/>
      <c r="U64" s="48"/>
      <c r="V64" s="48"/>
      <c r="W64" s="48"/>
      <c r="X64" s="48"/>
      <c r="Y64" s="5"/>
      <c r="Z64" s="5"/>
    </row>
    <row r="65" ht="16.5" customHeight="1">
      <c r="A65" s="48"/>
      <c r="B65" s="244" t="s">
        <v>107</v>
      </c>
      <c r="C65" s="48"/>
      <c r="D65" s="48"/>
      <c r="E65" s="48"/>
      <c r="F65" s="48"/>
      <c r="G65" s="48"/>
      <c r="H65" s="48"/>
      <c r="I65" s="48"/>
      <c r="J65" s="48"/>
      <c r="K65" s="58" t="s">
        <v>84</v>
      </c>
      <c r="L65" s="98"/>
      <c r="M65" s="98"/>
      <c r="N65" s="98"/>
      <c r="O65" s="98"/>
      <c r="P65" s="98"/>
      <c r="Q65" s="98"/>
      <c r="R65" s="98"/>
      <c r="S65" s="98"/>
      <c r="T65" s="98"/>
      <c r="U65" s="98"/>
      <c r="V65" s="59"/>
      <c r="W65" s="59"/>
      <c r="X65" s="48"/>
      <c r="Y65" s="5"/>
      <c r="Z65" s="5"/>
    </row>
    <row r="66" ht="15.75" customHeight="1">
      <c r="A66" s="48"/>
      <c r="B66" s="283" t="s">
        <v>109</v>
      </c>
      <c r="C66" s="266"/>
      <c r="D66" s="266"/>
      <c r="E66" s="266"/>
      <c r="F66" s="266"/>
      <c r="G66" s="266"/>
      <c r="H66" s="266"/>
      <c r="I66" s="48"/>
      <c r="J66" s="61"/>
      <c r="K66" s="253" t="s">
        <v>155</v>
      </c>
      <c r="L66" s="228"/>
      <c r="M66" s="254">
        <v>0.1</v>
      </c>
      <c r="N66" s="195"/>
      <c r="O66" s="195"/>
      <c r="P66" s="195"/>
      <c r="Q66" s="195"/>
      <c r="R66" s="195"/>
      <c r="S66" s="195"/>
      <c r="T66" s="195"/>
      <c r="U66" s="195"/>
      <c r="V66" s="195"/>
      <c r="W66" s="140"/>
      <c r="X66" s="48"/>
      <c r="Y66" s="5"/>
      <c r="Z66" s="5"/>
    </row>
    <row r="67" ht="14.25" customHeight="1">
      <c r="A67" s="48"/>
      <c r="B67" s="266"/>
      <c r="C67" s="266"/>
      <c r="D67" s="266"/>
      <c r="E67" s="266"/>
      <c r="F67" s="266"/>
      <c r="G67" s="266"/>
      <c r="H67" s="266"/>
      <c r="I67" s="48"/>
      <c r="J67" s="61"/>
      <c r="K67" s="256" t="s">
        <v>156</v>
      </c>
      <c r="L67" s="90"/>
      <c r="M67" s="257">
        <f>M43</f>
        <v>0.11</v>
      </c>
      <c r="N67" s="84"/>
      <c r="O67" s="84"/>
      <c r="P67" s="84"/>
      <c r="Q67" s="84"/>
      <c r="R67" s="84"/>
      <c r="S67" s="84"/>
      <c r="T67" s="84"/>
      <c r="U67" s="84"/>
      <c r="V67" s="84"/>
      <c r="W67" s="85"/>
      <c r="X67" s="48"/>
      <c r="Y67" s="5"/>
      <c r="Z67" s="5"/>
    </row>
    <row r="68" ht="14.25" customHeight="1">
      <c r="A68" s="48"/>
      <c r="B68" s="244" t="s">
        <v>113</v>
      </c>
      <c r="C68" s="48"/>
      <c r="D68" s="48"/>
      <c r="E68" s="48"/>
      <c r="F68" s="48"/>
      <c r="G68" s="48"/>
      <c r="H68" s="48"/>
      <c r="I68" s="48"/>
      <c r="J68" s="61"/>
      <c r="K68" s="258"/>
      <c r="L68" s="90"/>
      <c r="M68" s="259">
        <v>0.0</v>
      </c>
      <c r="N68" s="233">
        <v>1.0</v>
      </c>
      <c r="O68" s="233">
        <v>2.0</v>
      </c>
      <c r="P68" s="233">
        <v>3.0</v>
      </c>
      <c r="Q68" s="233">
        <v>4.0</v>
      </c>
      <c r="R68" s="233">
        <v>5.0</v>
      </c>
      <c r="S68" s="233">
        <v>6.0</v>
      </c>
      <c r="T68" s="233">
        <v>7.0</v>
      </c>
      <c r="U68" s="233">
        <v>8.0</v>
      </c>
      <c r="V68" s="233"/>
      <c r="W68" s="260"/>
      <c r="X68" s="48"/>
      <c r="Y68" s="5"/>
      <c r="Z68" s="5"/>
    </row>
    <row r="69" ht="14.25" customHeight="1">
      <c r="A69" s="48"/>
      <c r="B69" s="244" t="s">
        <v>114</v>
      </c>
      <c r="C69" s="48"/>
      <c r="D69" s="48"/>
      <c r="E69" s="48"/>
      <c r="F69" s="48"/>
      <c r="G69" s="48"/>
      <c r="H69" s="48"/>
      <c r="I69" s="48"/>
      <c r="J69" s="61"/>
      <c r="K69" s="83"/>
      <c r="L69" s="90"/>
      <c r="M69" s="84"/>
      <c r="N69" s="262">
        <f t="shared" ref="N69:U69" si="12">(1+$M$66)^($U$68-N68)</f>
        <v>1.9487171</v>
      </c>
      <c r="O69" s="262">
        <f t="shared" si="12"/>
        <v>1.771561</v>
      </c>
      <c r="P69" s="262">
        <f t="shared" si="12"/>
        <v>1.61051</v>
      </c>
      <c r="Q69" s="262">
        <f t="shared" si="12"/>
        <v>1.4641</v>
      </c>
      <c r="R69" s="262">
        <f t="shared" si="12"/>
        <v>1.331</v>
      </c>
      <c r="S69" s="262">
        <f t="shared" si="12"/>
        <v>1.21</v>
      </c>
      <c r="T69" s="262">
        <f t="shared" si="12"/>
        <v>1.1</v>
      </c>
      <c r="U69" s="262">
        <f t="shared" si="12"/>
        <v>1</v>
      </c>
      <c r="V69" s="262"/>
      <c r="W69" s="263"/>
      <c r="X69" s="48"/>
      <c r="Y69" s="5"/>
      <c r="Z69" s="5"/>
    </row>
    <row r="70" ht="14.25" customHeight="1">
      <c r="A70" s="48"/>
      <c r="B70" s="244" t="s">
        <v>116</v>
      </c>
      <c r="C70" s="48"/>
      <c r="D70" s="48"/>
      <c r="E70" s="48"/>
      <c r="F70" s="48"/>
      <c r="G70" s="48"/>
      <c r="H70" s="48"/>
      <c r="I70" s="48"/>
      <c r="J70" s="61"/>
      <c r="K70" s="83"/>
      <c r="L70" s="90"/>
      <c r="M70" s="244" t="s">
        <v>157</v>
      </c>
      <c r="N70" s="60">
        <f t="shared" ref="N70:U70" si="13">O42*N69</f>
        <v>505692.0875</v>
      </c>
      <c r="O70" s="60">
        <f t="shared" si="13"/>
        <v>459720.0795</v>
      </c>
      <c r="P70" s="60">
        <f t="shared" si="13"/>
        <v>417927.345</v>
      </c>
      <c r="Q70" s="60">
        <f t="shared" si="13"/>
        <v>336010.95</v>
      </c>
      <c r="R70" s="60">
        <f t="shared" si="13"/>
        <v>543048</v>
      </c>
      <c r="S70" s="60">
        <f t="shared" si="13"/>
        <v>493680</v>
      </c>
      <c r="T70" s="60">
        <f t="shared" si="13"/>
        <v>448800</v>
      </c>
      <c r="U70" s="60">
        <f t="shared" si="13"/>
        <v>1618492.542</v>
      </c>
      <c r="V70" s="60"/>
      <c r="W70" s="163"/>
      <c r="X70" s="48"/>
      <c r="Y70" s="5"/>
      <c r="Z70" s="5"/>
    </row>
    <row r="71" ht="14.25" customHeight="1">
      <c r="A71" s="48"/>
      <c r="B71" s="48"/>
      <c r="C71" s="48"/>
      <c r="D71" s="48"/>
      <c r="E71" s="48"/>
      <c r="F71" s="48"/>
      <c r="G71" s="48"/>
      <c r="H71" s="48"/>
      <c r="I71" s="48"/>
      <c r="J71" s="61"/>
      <c r="K71" s="256" t="s">
        <v>158</v>
      </c>
      <c r="L71" s="192">
        <f>SUM(N70:U70)</f>
        <v>4823371.004</v>
      </c>
      <c r="M71" s="86"/>
      <c r="N71" s="86"/>
      <c r="O71" s="86"/>
      <c r="P71" s="86"/>
      <c r="Q71" s="86"/>
      <c r="R71" s="90"/>
      <c r="S71" s="90"/>
      <c r="T71" s="90"/>
      <c r="U71" s="84"/>
      <c r="V71" s="84"/>
      <c r="W71" s="85"/>
      <c r="X71" s="48"/>
      <c r="Y71" s="5"/>
      <c r="Z71" s="5"/>
    </row>
    <row r="72" ht="14.25" customHeight="1">
      <c r="A72" s="48"/>
      <c r="B72" s="54" t="s">
        <v>159</v>
      </c>
      <c r="C72" s="48"/>
      <c r="D72" s="48"/>
      <c r="E72" s="48"/>
      <c r="F72" s="48"/>
      <c r="G72" s="48"/>
      <c r="H72" s="48"/>
      <c r="I72" s="48"/>
      <c r="J72" s="61"/>
      <c r="K72" s="256" t="s">
        <v>160</v>
      </c>
      <c r="L72" s="192">
        <f>N44</f>
        <v>-1327000</v>
      </c>
      <c r="M72" s="84"/>
      <c r="N72" s="84"/>
      <c r="O72" s="84"/>
      <c r="P72" s="84"/>
      <c r="Q72" s="84"/>
      <c r="R72" s="90"/>
      <c r="S72" s="90"/>
      <c r="T72" s="90"/>
      <c r="U72" s="84"/>
      <c r="V72" s="84"/>
      <c r="W72" s="85"/>
      <c r="X72" s="48"/>
      <c r="Y72" s="5"/>
      <c r="Z72" s="5"/>
    </row>
    <row r="73" ht="14.25" customHeight="1">
      <c r="A73" s="48"/>
      <c r="B73" s="244" t="s">
        <v>30</v>
      </c>
      <c r="C73" s="48"/>
      <c r="D73" s="48"/>
      <c r="E73" s="48"/>
      <c r="F73" s="48"/>
      <c r="G73" s="48"/>
      <c r="H73" s="48"/>
      <c r="I73" s="48"/>
      <c r="J73" s="61"/>
      <c r="K73" s="83"/>
      <c r="L73" s="84"/>
      <c r="M73" s="84"/>
      <c r="N73" s="84"/>
      <c r="O73" s="84"/>
      <c r="P73" s="84"/>
      <c r="Q73" s="84"/>
      <c r="R73" s="84"/>
      <c r="S73" s="84"/>
      <c r="T73" s="84"/>
      <c r="U73" s="84"/>
      <c r="V73" s="84"/>
      <c r="W73" s="85"/>
      <c r="X73" s="48"/>
      <c r="Y73" s="5"/>
      <c r="Z73" s="5"/>
    </row>
    <row r="74" ht="16.5" customHeight="1">
      <c r="A74" s="48"/>
      <c r="B74" s="244" t="s">
        <v>161</v>
      </c>
      <c r="C74" s="48"/>
      <c r="D74" s="48"/>
      <c r="E74" s="48"/>
      <c r="F74" s="48"/>
      <c r="G74" s="48"/>
      <c r="H74" s="48"/>
      <c r="I74" s="48"/>
      <c r="J74" s="61"/>
      <c r="K74" s="83"/>
      <c r="L74" s="244" t="s">
        <v>119</v>
      </c>
      <c r="M74" s="265">
        <f>((L71/-L72)^(1/U68))-1</f>
        <v>0.1750597981</v>
      </c>
      <c r="N74" s="84"/>
      <c r="O74" s="84"/>
      <c r="P74" s="84"/>
      <c r="Q74" s="84"/>
      <c r="R74" s="84"/>
      <c r="S74" s="84"/>
      <c r="T74" s="84"/>
      <c r="U74" s="84"/>
      <c r="V74" s="98"/>
      <c r="W74" s="99"/>
      <c r="X74" s="48"/>
      <c r="Y74" s="5"/>
      <c r="Z74" s="5"/>
    </row>
    <row r="75" ht="16.5" customHeight="1">
      <c r="A75" s="48"/>
      <c r="B75" s="283" t="s">
        <v>162</v>
      </c>
      <c r="C75" s="266"/>
      <c r="D75" s="266"/>
      <c r="E75" s="266"/>
      <c r="F75" s="266"/>
      <c r="G75" s="266"/>
      <c r="H75" s="266"/>
      <c r="I75" s="48"/>
      <c r="J75" s="61"/>
      <c r="K75" s="97"/>
      <c r="L75" s="98"/>
      <c r="M75" s="98"/>
      <c r="N75" s="98"/>
      <c r="O75" s="98"/>
      <c r="P75" s="98"/>
      <c r="Q75" s="98"/>
      <c r="R75" s="98"/>
      <c r="S75" s="98"/>
      <c r="T75" s="98"/>
      <c r="U75" s="99"/>
      <c r="V75" s="267" t="s">
        <v>119</v>
      </c>
      <c r="W75" s="251">
        <f>M74</f>
        <v>0.1750597981</v>
      </c>
      <c r="X75" s="207" t="s">
        <v>153</v>
      </c>
      <c r="Y75" s="5"/>
      <c r="Z75" s="5"/>
    </row>
    <row r="76" ht="14.25" customHeight="1">
      <c r="A76" s="48"/>
      <c r="B76" s="266"/>
      <c r="C76" s="266"/>
      <c r="D76" s="266"/>
      <c r="E76" s="266"/>
      <c r="F76" s="266"/>
      <c r="G76" s="266"/>
      <c r="H76" s="266"/>
      <c r="I76" s="48"/>
      <c r="J76" s="48"/>
      <c r="K76" s="100"/>
      <c r="L76" s="100"/>
      <c r="M76" s="100"/>
      <c r="N76" s="100"/>
      <c r="O76" s="100"/>
      <c r="P76" s="100"/>
      <c r="Q76" s="100"/>
      <c r="R76" s="100"/>
      <c r="S76" s="100"/>
      <c r="T76" s="100"/>
      <c r="U76" s="100"/>
      <c r="V76" s="100"/>
      <c r="W76" s="252">
        <f>MIRR(N42:V42,M67,M66)</f>
        <v>0.1750597981</v>
      </c>
      <c r="X76" s="48"/>
      <c r="Y76" s="5"/>
      <c r="Z76" s="5"/>
    </row>
    <row r="77" ht="14.25" customHeight="1">
      <c r="A77" s="48"/>
      <c r="B77" s="244" t="s">
        <v>163</v>
      </c>
      <c r="C77" s="48"/>
      <c r="D77" s="48"/>
      <c r="E77" s="48"/>
      <c r="F77" s="48"/>
      <c r="G77" s="48"/>
      <c r="H77" s="48"/>
      <c r="I77" s="48"/>
      <c r="J77" s="48"/>
      <c r="K77" s="48"/>
      <c r="L77" s="48"/>
      <c r="M77" s="48"/>
      <c r="N77" s="48"/>
      <c r="O77" s="48"/>
      <c r="P77" s="48"/>
      <c r="Q77" s="48"/>
      <c r="R77" s="48"/>
      <c r="S77" s="48"/>
      <c r="T77" s="48"/>
      <c r="U77" s="48"/>
      <c r="V77" s="48"/>
      <c r="W77" s="48"/>
      <c r="X77" s="48"/>
      <c r="Y77" s="5"/>
      <c r="Z77" s="5"/>
    </row>
    <row r="78" ht="16.5" customHeight="1">
      <c r="A78" s="48"/>
      <c r="B78" s="386" t="s">
        <v>164</v>
      </c>
      <c r="C78" s="268"/>
      <c r="D78" s="268"/>
      <c r="E78" s="268"/>
      <c r="F78" s="268"/>
      <c r="G78" s="268"/>
      <c r="H78" s="268"/>
      <c r="I78" s="48"/>
      <c r="J78" s="48"/>
      <c r="K78" s="224" t="s">
        <v>120</v>
      </c>
      <c r="L78" s="225"/>
      <c r="M78" s="226"/>
      <c r="N78" s="226"/>
      <c r="O78" s="98"/>
      <c r="P78" s="59"/>
      <c r="Q78" s="59"/>
      <c r="R78" s="48"/>
      <c r="S78" s="48"/>
      <c r="T78" s="48"/>
      <c r="U78" s="48"/>
      <c r="V78" s="48"/>
      <c r="W78" s="48"/>
      <c r="X78" s="48"/>
      <c r="Y78" s="5"/>
      <c r="Z78" s="5"/>
    </row>
    <row r="79" ht="14.25" customHeight="1">
      <c r="A79" s="48"/>
      <c r="B79" s="268"/>
      <c r="C79" s="268"/>
      <c r="D79" s="268"/>
      <c r="E79" s="268"/>
      <c r="F79" s="268"/>
      <c r="G79" s="268"/>
      <c r="H79" s="268"/>
      <c r="I79" s="48"/>
      <c r="J79" s="61"/>
      <c r="K79" s="387"/>
      <c r="L79" s="388"/>
      <c r="M79" s="388"/>
      <c r="N79" s="388"/>
      <c r="O79" s="388"/>
      <c r="P79" s="388"/>
      <c r="Q79" s="389"/>
      <c r="R79" s="66"/>
      <c r="S79" s="48"/>
      <c r="T79" s="48"/>
      <c r="U79" s="48"/>
      <c r="V79" s="48"/>
      <c r="W79" s="48"/>
      <c r="X79" s="48"/>
      <c r="Y79" s="5"/>
      <c r="Z79" s="5"/>
    </row>
    <row r="80" ht="15.75" customHeight="1">
      <c r="A80" s="48"/>
      <c r="B80" s="386" t="s">
        <v>165</v>
      </c>
      <c r="C80" s="268"/>
      <c r="D80" s="268"/>
      <c r="E80" s="268"/>
      <c r="F80" s="268"/>
      <c r="G80" s="268"/>
      <c r="H80" s="268"/>
      <c r="I80" s="48"/>
      <c r="J80" s="61"/>
      <c r="K80" s="390"/>
      <c r="L80" s="391"/>
      <c r="M80" s="391"/>
      <c r="N80" s="391"/>
      <c r="O80" s="391"/>
      <c r="P80" s="391"/>
      <c r="Q80" s="392"/>
      <c r="R80" s="66"/>
      <c r="S80" s="48"/>
      <c r="T80" s="48"/>
      <c r="U80" s="48"/>
      <c r="V80" s="48"/>
      <c r="W80" s="48"/>
      <c r="X80" s="48"/>
      <c r="Y80" s="5"/>
      <c r="Z80" s="5"/>
    </row>
    <row r="81" ht="13.5" customHeight="1">
      <c r="A81" s="48"/>
      <c r="B81" s="268"/>
      <c r="C81" s="268"/>
      <c r="D81" s="268"/>
      <c r="E81" s="268"/>
      <c r="F81" s="268"/>
      <c r="G81" s="268"/>
      <c r="H81" s="268"/>
      <c r="I81" s="48"/>
      <c r="J81" s="61"/>
      <c r="K81" s="390"/>
      <c r="L81" s="391"/>
      <c r="M81" s="391"/>
      <c r="N81" s="391"/>
      <c r="O81" s="391"/>
      <c r="P81" s="391"/>
      <c r="Q81" s="392"/>
      <c r="R81" s="66"/>
      <c r="S81" s="48"/>
      <c r="T81" s="48"/>
      <c r="U81" s="48"/>
      <c r="V81" s="48"/>
      <c r="W81" s="48"/>
      <c r="X81" s="48"/>
      <c r="Y81" s="5"/>
      <c r="Z81" s="5"/>
    </row>
    <row r="82" ht="15.0" customHeight="1">
      <c r="A82" s="48"/>
      <c r="B82" s="268"/>
      <c r="C82" s="268"/>
      <c r="D82" s="268"/>
      <c r="E82" s="268"/>
      <c r="F82" s="268"/>
      <c r="G82" s="268"/>
      <c r="H82" s="268"/>
      <c r="I82" s="48"/>
      <c r="J82" s="61"/>
      <c r="K82" s="393"/>
      <c r="L82" s="394"/>
      <c r="M82" s="394"/>
      <c r="N82" s="394"/>
      <c r="O82" s="394"/>
      <c r="P82" s="394"/>
      <c r="Q82" s="395"/>
      <c r="R82" s="66"/>
      <c r="S82" s="48"/>
      <c r="T82" s="48"/>
      <c r="U82" s="48"/>
      <c r="V82" s="48"/>
      <c r="W82" s="48"/>
      <c r="X82" s="48"/>
      <c r="Y82" s="5"/>
      <c r="Z82" s="5"/>
    </row>
    <row r="83" ht="14.25" customHeight="1">
      <c r="A83" s="48"/>
      <c r="B83" s="268"/>
      <c r="C83" s="268"/>
      <c r="D83" s="268"/>
      <c r="E83" s="268"/>
      <c r="F83" s="268"/>
      <c r="G83" s="268"/>
      <c r="H83" s="268"/>
      <c r="I83" s="48"/>
      <c r="J83" s="48"/>
      <c r="K83" s="211"/>
      <c r="L83" s="211"/>
      <c r="M83" s="195"/>
      <c r="N83" s="228"/>
      <c r="O83" s="195"/>
      <c r="P83" s="139"/>
      <c r="Q83" s="100"/>
      <c r="R83" s="48"/>
      <c r="S83" s="48"/>
      <c r="T83" s="48"/>
      <c r="U83" s="48"/>
      <c r="V83" s="48"/>
      <c r="W83" s="48"/>
      <c r="X83" s="48"/>
      <c r="Y83" s="5"/>
      <c r="Z83" s="5"/>
    </row>
    <row r="84" ht="14.25" customHeight="1">
      <c r="A84" s="48"/>
      <c r="B84" s="48"/>
      <c r="C84" s="48"/>
      <c r="D84" s="48"/>
      <c r="E84" s="48"/>
      <c r="F84" s="48"/>
      <c r="G84" s="48"/>
      <c r="H84" s="48"/>
      <c r="I84" s="48"/>
      <c r="J84" s="48"/>
      <c r="K84" s="84"/>
      <c r="L84" s="84"/>
      <c r="M84" s="84"/>
      <c r="N84" s="86"/>
      <c r="O84" s="275"/>
      <c r="P84" s="244"/>
      <c r="Q84" s="48"/>
      <c r="R84" s="48"/>
      <c r="S84" s="48"/>
      <c r="T84" s="48"/>
      <c r="U84" s="48"/>
      <c r="V84" s="48"/>
      <c r="W84" s="48"/>
      <c r="X84" s="48"/>
      <c r="Y84" s="5"/>
      <c r="Z84" s="5"/>
    </row>
    <row r="85" ht="14.25" customHeight="1">
      <c r="A85" s="48"/>
      <c r="B85" s="244" t="s">
        <v>58</v>
      </c>
      <c r="C85" s="48"/>
      <c r="D85" s="48"/>
      <c r="E85" s="48"/>
      <c r="F85" s="48"/>
      <c r="G85" s="48"/>
      <c r="H85" s="48"/>
      <c r="I85" s="48"/>
      <c r="J85" s="48"/>
      <c r="K85" s="84"/>
      <c r="L85" s="84"/>
      <c r="M85" s="84"/>
      <c r="N85" s="90"/>
      <c r="O85" s="265"/>
      <c r="P85" s="84"/>
      <c r="Q85" s="48"/>
      <c r="R85" s="48"/>
      <c r="S85" s="48"/>
      <c r="T85" s="48"/>
      <c r="U85" s="48"/>
      <c r="V85" s="48"/>
      <c r="W85" s="48"/>
      <c r="X85" s="48"/>
      <c r="Y85" s="5"/>
      <c r="Z85" s="5"/>
    </row>
    <row r="86" ht="15.75" customHeight="1">
      <c r="A86" s="48"/>
      <c r="B86" s="396" t="s">
        <v>166</v>
      </c>
      <c r="C86" s="276"/>
      <c r="D86" s="276"/>
      <c r="E86" s="276"/>
      <c r="F86" s="276"/>
      <c r="G86" s="276"/>
      <c r="H86" s="276"/>
      <c r="I86" s="276"/>
      <c r="J86" s="48"/>
      <c r="K86" s="48"/>
      <c r="L86" s="48"/>
      <c r="M86" s="48"/>
      <c r="N86" s="48"/>
      <c r="O86" s="48"/>
      <c r="P86" s="48"/>
      <c r="Q86" s="48"/>
      <c r="R86" s="48"/>
      <c r="S86" s="48"/>
      <c r="T86" s="48"/>
      <c r="U86" s="48"/>
      <c r="V86" s="48"/>
      <c r="W86" s="48"/>
      <c r="X86" s="48"/>
      <c r="Y86" s="5"/>
      <c r="Z86" s="5"/>
    </row>
    <row r="87" ht="14.25" customHeight="1">
      <c r="A87" s="48"/>
      <c r="B87" s="276"/>
      <c r="C87" s="276"/>
      <c r="D87" s="276"/>
      <c r="E87" s="276"/>
      <c r="F87" s="276"/>
      <c r="G87" s="276"/>
      <c r="H87" s="276"/>
      <c r="I87" s="276"/>
      <c r="J87" s="48"/>
      <c r="K87" s="48"/>
      <c r="L87" s="48"/>
      <c r="M87" s="48"/>
      <c r="N87" s="48"/>
      <c r="O87" s="48"/>
      <c r="P87" s="48"/>
      <c r="Q87" s="48"/>
      <c r="R87" s="48"/>
      <c r="S87" s="48"/>
      <c r="T87" s="48"/>
      <c r="U87" s="48"/>
      <c r="V87" s="48"/>
      <c r="W87" s="48"/>
      <c r="X87" s="48"/>
      <c r="Y87" s="5"/>
      <c r="Z87" s="5"/>
    </row>
    <row r="88" ht="16.5" customHeight="1">
      <c r="A88" s="48"/>
      <c r="B88" s="48"/>
      <c r="C88" s="48"/>
      <c r="D88" s="48"/>
      <c r="E88" s="48"/>
      <c r="F88" s="48"/>
      <c r="G88" s="48"/>
      <c r="H88" s="48"/>
      <c r="I88" s="48"/>
      <c r="J88" s="48"/>
      <c r="K88" s="48"/>
      <c r="L88" s="48"/>
      <c r="M88" s="48"/>
      <c r="N88" s="48"/>
      <c r="O88" s="48"/>
      <c r="P88" s="48"/>
      <c r="Q88" s="48"/>
      <c r="R88" s="48"/>
      <c r="S88" s="48"/>
      <c r="T88" s="48"/>
      <c r="U88" s="48"/>
      <c r="V88" s="48"/>
      <c r="W88" s="48"/>
      <c r="X88" s="84"/>
      <c r="Y88" s="5"/>
      <c r="Z88" s="5"/>
    </row>
    <row r="89" ht="14.25" customHeight="1">
      <c r="A89" s="48"/>
      <c r="B89" s="48"/>
      <c r="C89" s="48"/>
      <c r="D89" s="48"/>
      <c r="E89" s="48"/>
      <c r="F89" s="48"/>
      <c r="G89" s="48"/>
      <c r="H89" s="48"/>
      <c r="I89" s="48"/>
      <c r="J89" s="48"/>
      <c r="K89" s="48"/>
      <c r="L89" s="48"/>
      <c r="M89" s="48"/>
      <c r="N89" s="48"/>
      <c r="O89" s="48"/>
      <c r="P89" s="48"/>
      <c r="Q89" s="48"/>
      <c r="R89" s="48"/>
      <c r="S89" s="84"/>
      <c r="T89" s="84"/>
      <c r="U89" s="84"/>
      <c r="V89" s="48"/>
      <c r="W89" s="48"/>
      <c r="X89" s="48"/>
      <c r="Y89" s="5"/>
      <c r="Z89" s="5"/>
    </row>
    <row r="90" ht="14.25" customHeight="1">
      <c r="A90" s="48"/>
      <c r="B90" s="48"/>
      <c r="C90" s="48"/>
      <c r="D90" s="48"/>
      <c r="E90" s="48"/>
      <c r="F90" s="48"/>
      <c r="G90" s="48"/>
      <c r="H90" s="48"/>
      <c r="I90" s="48"/>
      <c r="J90" s="48"/>
      <c r="K90" s="48"/>
      <c r="L90" s="48"/>
      <c r="M90" s="48"/>
      <c r="N90" s="48"/>
      <c r="O90" s="48"/>
      <c r="P90" s="48"/>
      <c r="Q90" s="48"/>
      <c r="R90" s="48"/>
      <c r="S90" s="84"/>
      <c r="T90" s="84"/>
      <c r="U90" s="84"/>
      <c r="V90" s="48"/>
      <c r="W90" s="48"/>
      <c r="X90" s="48"/>
      <c r="Y90" s="5"/>
      <c r="Z90" s="5"/>
    </row>
    <row r="91" ht="14.25" customHeight="1">
      <c r="A91" s="48"/>
      <c r="B91" s="48"/>
      <c r="C91" s="48"/>
      <c r="D91" s="48"/>
      <c r="E91" s="48"/>
      <c r="F91" s="48"/>
      <c r="G91" s="48"/>
      <c r="H91" s="48"/>
      <c r="I91" s="48"/>
      <c r="J91" s="48"/>
      <c r="K91" s="48"/>
      <c r="L91" s="48"/>
      <c r="M91" s="48"/>
      <c r="N91" s="48"/>
      <c r="O91" s="48"/>
      <c r="P91" s="48"/>
      <c r="Q91" s="48"/>
      <c r="R91" s="48"/>
      <c r="S91" s="84"/>
      <c r="T91" s="84"/>
      <c r="U91" s="84"/>
      <c r="V91" s="48"/>
      <c r="W91" s="48"/>
      <c r="X91" s="48"/>
      <c r="Y91" s="5"/>
      <c r="Z91" s="5"/>
    </row>
    <row r="92" ht="14.25" customHeight="1">
      <c r="A92" s="48"/>
      <c r="B92" s="48"/>
      <c r="C92" s="48"/>
      <c r="D92" s="48"/>
      <c r="E92" s="48"/>
      <c r="F92" s="48"/>
      <c r="G92" s="48"/>
      <c r="H92" s="48"/>
      <c r="I92" s="48"/>
      <c r="J92" s="48"/>
      <c r="K92" s="48"/>
      <c r="L92" s="48"/>
      <c r="M92" s="48"/>
      <c r="N92" s="48"/>
      <c r="O92" s="48"/>
      <c r="P92" s="48"/>
      <c r="Q92" s="48"/>
      <c r="R92" s="48"/>
      <c r="S92" s="84"/>
      <c r="T92" s="84"/>
      <c r="U92" s="84"/>
      <c r="V92" s="48"/>
      <c r="W92" s="48"/>
      <c r="X92" s="48"/>
      <c r="Y92" s="5"/>
      <c r="Z92" s="5"/>
    </row>
    <row r="93" ht="14.25" customHeight="1">
      <c r="A93" s="48"/>
      <c r="B93" s="48"/>
      <c r="C93" s="48"/>
      <c r="D93" s="48"/>
      <c r="E93" s="48"/>
      <c r="F93" s="48"/>
      <c r="G93" s="48"/>
      <c r="H93" s="48"/>
      <c r="I93" s="48"/>
      <c r="J93" s="48"/>
      <c r="K93" s="48"/>
      <c r="L93" s="48"/>
      <c r="M93" s="48"/>
      <c r="N93" s="48"/>
      <c r="O93" s="48"/>
      <c r="P93" s="48"/>
      <c r="Q93" s="48"/>
      <c r="R93" s="48"/>
      <c r="S93" s="84"/>
      <c r="T93" s="84"/>
      <c r="U93" s="84"/>
      <c r="V93" s="48"/>
      <c r="W93" s="48"/>
      <c r="X93" s="48"/>
      <c r="Y93" s="5"/>
      <c r="Z93" s="5"/>
    </row>
    <row r="94" ht="14.25" customHeight="1">
      <c r="A94" s="48"/>
      <c r="B94" s="48"/>
      <c r="C94" s="48"/>
      <c r="D94" s="48"/>
      <c r="E94" s="48"/>
      <c r="F94" s="48"/>
      <c r="G94" s="48"/>
      <c r="H94" s="48"/>
      <c r="I94" s="48"/>
      <c r="J94" s="48"/>
      <c r="K94" s="48"/>
      <c r="L94" s="48"/>
      <c r="M94" s="48"/>
      <c r="N94" s="48"/>
      <c r="O94" s="48"/>
      <c r="P94" s="48"/>
      <c r="Q94" s="48"/>
      <c r="R94" s="48"/>
      <c r="S94" s="84"/>
      <c r="T94" s="84"/>
      <c r="U94" s="84"/>
      <c r="V94" s="48"/>
      <c r="W94" s="48"/>
      <c r="X94" s="48"/>
      <c r="Y94" s="5"/>
      <c r="Z94" s="5"/>
    </row>
    <row r="95" ht="14.25" customHeight="1">
      <c r="A95" s="48"/>
      <c r="B95" s="48"/>
      <c r="C95" s="48"/>
      <c r="D95" s="48"/>
      <c r="E95" s="48"/>
      <c r="F95" s="48"/>
      <c r="G95" s="48"/>
      <c r="H95" s="48"/>
      <c r="I95" s="48"/>
      <c r="J95" s="48"/>
      <c r="K95" s="48"/>
      <c r="L95" s="48"/>
      <c r="M95" s="48"/>
      <c r="N95" s="48"/>
      <c r="O95" s="48"/>
      <c r="P95" s="48"/>
      <c r="Q95" s="84"/>
      <c r="R95" s="84"/>
      <c r="S95" s="84"/>
      <c r="T95" s="84"/>
      <c r="U95" s="84"/>
      <c r="V95" s="48"/>
      <c r="W95" s="48"/>
      <c r="X95" s="48"/>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conditionalFormatting sqref="M26:M28">
    <cfRule type="cellIs" dxfId="0" priority="1" stopIfTrue="1" operator="lessThan">
      <formula>0</formula>
    </cfRule>
  </conditionalFormatting>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2020-11-17T20:12:01Z</dcterms:created>
  <dc:creator>User</dc:creator>
</cp:coreProperties>
</file>