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5"/>
  <workbookPr/>
  <mc:AlternateContent xmlns:mc="http://schemas.openxmlformats.org/markup-compatibility/2006">
    <mc:Choice Requires="x15">
      <x15ac:absPath xmlns:x15ac="http://schemas.microsoft.com/office/spreadsheetml/2010/11/ac" url="/Users/christopherrose/Desktop/"/>
    </mc:Choice>
  </mc:AlternateContent>
  <xr:revisionPtr revIDLastSave="0" documentId="13_ncr:1_{60ABAFE6-72E3-E042-BB08-521E57C90EC6}" xr6:coauthVersionLast="45" xr6:coauthVersionMax="45" xr10:uidLastSave="{00000000-0000-0000-0000-000000000000}"/>
  <workbookProtection workbookAlgorithmName="SHA-512" workbookHashValue="1M18I2B+Ydrvw/X+Uyq2Yysm1Qk7bg7zf1Ce5nIrDSukZ9N9GVSkNoAYZFB1GwRYpRqMlpuNzqNO5mHPaBZ9sg==" workbookSaltValue="MrMf4eKcCTNcwuYMQfg36A==" workbookSpinCount="100000" lockStructure="1"/>
  <bookViews>
    <workbookView xWindow="860" yWindow="460" windowWidth="27940" windowHeight="17540" activeTab="1" xr2:uid="{00000000-000D-0000-FFFF-FFFF00000000}"/>
  </bookViews>
  <sheets>
    <sheet name="Directives" sheetId="8" r:id="rId1"/>
    <sheet name="Ennoncé" sheetId="6" r:id="rId2"/>
    <sheet name="Feuil3" sheetId="9" state="hidden" r:id="rId3"/>
    <sheet name="Feuil4" sheetId="10" state="hidden" r:id="rId4"/>
    <sheet name="Feuil5" sheetId="7" state="hidden"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C8" i="6" l="1"/>
  <c r="AF8" i="6" s="1"/>
  <c r="AL36" i="6"/>
  <c r="AK36" i="6"/>
  <c r="AJ36" i="6"/>
  <c r="AI36" i="6"/>
  <c r="AH36" i="6"/>
  <c r="AG36" i="6"/>
  <c r="AF36" i="6"/>
  <c r="AE36" i="6"/>
  <c r="AD36" i="6"/>
  <c r="O62" i="6"/>
  <c r="V43" i="6"/>
  <c r="U43" i="6"/>
  <c r="T43" i="6"/>
  <c r="S43" i="6"/>
  <c r="R43" i="6"/>
  <c r="Q43" i="6"/>
  <c r="P43" i="6"/>
  <c r="O43" i="6"/>
  <c r="O44" i="6" s="1"/>
  <c r="N43" i="6"/>
  <c r="AI8" i="6" l="1"/>
  <c r="AL8" i="6"/>
  <c r="AH8" i="6"/>
  <c r="AE8" i="6"/>
  <c r="AK8" i="6"/>
  <c r="AG8" i="6"/>
  <c r="AJ8" i="6"/>
  <c r="Q74" i="6"/>
  <c r="Q73" i="6"/>
  <c r="AL32" i="6" l="1"/>
  <c r="L53" i="6"/>
  <c r="V44" i="6"/>
  <c r="P5" i="6"/>
  <c r="L7" i="6" l="1"/>
  <c r="L13" i="6"/>
  <c r="M19" i="6"/>
  <c r="N5" i="6" l="1"/>
  <c r="M21" i="6" s="1"/>
  <c r="L21" i="6"/>
  <c r="L14" i="6"/>
  <c r="L12" i="6"/>
  <c r="N11" i="6" l="1"/>
  <c r="M20" i="6" l="1"/>
  <c r="L19" i="6"/>
  <c r="L20" i="6" l="1"/>
  <c r="AA57" i="6" l="1"/>
  <c r="AL12" i="6"/>
  <c r="AK12" i="6"/>
  <c r="AJ12" i="6"/>
  <c r="AI12" i="6"/>
  <c r="AH12" i="6"/>
  <c r="AG12" i="6"/>
  <c r="AF12" i="6"/>
  <c r="AE12" i="6"/>
  <c r="AL24" i="6"/>
  <c r="AL30" i="6" s="1"/>
  <c r="AL25" i="6"/>
  <c r="AL27" i="6"/>
  <c r="AH21" i="6"/>
  <c r="AD21" i="6"/>
  <c r="AD18" i="6"/>
  <c r="AF9" i="6"/>
  <c r="AF10" i="6" s="1"/>
  <c r="AG9" i="6"/>
  <c r="AG10" i="6" s="1"/>
  <c r="AH9" i="6"/>
  <c r="AH10" i="6" s="1"/>
  <c r="AI9" i="6"/>
  <c r="AI10" i="6" s="1"/>
  <c r="AJ9" i="6"/>
  <c r="AJ10" i="6" s="1"/>
  <c r="AK9" i="6"/>
  <c r="AK10" i="6" s="1"/>
  <c r="AL9" i="6"/>
  <c r="AL10" i="6" s="1"/>
  <c r="AE9" i="6"/>
  <c r="AE10" i="6" s="1"/>
  <c r="AF6" i="6"/>
  <c r="AG6" i="6"/>
  <c r="AH6" i="6"/>
  <c r="AI6" i="6"/>
  <c r="AJ6" i="6"/>
  <c r="AK6" i="6"/>
  <c r="AL6" i="6"/>
  <c r="AE6" i="6"/>
  <c r="AF7" i="6"/>
  <c r="AG7" i="6"/>
  <c r="AH7" i="6"/>
  <c r="AI7" i="6"/>
  <c r="AJ7" i="6"/>
  <c r="AK7" i="6"/>
  <c r="AL7" i="6"/>
  <c r="AE7" i="6"/>
  <c r="N71" i="6"/>
  <c r="O71" i="6"/>
  <c r="P71" i="6"/>
  <c r="Q71" i="6"/>
  <c r="R71" i="6"/>
  <c r="S71" i="6"/>
  <c r="T71" i="6"/>
  <c r="U69" i="6"/>
  <c r="T69" i="6"/>
  <c r="S69" i="6"/>
  <c r="R69" i="6"/>
  <c r="Q70" i="6"/>
  <c r="Q69" i="6"/>
  <c r="P69" i="6"/>
  <c r="O69" i="6"/>
  <c r="N69" i="6"/>
  <c r="O29" i="6"/>
  <c r="O42" i="6" s="1"/>
  <c r="R50" i="6" s="1"/>
  <c r="P44" i="6"/>
  <c r="R51" i="6" s="1"/>
  <c r="Q44" i="6"/>
  <c r="R52" i="6" s="1"/>
  <c r="P42" i="6"/>
  <c r="T42" i="6"/>
  <c r="T44" i="6" s="1"/>
  <c r="R55" i="6" s="1"/>
  <c r="U42" i="6"/>
  <c r="U44" i="6" s="1"/>
  <c r="R56" i="6" s="1"/>
  <c r="S42" i="6"/>
  <c r="R42" i="6"/>
  <c r="Q42" i="6"/>
  <c r="V29" i="6"/>
  <c r="P29" i="6"/>
  <c r="Q29" i="6"/>
  <c r="R29" i="6"/>
  <c r="S29" i="6"/>
  <c r="T29" i="6"/>
  <c r="U29" i="6"/>
  <c r="V26" i="6"/>
  <c r="P26" i="6"/>
  <c r="Q26" i="6"/>
  <c r="R26" i="6"/>
  <c r="S26" i="6"/>
  <c r="T26" i="6"/>
  <c r="U26" i="6"/>
  <c r="O26" i="6"/>
  <c r="V27" i="6"/>
  <c r="U27" i="6"/>
  <c r="T27" i="6"/>
  <c r="S27" i="6"/>
  <c r="V25" i="6"/>
  <c r="U25" i="6"/>
  <c r="T25" i="6"/>
  <c r="S25" i="6"/>
  <c r="R25" i="6"/>
  <c r="Q25" i="6"/>
  <c r="P25" i="6"/>
  <c r="O25" i="6"/>
  <c r="N31" i="6"/>
  <c r="V38" i="6"/>
  <c r="V37" i="6"/>
  <c r="S44" i="6"/>
  <c r="R54" i="6" s="1"/>
  <c r="R44" i="6"/>
  <c r="R53" i="6" s="1"/>
  <c r="N32" i="6"/>
  <c r="AD19" i="6" s="1"/>
  <c r="N10" i="6"/>
  <c r="N6" i="6"/>
  <c r="AF11" i="6" l="1"/>
  <c r="AF16" i="6" s="1"/>
  <c r="AE11" i="6"/>
  <c r="AE16" i="6" s="1"/>
  <c r="AI11" i="6"/>
  <c r="AI16" i="6" s="1"/>
  <c r="AJ11" i="6"/>
  <c r="AJ16" i="6" s="1"/>
  <c r="AL11" i="6"/>
  <c r="AL16" i="6" s="1"/>
  <c r="AH11" i="6"/>
  <c r="AH16" i="6" s="1"/>
  <c r="AK11" i="6"/>
  <c r="AK16" i="6" s="1"/>
  <c r="AG11" i="6"/>
  <c r="AG16" i="6"/>
  <c r="AE13" i="6"/>
  <c r="AL31" i="6"/>
  <c r="N33" i="6"/>
  <c r="AD20" i="6" s="1"/>
  <c r="V39" i="6"/>
  <c r="AL26" i="6" s="1"/>
  <c r="R96" i="9"/>
  <c r="S111" i="9" s="1"/>
  <c r="S112" i="9" s="1"/>
  <c r="R97" i="9"/>
  <c r="R98" i="9"/>
  <c r="R99" i="9"/>
  <c r="R100" i="9"/>
  <c r="R101" i="9"/>
  <c r="R102" i="9"/>
  <c r="R103" i="9"/>
  <c r="R104" i="9"/>
  <c r="R105" i="9"/>
  <c r="R108" i="9"/>
  <c r="U70" i="6" l="1"/>
  <c r="U71" i="6" s="1"/>
  <c r="AD35" i="6"/>
  <c r="AD37" i="6" s="1"/>
  <c r="N42" i="6"/>
  <c r="M70" i="6" s="1"/>
  <c r="M71" i="6" s="1"/>
  <c r="V42" i="6"/>
  <c r="AJ13" i="6"/>
  <c r="AJ35" i="6" s="1"/>
  <c r="AF13" i="6"/>
  <c r="AF35" i="6" s="1"/>
  <c r="AF37" i="6" s="1"/>
  <c r="AI13" i="6"/>
  <c r="AI35" i="6" s="1"/>
  <c r="AI37" i="6" s="1"/>
  <c r="AE35" i="6"/>
  <c r="AE37" i="6" s="1"/>
  <c r="AG13" i="6"/>
  <c r="AG35" i="6" s="1"/>
  <c r="AG37" i="6" s="1"/>
  <c r="AH13" i="6"/>
  <c r="AH35" i="6" s="1"/>
  <c r="AH37" i="6" s="1"/>
  <c r="AL13" i="6"/>
  <c r="AK13" i="6"/>
  <c r="AK35" i="6" s="1"/>
  <c r="AK37" i="6" s="1"/>
  <c r="S28" i="9"/>
  <c r="Q26" i="9"/>
  <c r="AG7" i="9" s="1"/>
  <c r="AW7" i="9" s="1"/>
  <c r="O31" i="9"/>
  <c r="AE18" i="9" s="1"/>
  <c r="AU18" i="9" s="1"/>
  <c r="P31" i="9"/>
  <c r="AF18" i="9" s="1"/>
  <c r="AV18" i="9" s="1"/>
  <c r="Q31" i="9"/>
  <c r="R31" i="9"/>
  <c r="AH18" i="9" s="1"/>
  <c r="AX18" i="9" s="1"/>
  <c r="S31" i="9"/>
  <c r="AI18" i="9" s="1"/>
  <c r="AY18" i="9" s="1"/>
  <c r="T31" i="9"/>
  <c r="AJ18" i="9" s="1"/>
  <c r="AZ18" i="9" s="1"/>
  <c r="U31" i="9"/>
  <c r="V31" i="9"/>
  <c r="AL18" i="9" s="1"/>
  <c r="BB18" i="9" s="1"/>
  <c r="O32" i="9"/>
  <c r="AE19" i="9" s="1"/>
  <c r="AU19" i="9" s="1"/>
  <c r="P32" i="9"/>
  <c r="AF19" i="9" s="1"/>
  <c r="AV19" i="9" s="1"/>
  <c r="Q32" i="9"/>
  <c r="R32" i="9"/>
  <c r="AH19" i="9" s="1"/>
  <c r="AX19" i="9" s="1"/>
  <c r="S32" i="9"/>
  <c r="AI19" i="9" s="1"/>
  <c r="AY19" i="9" s="1"/>
  <c r="T32" i="9"/>
  <c r="AJ19" i="9" s="1"/>
  <c r="AZ19" i="9" s="1"/>
  <c r="U32" i="9"/>
  <c r="V32" i="9"/>
  <c r="AL19" i="9" s="1"/>
  <c r="BB19" i="9" s="1"/>
  <c r="O33" i="9"/>
  <c r="AE20" i="9" s="1"/>
  <c r="AU20" i="9" s="1"/>
  <c r="P33" i="9"/>
  <c r="AF20" i="9" s="1"/>
  <c r="AV20" i="9" s="1"/>
  <c r="Q33" i="9"/>
  <c r="R33" i="9"/>
  <c r="AH20" i="9" s="1"/>
  <c r="AX20" i="9" s="1"/>
  <c r="S33" i="9"/>
  <c r="AI20" i="9" s="1"/>
  <c r="AY20" i="9" s="1"/>
  <c r="T33" i="9"/>
  <c r="AJ20" i="9" s="1"/>
  <c r="AZ20" i="9" s="1"/>
  <c r="U33" i="9"/>
  <c r="V33" i="9"/>
  <c r="AL20" i="9" s="1"/>
  <c r="BB20" i="9" s="1"/>
  <c r="O34" i="9"/>
  <c r="AE21" i="9" s="1"/>
  <c r="AU21" i="9" s="1"/>
  <c r="P34" i="9"/>
  <c r="AF21" i="9" s="1"/>
  <c r="AV21" i="9" s="1"/>
  <c r="Q34" i="9"/>
  <c r="R34" i="9"/>
  <c r="AH21" i="9" s="1"/>
  <c r="AX21" i="9" s="1"/>
  <c r="S34" i="9"/>
  <c r="AI21" i="9" s="1"/>
  <c r="AY21" i="9" s="1"/>
  <c r="T34" i="9"/>
  <c r="AJ21" i="9" s="1"/>
  <c r="AZ21" i="9" s="1"/>
  <c r="U34" i="9"/>
  <c r="V34" i="9"/>
  <c r="AL21" i="9" s="1"/>
  <c r="BB21" i="9" s="1"/>
  <c r="O35" i="9"/>
  <c r="AE22" i="9" s="1"/>
  <c r="AU22" i="9" s="1"/>
  <c r="P35" i="9"/>
  <c r="AF22" i="9" s="1"/>
  <c r="AV22" i="9" s="1"/>
  <c r="Q35" i="9"/>
  <c r="R35" i="9"/>
  <c r="AH22" i="9" s="1"/>
  <c r="AX22" i="9" s="1"/>
  <c r="S35" i="9"/>
  <c r="AI22" i="9" s="1"/>
  <c r="AY22" i="9" s="1"/>
  <c r="T35" i="9"/>
  <c r="AJ22" i="9" s="1"/>
  <c r="AZ22" i="9" s="1"/>
  <c r="U35" i="9"/>
  <c r="V35" i="9"/>
  <c r="AL22" i="9" s="1"/>
  <c r="BB22" i="9" s="1"/>
  <c r="O36" i="9"/>
  <c r="AE23" i="9" s="1"/>
  <c r="AU23" i="9" s="1"/>
  <c r="P36" i="9"/>
  <c r="AF23" i="9" s="1"/>
  <c r="AV23" i="9" s="1"/>
  <c r="Q36" i="9"/>
  <c r="AG23" i="9" s="1"/>
  <c r="AW23" i="9" s="1"/>
  <c r="R36" i="9"/>
  <c r="AH23" i="9" s="1"/>
  <c r="AX23" i="9" s="1"/>
  <c r="S36" i="9"/>
  <c r="AI23" i="9" s="1"/>
  <c r="AY23" i="9" s="1"/>
  <c r="T36" i="9"/>
  <c r="AJ23" i="9" s="1"/>
  <c r="AZ23" i="9" s="1"/>
  <c r="U36" i="9"/>
  <c r="AK23" i="9" s="1"/>
  <c r="BA23" i="9" s="1"/>
  <c r="V36" i="9"/>
  <c r="AL23" i="9" s="1"/>
  <c r="BB23" i="9" s="1"/>
  <c r="O37" i="9"/>
  <c r="P37" i="9"/>
  <c r="AF24" i="9" s="1"/>
  <c r="AV24" i="9" s="1"/>
  <c r="Q37" i="9"/>
  <c r="AG24" i="9" s="1"/>
  <c r="AW24" i="9" s="1"/>
  <c r="R37" i="9"/>
  <c r="AH24" i="9" s="1"/>
  <c r="AX24" i="9" s="1"/>
  <c r="S37" i="9"/>
  <c r="T37" i="9"/>
  <c r="AJ24" i="9" s="1"/>
  <c r="AZ24" i="9" s="1"/>
  <c r="U37" i="9"/>
  <c r="AK24" i="9" s="1"/>
  <c r="BA24" i="9" s="1"/>
  <c r="O38" i="9"/>
  <c r="AE25" i="9" s="1"/>
  <c r="AU25" i="9" s="1"/>
  <c r="P38" i="9"/>
  <c r="AF25" i="9" s="1"/>
  <c r="AV25" i="9" s="1"/>
  <c r="Q38" i="9"/>
  <c r="AG25" i="9" s="1"/>
  <c r="AW25" i="9" s="1"/>
  <c r="R38" i="9"/>
  <c r="AH25" i="9" s="1"/>
  <c r="AX25" i="9" s="1"/>
  <c r="S38" i="9"/>
  <c r="AI25" i="9" s="1"/>
  <c r="AY25" i="9" s="1"/>
  <c r="T38" i="9"/>
  <c r="AJ25" i="9" s="1"/>
  <c r="AZ25" i="9" s="1"/>
  <c r="U38" i="9"/>
  <c r="AK25" i="9" s="1"/>
  <c r="BA25" i="9" s="1"/>
  <c r="V38" i="9"/>
  <c r="AL25" i="9" s="1"/>
  <c r="BB25" i="9" s="1"/>
  <c r="O39" i="9"/>
  <c r="AE26" i="9" s="1"/>
  <c r="AU26" i="9" s="1"/>
  <c r="P39" i="9"/>
  <c r="AF26" i="9" s="1"/>
  <c r="AV26" i="9" s="1"/>
  <c r="Q39" i="9"/>
  <c r="AG26" i="9" s="1"/>
  <c r="AW26" i="9" s="1"/>
  <c r="R39" i="9"/>
  <c r="AH26" i="9" s="1"/>
  <c r="AX26" i="9" s="1"/>
  <c r="S39" i="9"/>
  <c r="AI26" i="9" s="1"/>
  <c r="AY26" i="9" s="1"/>
  <c r="T39" i="9"/>
  <c r="AJ26" i="9" s="1"/>
  <c r="AZ26" i="9" s="1"/>
  <c r="U39" i="9"/>
  <c r="AK26" i="9" s="1"/>
  <c r="BA26" i="9" s="1"/>
  <c r="O40" i="9"/>
  <c r="AE27" i="9" s="1"/>
  <c r="AU27" i="9" s="1"/>
  <c r="P40" i="9"/>
  <c r="AF27" i="9" s="1"/>
  <c r="AV27" i="9" s="1"/>
  <c r="Q40" i="9"/>
  <c r="AG27" i="9" s="1"/>
  <c r="AW27" i="9" s="1"/>
  <c r="R40" i="9"/>
  <c r="AH27" i="9" s="1"/>
  <c r="AX27" i="9" s="1"/>
  <c r="S40" i="9"/>
  <c r="AI27" i="9" s="1"/>
  <c r="AY27" i="9" s="1"/>
  <c r="T40" i="9"/>
  <c r="AJ27" i="9" s="1"/>
  <c r="AZ27" i="9" s="1"/>
  <c r="U40" i="9"/>
  <c r="AK27" i="9" s="1"/>
  <c r="BA27" i="9" s="1"/>
  <c r="V40" i="9"/>
  <c r="AL27" i="9" s="1"/>
  <c r="BB27" i="9" s="1"/>
  <c r="O41" i="9"/>
  <c r="AE28" i="9" s="1"/>
  <c r="AU28" i="9" s="1"/>
  <c r="P41" i="9"/>
  <c r="AF28" i="9" s="1"/>
  <c r="AV28" i="9" s="1"/>
  <c r="Q41" i="9"/>
  <c r="AG28" i="9" s="1"/>
  <c r="AW28" i="9" s="1"/>
  <c r="R41" i="9"/>
  <c r="AH28" i="9" s="1"/>
  <c r="AX28" i="9" s="1"/>
  <c r="S41" i="9"/>
  <c r="AI28" i="9" s="1"/>
  <c r="AY28" i="9" s="1"/>
  <c r="T41" i="9"/>
  <c r="AJ28" i="9" s="1"/>
  <c r="AZ28" i="9" s="1"/>
  <c r="U41" i="9"/>
  <c r="V41" i="9"/>
  <c r="AL28" i="9" s="1"/>
  <c r="BB28" i="9" s="1"/>
  <c r="N34" i="9"/>
  <c r="AD21" i="9" s="1"/>
  <c r="AT21" i="9" s="1"/>
  <c r="N35" i="9"/>
  <c r="AD22" i="9" s="1"/>
  <c r="AT22" i="9" s="1"/>
  <c r="N36" i="9"/>
  <c r="AD23" i="9" s="1"/>
  <c r="AT23" i="9" s="1"/>
  <c r="N37" i="9"/>
  <c r="AD24" i="9" s="1"/>
  <c r="AT24" i="9" s="1"/>
  <c r="N38" i="9"/>
  <c r="N39" i="9"/>
  <c r="AD26" i="9" s="1"/>
  <c r="AT26" i="9" s="1"/>
  <c r="N40" i="9"/>
  <c r="N41" i="9"/>
  <c r="AD28" i="9" s="1"/>
  <c r="AT28" i="9" s="1"/>
  <c r="N31" i="9"/>
  <c r="AD18" i="9" s="1"/>
  <c r="AT18" i="9" s="1"/>
  <c r="AU17" i="9"/>
  <c r="AV17" i="9"/>
  <c r="AW17" i="9"/>
  <c r="AX17" i="9"/>
  <c r="AY17" i="9"/>
  <c r="AZ17" i="9"/>
  <c r="BA17" i="9"/>
  <c r="BB17" i="9"/>
  <c r="AT17" i="9"/>
  <c r="AV8" i="9"/>
  <c r="AW8" i="9"/>
  <c r="AX8" i="9"/>
  <c r="AY8" i="9"/>
  <c r="AZ8" i="9"/>
  <c r="BA8" i="9"/>
  <c r="BB8" i="9"/>
  <c r="AU8" i="9"/>
  <c r="AG22" i="9"/>
  <c r="AW22" i="9" s="1"/>
  <c r="AK22" i="9"/>
  <c r="BA22" i="9" s="1"/>
  <c r="AE24" i="9"/>
  <c r="AU24" i="9" s="1"/>
  <c r="AI24" i="9"/>
  <c r="AY24" i="9" s="1"/>
  <c r="AD25" i="9"/>
  <c r="AT25" i="9" s="1"/>
  <c r="AD27" i="9"/>
  <c r="AT27" i="9" s="1"/>
  <c r="AK28" i="9"/>
  <c r="BA28" i="9" s="1"/>
  <c r="AG18" i="9"/>
  <c r="AW18" i="9" s="1"/>
  <c r="AK18" i="9"/>
  <c r="BA18" i="9" s="1"/>
  <c r="AG19" i="9"/>
  <c r="AW19" i="9" s="1"/>
  <c r="AK19" i="9"/>
  <c r="BA19" i="9" s="1"/>
  <c r="AG20" i="9"/>
  <c r="AW20" i="9" s="1"/>
  <c r="AK20" i="9"/>
  <c r="BA20" i="9" s="1"/>
  <c r="AG21" i="9"/>
  <c r="AW21" i="9" s="1"/>
  <c r="AK21" i="9"/>
  <c r="BA21" i="9" s="1"/>
  <c r="O27" i="9"/>
  <c r="AE8" i="9" s="1"/>
  <c r="P27" i="9"/>
  <c r="AF8" i="9" s="1"/>
  <c r="Q27" i="9"/>
  <c r="AG8" i="9" s="1"/>
  <c r="R27" i="9"/>
  <c r="AH8" i="9" s="1"/>
  <c r="S27" i="9"/>
  <c r="AI8" i="9" s="1"/>
  <c r="T27" i="9"/>
  <c r="AJ8" i="9" s="1"/>
  <c r="U27" i="9"/>
  <c r="AK8" i="9" s="1"/>
  <c r="V27" i="9"/>
  <c r="AL8" i="9" s="1"/>
  <c r="O28" i="9"/>
  <c r="AE9" i="9" s="1"/>
  <c r="P26" i="9"/>
  <c r="AF7" i="9" s="1"/>
  <c r="AV7" i="9" s="1"/>
  <c r="R26" i="9"/>
  <c r="AH7" i="9" s="1"/>
  <c r="AX7" i="9" s="1"/>
  <c r="S26" i="9"/>
  <c r="AI7" i="9" s="1"/>
  <c r="AY7" i="9" s="1"/>
  <c r="U26" i="9"/>
  <c r="AK7" i="9" s="1"/>
  <c r="BA7" i="9" s="1"/>
  <c r="O26" i="9"/>
  <c r="AE7" i="9" s="1"/>
  <c r="AU7" i="9" s="1"/>
  <c r="P25" i="9"/>
  <c r="AF6" i="9" s="1"/>
  <c r="AV6" i="9" s="1"/>
  <c r="Q25" i="9"/>
  <c r="AG6" i="9" s="1"/>
  <c r="AW6" i="9" s="1"/>
  <c r="R25" i="9"/>
  <c r="AH6" i="9" s="1"/>
  <c r="AX6" i="9" s="1"/>
  <c r="S25" i="9"/>
  <c r="AI6" i="9" s="1"/>
  <c r="AY6" i="9" s="1"/>
  <c r="T25" i="9"/>
  <c r="AJ6" i="9" s="1"/>
  <c r="AZ6" i="9" s="1"/>
  <c r="U25" i="9"/>
  <c r="AK6" i="9" s="1"/>
  <c r="BA6" i="9" s="1"/>
  <c r="V25" i="9"/>
  <c r="AL6" i="9" s="1"/>
  <c r="BB6" i="9" s="1"/>
  <c r="O25" i="9"/>
  <c r="M95" i="9" s="1"/>
  <c r="N93" i="9"/>
  <c r="M19" i="7"/>
  <c r="N88" i="9"/>
  <c r="M20" i="9"/>
  <c r="M93" i="9" s="1"/>
  <c r="L19" i="9"/>
  <c r="M88" i="9" s="1"/>
  <c r="U69" i="9"/>
  <c r="T69" i="9"/>
  <c r="S69" i="9"/>
  <c r="R69" i="9"/>
  <c r="Q69" i="9"/>
  <c r="P69" i="9"/>
  <c r="O69" i="9"/>
  <c r="N69" i="9"/>
  <c r="M67" i="9"/>
  <c r="Q59" i="9"/>
  <c r="AB57" i="9"/>
  <c r="AB56" i="9"/>
  <c r="M48" i="9"/>
  <c r="AT46" i="9"/>
  <c r="AS46" i="9"/>
  <c r="AD46" i="9"/>
  <c r="AC46" i="9"/>
  <c r="AT45" i="9"/>
  <c r="AS45" i="9"/>
  <c r="AD45" i="9"/>
  <c r="AC45" i="9"/>
  <c r="AT44" i="9"/>
  <c r="AS44" i="9"/>
  <c r="AD44" i="9"/>
  <c r="AC44" i="9"/>
  <c r="V43" i="9"/>
  <c r="U43" i="9"/>
  <c r="T43" i="9"/>
  <c r="S43" i="9"/>
  <c r="R43" i="9"/>
  <c r="Q43" i="9"/>
  <c r="P43" i="9"/>
  <c r="O43" i="9"/>
  <c r="N43" i="9"/>
  <c r="BB36" i="9"/>
  <c r="BA36" i="9"/>
  <c r="AZ36" i="9"/>
  <c r="AY36" i="9"/>
  <c r="AX36" i="9"/>
  <c r="AW36" i="9"/>
  <c r="AV36" i="9"/>
  <c r="AU36" i="9"/>
  <c r="AT36" i="9"/>
  <c r="AL36" i="9"/>
  <c r="AK36" i="9"/>
  <c r="AJ36" i="9"/>
  <c r="AI36" i="9"/>
  <c r="AH36" i="9"/>
  <c r="AG36" i="9"/>
  <c r="AF36" i="9"/>
  <c r="AE36" i="9"/>
  <c r="AD36" i="9"/>
  <c r="AC26" i="9"/>
  <c r="AS26" i="9" s="1"/>
  <c r="P8" i="9"/>
  <c r="Q7" i="9"/>
  <c r="Q6" i="9"/>
  <c r="L6" i="9"/>
  <c r="L9" i="9" s="1"/>
  <c r="M48" i="7"/>
  <c r="U69" i="7"/>
  <c r="T69" i="7"/>
  <c r="S69" i="7"/>
  <c r="R69" i="7"/>
  <c r="Q69" i="7"/>
  <c r="P69" i="7"/>
  <c r="O69" i="7"/>
  <c r="N69" i="7"/>
  <c r="M67" i="7"/>
  <c r="Q59" i="7"/>
  <c r="AB57" i="7"/>
  <c r="AB56" i="7"/>
  <c r="AT46" i="7"/>
  <c r="AS46" i="7"/>
  <c r="AD46" i="7"/>
  <c r="AC46" i="7"/>
  <c r="AT45" i="7"/>
  <c r="AS45" i="7"/>
  <c r="AD45" i="7"/>
  <c r="AC45" i="7"/>
  <c r="AT44" i="7"/>
  <c r="AS44" i="7"/>
  <c r="AD44" i="7"/>
  <c r="AC44" i="7"/>
  <c r="V43" i="7"/>
  <c r="U43" i="7"/>
  <c r="T43" i="7"/>
  <c r="S43" i="7"/>
  <c r="R43" i="7"/>
  <c r="Q43" i="7"/>
  <c r="P43" i="7"/>
  <c r="O43" i="7"/>
  <c r="N43" i="7"/>
  <c r="V40" i="7"/>
  <c r="AL27" i="7" s="1"/>
  <c r="BB27" i="7" s="1"/>
  <c r="BB36" i="7"/>
  <c r="BA36" i="7"/>
  <c r="AZ36" i="7"/>
  <c r="AY36" i="7"/>
  <c r="AX36" i="7"/>
  <c r="AW36" i="7"/>
  <c r="AV36" i="7"/>
  <c r="AU36" i="7"/>
  <c r="AT36" i="7"/>
  <c r="AL36" i="7"/>
  <c r="AK36" i="7"/>
  <c r="AJ36" i="7"/>
  <c r="AI36" i="7"/>
  <c r="AH36" i="7"/>
  <c r="AG36" i="7"/>
  <c r="AF36" i="7"/>
  <c r="AE36" i="7"/>
  <c r="AD36" i="7"/>
  <c r="N31" i="7"/>
  <c r="V27" i="7"/>
  <c r="V28" i="7" s="1"/>
  <c r="U27" i="7"/>
  <c r="U28" i="7" s="1"/>
  <c r="T27" i="7"/>
  <c r="S27" i="7"/>
  <c r="R27" i="7"/>
  <c r="R28" i="7" s="1"/>
  <c r="Q27" i="7"/>
  <c r="Q28" i="7" s="1"/>
  <c r="P27" i="7"/>
  <c r="AC26" i="7"/>
  <c r="AS26" i="7" s="1"/>
  <c r="V26" i="7"/>
  <c r="AL7" i="7" s="1"/>
  <c r="BB7" i="7" s="1"/>
  <c r="U26" i="7"/>
  <c r="T26" i="7"/>
  <c r="AJ7" i="7" s="1"/>
  <c r="AZ7" i="7" s="1"/>
  <c r="R26" i="7"/>
  <c r="Q26" i="7"/>
  <c r="P26" i="7"/>
  <c r="V25" i="7"/>
  <c r="U25" i="7"/>
  <c r="AK6" i="7" s="1"/>
  <c r="BA6" i="7" s="1"/>
  <c r="BA9" i="7" s="1"/>
  <c r="T25" i="7"/>
  <c r="S25" i="7"/>
  <c r="AI6" i="7" s="1"/>
  <c r="AY6" i="7" s="1"/>
  <c r="AY9" i="7" s="1"/>
  <c r="R25" i="7"/>
  <c r="Q25" i="7"/>
  <c r="AG6" i="7" s="1"/>
  <c r="AW6" i="7" s="1"/>
  <c r="AW9" i="7" s="1"/>
  <c r="P25" i="7"/>
  <c r="O25" i="7"/>
  <c r="N95" i="9" s="1"/>
  <c r="AH21" i="7"/>
  <c r="AX21" i="7" s="1"/>
  <c r="AD21" i="7"/>
  <c r="AT21" i="7" s="1"/>
  <c r="M20" i="7"/>
  <c r="V38" i="7" s="1"/>
  <c r="AL25" i="7" s="1"/>
  <c r="T19" i="7"/>
  <c r="V37" i="7"/>
  <c r="AL24" i="7" s="1"/>
  <c r="BB24" i="7" s="1"/>
  <c r="AT48" i="7" s="1"/>
  <c r="AD18" i="7"/>
  <c r="AE11" i="7"/>
  <c r="AL8" i="7"/>
  <c r="BB8" i="7" s="1"/>
  <c r="AK8" i="7"/>
  <c r="BA8" i="7" s="1"/>
  <c r="AJ8" i="7"/>
  <c r="AZ8" i="7" s="1"/>
  <c r="AI8" i="7"/>
  <c r="AY8" i="7" s="1"/>
  <c r="AH8" i="7"/>
  <c r="AX8" i="7" s="1"/>
  <c r="AG8" i="7"/>
  <c r="AW8" i="7" s="1"/>
  <c r="AF8" i="7"/>
  <c r="AV8" i="7" s="1"/>
  <c r="AE8" i="7"/>
  <c r="AU8" i="7" s="1"/>
  <c r="P8" i="7"/>
  <c r="Q7" i="7" s="1"/>
  <c r="AK7" i="7"/>
  <c r="BA7" i="7" s="1"/>
  <c r="AI7" i="7"/>
  <c r="AY7" i="7" s="1"/>
  <c r="AH7" i="7"/>
  <c r="AX7" i="7" s="1"/>
  <c r="AG7" i="7"/>
  <c r="AW7" i="7" s="1"/>
  <c r="AF7" i="7"/>
  <c r="AV7" i="7" s="1"/>
  <c r="AE7" i="7"/>
  <c r="AU7" i="7" s="1"/>
  <c r="AL6" i="7"/>
  <c r="BB6" i="7" s="1"/>
  <c r="BB9" i="7" s="1"/>
  <c r="BB10" i="7" s="1"/>
  <c r="AJ6" i="7"/>
  <c r="AZ6" i="7" s="1"/>
  <c r="AZ9" i="7" s="1"/>
  <c r="AZ10" i="7" s="1"/>
  <c r="AH6" i="7"/>
  <c r="AX6" i="7" s="1"/>
  <c r="AX9" i="7" s="1"/>
  <c r="AX10" i="7" s="1"/>
  <c r="AF6" i="7"/>
  <c r="AV6" i="7" s="1"/>
  <c r="AV9" i="7" s="1"/>
  <c r="AV10" i="7" s="1"/>
  <c r="Q6" i="7"/>
  <c r="L6" i="7"/>
  <c r="L9" i="7" s="1"/>
  <c r="W75" i="6" l="1"/>
  <c r="N44" i="6"/>
  <c r="S49" i="6" s="1"/>
  <c r="S50" i="6" s="1"/>
  <c r="S51" i="6" s="1"/>
  <c r="S52" i="6" s="1"/>
  <c r="S53" i="6" s="1"/>
  <c r="S54" i="6" s="1"/>
  <c r="S55" i="6" s="1"/>
  <c r="R59" i="6" s="1"/>
  <c r="R57" i="6"/>
  <c r="AL35" i="6"/>
  <c r="S28" i="7"/>
  <c r="P28" i="7"/>
  <c r="P29" i="7" s="1"/>
  <c r="P42" i="7" s="1"/>
  <c r="T28" i="7"/>
  <c r="O28" i="7"/>
  <c r="N96" i="9"/>
  <c r="AE6" i="7"/>
  <c r="AU6" i="7" s="1"/>
  <c r="AU9" i="7" s="1"/>
  <c r="R29" i="7"/>
  <c r="R53" i="7" s="1"/>
  <c r="P93" i="9"/>
  <c r="O93" i="9"/>
  <c r="O88" i="9"/>
  <c r="P88" i="9"/>
  <c r="P95" i="9"/>
  <c r="O95" i="9"/>
  <c r="AE11" i="9"/>
  <c r="AU11" i="9" s="1"/>
  <c r="O29" i="9"/>
  <c r="O42" i="9" s="1"/>
  <c r="O44" i="9" s="1"/>
  <c r="R50" i="9" s="1"/>
  <c r="M19" i="9"/>
  <c r="AD48" i="9" s="1"/>
  <c r="V26" i="9"/>
  <c r="AL7" i="9" s="1"/>
  <c r="BB7" i="9" s="1"/>
  <c r="T26" i="9"/>
  <c r="AJ7" i="9" s="1"/>
  <c r="AZ7" i="9" s="1"/>
  <c r="Q28" i="9"/>
  <c r="AG9" i="9" s="1"/>
  <c r="U28" i="9"/>
  <c r="N92" i="9"/>
  <c r="AD43" i="9"/>
  <c r="AD47" i="9" s="1"/>
  <c r="AC48" i="9"/>
  <c r="M96" i="9"/>
  <c r="AE6" i="9"/>
  <c r="AU6" i="9" s="1"/>
  <c r="AU9" i="9" s="1"/>
  <c r="AU10" i="9" s="1"/>
  <c r="AX9" i="9"/>
  <c r="AX10" i="9" s="1"/>
  <c r="BB9" i="9"/>
  <c r="BA9" i="9"/>
  <c r="BA10" i="9" s="1"/>
  <c r="AY9" i="9"/>
  <c r="AY10" i="9" s="1"/>
  <c r="AW9" i="9"/>
  <c r="AW10" i="9" s="1"/>
  <c r="AV9" i="9"/>
  <c r="AV10" i="9" s="1"/>
  <c r="AZ9" i="9"/>
  <c r="AI9" i="9"/>
  <c r="AK9" i="9"/>
  <c r="AS48" i="9"/>
  <c r="AU10" i="7"/>
  <c r="AW10" i="7"/>
  <c r="AY10" i="7"/>
  <c r="BA10" i="7"/>
  <c r="P44" i="7"/>
  <c r="R51" i="7" s="1"/>
  <c r="O70" i="7"/>
  <c r="L21" i="7"/>
  <c r="L20" i="7"/>
  <c r="AC48" i="7"/>
  <c r="BB25" i="7"/>
  <c r="AS48" i="7" s="1"/>
  <c r="Q29" i="7"/>
  <c r="AG9" i="7"/>
  <c r="U29" i="7"/>
  <c r="AK9" i="7"/>
  <c r="AU11" i="7"/>
  <c r="AD48" i="7"/>
  <c r="AD43" i="7"/>
  <c r="AD47" i="7" s="1"/>
  <c r="T29" i="7"/>
  <c r="V29" i="7"/>
  <c r="AF9" i="7"/>
  <c r="AH9" i="7"/>
  <c r="AJ9" i="7"/>
  <c r="AL9" i="7"/>
  <c r="AF10" i="7"/>
  <c r="AH10" i="7"/>
  <c r="AF11" i="7"/>
  <c r="AV11" i="7" s="1"/>
  <c r="AT18" i="7"/>
  <c r="M45" i="6" l="1"/>
  <c r="L52" i="6" s="1"/>
  <c r="M54" i="6" s="1"/>
  <c r="S56" i="6"/>
  <c r="S57" i="6" s="1"/>
  <c r="AZ10" i="9"/>
  <c r="O29" i="7"/>
  <c r="AE9" i="7"/>
  <c r="N32" i="7"/>
  <c r="N89" i="9"/>
  <c r="M21" i="7"/>
  <c r="N90" i="9"/>
  <c r="R42" i="7"/>
  <c r="AE10" i="9"/>
  <c r="S29" i="7"/>
  <c r="AI9" i="7"/>
  <c r="Q88" i="9"/>
  <c r="S88" i="9" s="1"/>
  <c r="Q95" i="9"/>
  <c r="S95" i="9" s="1"/>
  <c r="Q93" i="9"/>
  <c r="S93" i="9" s="1"/>
  <c r="N70" i="9"/>
  <c r="AF11" i="9"/>
  <c r="AV11" i="9" s="1"/>
  <c r="P96" i="9"/>
  <c r="O96" i="9"/>
  <c r="BB10" i="9"/>
  <c r="N32" i="9"/>
  <c r="AD19" i="9" s="1"/>
  <c r="AT19" i="9" s="1"/>
  <c r="AS43" i="9" s="1"/>
  <c r="AS47" i="9" s="1"/>
  <c r="AS49" i="9" s="1"/>
  <c r="S29" i="9"/>
  <c r="M92" i="9"/>
  <c r="AD49" i="9"/>
  <c r="AD50" i="9" s="1"/>
  <c r="AL31" i="9" s="1"/>
  <c r="BB31" i="9" s="1"/>
  <c r="V37" i="9"/>
  <c r="AL24" i="9" s="1"/>
  <c r="BB24" i="9" s="1"/>
  <c r="AT48" i="9" s="1"/>
  <c r="V28" i="9"/>
  <c r="R28" i="9"/>
  <c r="U29" i="9"/>
  <c r="L20" i="9"/>
  <c r="M89" i="9" s="1"/>
  <c r="T28" i="9"/>
  <c r="P28" i="9"/>
  <c r="AF9" i="9" s="1"/>
  <c r="Q29" i="9"/>
  <c r="Q42" i="9" s="1"/>
  <c r="P70" i="9" s="1"/>
  <c r="L21" i="9"/>
  <c r="N94" i="9" s="1"/>
  <c r="AT43" i="9"/>
  <c r="AT47" i="9" s="1"/>
  <c r="AD49" i="7"/>
  <c r="AD50" i="7" s="1"/>
  <c r="AL31" i="7" s="1"/>
  <c r="BB31" i="7" s="1"/>
  <c r="U42" i="7"/>
  <c r="AK10" i="7"/>
  <c r="Q42" i="7"/>
  <c r="AG10" i="7"/>
  <c r="AD19" i="7"/>
  <c r="Q70" i="7"/>
  <c r="R44" i="7"/>
  <c r="R55" i="7"/>
  <c r="T42" i="7"/>
  <c r="AJ10" i="7"/>
  <c r="AT43" i="7"/>
  <c r="AT47" i="7" s="1"/>
  <c r="AT49" i="7" s="1"/>
  <c r="AL10" i="7"/>
  <c r="AG11" i="7"/>
  <c r="V39" i="7"/>
  <c r="AL26" i="7" s="1"/>
  <c r="N33" i="7"/>
  <c r="AD20" i="7" s="1"/>
  <c r="AT20" i="7" s="1"/>
  <c r="M49" i="6" l="1"/>
  <c r="AD51" i="7"/>
  <c r="S42" i="7"/>
  <c r="AI10" i="7"/>
  <c r="AE10" i="7"/>
  <c r="O42" i="7"/>
  <c r="AG11" i="9"/>
  <c r="AW11" i="9" s="1"/>
  <c r="Q96" i="9"/>
  <c r="S96" i="9" s="1"/>
  <c r="Q44" i="9"/>
  <c r="R52" i="9" s="1"/>
  <c r="P92" i="9"/>
  <c r="O92" i="9"/>
  <c r="AE12" i="9"/>
  <c r="AE13" i="9" s="1"/>
  <c r="AE14" i="9" s="1"/>
  <c r="AE16" i="9" s="1"/>
  <c r="AE35" i="9" s="1"/>
  <c r="N42" i="9"/>
  <c r="M53" i="9" s="1"/>
  <c r="R49" i="9" s="1"/>
  <c r="V39" i="9"/>
  <c r="AL26" i="9" s="1"/>
  <c r="BB26" i="9" s="1"/>
  <c r="S42" i="9"/>
  <c r="AI10" i="9"/>
  <c r="AT49" i="9"/>
  <c r="AT51" i="9" s="1"/>
  <c r="N33" i="9"/>
  <c r="AD20" i="9" s="1"/>
  <c r="AT20" i="9" s="1"/>
  <c r="M21" i="9"/>
  <c r="AL32" i="9" s="1"/>
  <c r="AJ9" i="9"/>
  <c r="T29" i="9"/>
  <c r="AH9" i="9"/>
  <c r="R29" i="9"/>
  <c r="AG10" i="9"/>
  <c r="M90" i="9"/>
  <c r="P29" i="9"/>
  <c r="AC43" i="9"/>
  <c r="AC47" i="9" s="1"/>
  <c r="AC49" i="9" s="1"/>
  <c r="AC51" i="9" s="1"/>
  <c r="AL30" i="9" s="1"/>
  <c r="BB30" i="9" s="1"/>
  <c r="U42" i="9"/>
  <c r="AK10" i="9"/>
  <c r="AL9" i="9"/>
  <c r="V29" i="9"/>
  <c r="AL10" i="9" s="1"/>
  <c r="AS50" i="9"/>
  <c r="AS51" i="9"/>
  <c r="AH11" i="9"/>
  <c r="AL32" i="7"/>
  <c r="BB32" i="7" s="1"/>
  <c r="BB26" i="7"/>
  <c r="AW11" i="7"/>
  <c r="AH11" i="7"/>
  <c r="AI11" i="7" s="1"/>
  <c r="AT50" i="7"/>
  <c r="AT51" i="7"/>
  <c r="AF12" i="7"/>
  <c r="AG12" i="7" s="1"/>
  <c r="AC43" i="7"/>
  <c r="AC47" i="7" s="1"/>
  <c r="AC49" i="7" s="1"/>
  <c r="AE12" i="7"/>
  <c r="AT19" i="7"/>
  <c r="AD35" i="7"/>
  <c r="P70" i="7"/>
  <c r="Q44" i="7"/>
  <c r="R52" i="7" s="1"/>
  <c r="T70" i="7"/>
  <c r="U44" i="7"/>
  <c r="R56" i="7" s="1"/>
  <c r="V42" i="7"/>
  <c r="T44" i="7"/>
  <c r="S70" i="7"/>
  <c r="N42" i="7"/>
  <c r="AT50" i="9" l="1"/>
  <c r="AW12" i="7"/>
  <c r="AG13" i="7"/>
  <c r="AG14" i="7" s="1"/>
  <c r="AG16" i="7" s="1"/>
  <c r="AG35" i="7" s="1"/>
  <c r="AG37" i="7" s="1"/>
  <c r="R70" i="7"/>
  <c r="S44" i="7"/>
  <c r="R54" i="7" s="1"/>
  <c r="O44" i="7"/>
  <c r="R50" i="7" s="1"/>
  <c r="N70" i="7"/>
  <c r="AU12" i="9"/>
  <c r="AU13" i="9" s="1"/>
  <c r="AU14" i="9" s="1"/>
  <c r="AU16" i="9" s="1"/>
  <c r="AU35" i="9" s="1"/>
  <c r="AU37" i="9" s="1"/>
  <c r="AF12" i="9"/>
  <c r="AG12" i="9" s="1"/>
  <c r="AW12" i="9" s="1"/>
  <c r="Q92" i="9"/>
  <c r="S92" i="9" s="1"/>
  <c r="P89" i="9"/>
  <c r="O89" i="9"/>
  <c r="P90" i="9"/>
  <c r="O90" i="9"/>
  <c r="R70" i="9"/>
  <c r="S44" i="9"/>
  <c r="R54" i="9" s="1"/>
  <c r="N97" i="9"/>
  <c r="R42" i="9"/>
  <c r="R53" i="9"/>
  <c r="M97" i="9"/>
  <c r="T42" i="9"/>
  <c r="R55" i="9"/>
  <c r="M94" i="9"/>
  <c r="V42" i="9"/>
  <c r="N99" i="9" s="1"/>
  <c r="AE37" i="9"/>
  <c r="M99" i="9"/>
  <c r="U44" i="9"/>
  <c r="R56" i="9" s="1"/>
  <c r="T70" i="9"/>
  <c r="P42" i="9"/>
  <c r="AF10" i="9"/>
  <c r="M98" i="9"/>
  <c r="AH10" i="9"/>
  <c r="AJ10" i="9"/>
  <c r="AT35" i="9"/>
  <c r="AD35" i="9"/>
  <c r="AX11" i="9"/>
  <c r="AI11" i="9"/>
  <c r="S49" i="9"/>
  <c r="S50" i="9" s="1"/>
  <c r="N44" i="9"/>
  <c r="AJ11" i="9"/>
  <c r="AW13" i="9"/>
  <c r="AW14" i="9" s="1"/>
  <c r="AW16" i="9" s="1"/>
  <c r="AW35" i="9" s="1"/>
  <c r="AW37" i="9" s="1"/>
  <c r="BB32" i="9"/>
  <c r="O63" i="7"/>
  <c r="O58" i="7"/>
  <c r="M53" i="7"/>
  <c r="R49" i="7" s="1"/>
  <c r="S49" i="7" s="1"/>
  <c r="S50" i="7" s="1"/>
  <c r="S51" i="7" s="1"/>
  <c r="S52" i="7" s="1"/>
  <c r="S53" i="7" s="1"/>
  <c r="S54" i="7" s="1"/>
  <c r="O59" i="7"/>
  <c r="N44" i="7"/>
  <c r="W76" i="7"/>
  <c r="AY11" i="7"/>
  <c r="AS43" i="7"/>
  <c r="AS47" i="7" s="1"/>
  <c r="AS49" i="7" s="1"/>
  <c r="AT35" i="7"/>
  <c r="AV12" i="7"/>
  <c r="AV13" i="7" s="1"/>
  <c r="AV14" i="7" s="1"/>
  <c r="AV16" i="7" s="1"/>
  <c r="AV35" i="7" s="1"/>
  <c r="AV37" i="7" s="1"/>
  <c r="AF13" i="7"/>
  <c r="AF14" i="7" s="1"/>
  <c r="AF16" i="7" s="1"/>
  <c r="AF35" i="7" s="1"/>
  <c r="AF37" i="7" s="1"/>
  <c r="AW13" i="7"/>
  <c r="AW14" i="7" s="1"/>
  <c r="AW16" i="7" s="1"/>
  <c r="AW35" i="7" s="1"/>
  <c r="AW37" i="7" s="1"/>
  <c r="U70" i="7"/>
  <c r="L71" i="7" s="1"/>
  <c r="V44" i="7"/>
  <c r="R57" i="7" s="1"/>
  <c r="AD37" i="7"/>
  <c r="AU12" i="7"/>
  <c r="AU13" i="7" s="1"/>
  <c r="AU14" i="7" s="1"/>
  <c r="AU16" i="7" s="1"/>
  <c r="AU35" i="7" s="1"/>
  <c r="AU37" i="7" s="1"/>
  <c r="AE13" i="7"/>
  <c r="AE14" i="7" s="1"/>
  <c r="AE16" i="7" s="1"/>
  <c r="AE35" i="7" s="1"/>
  <c r="AE37" i="7" s="1"/>
  <c r="AC50" i="7"/>
  <c r="AC51" i="7"/>
  <c r="AL30" i="7" s="1"/>
  <c r="BB30" i="7" s="1"/>
  <c r="AH12" i="7"/>
  <c r="AX12" i="7" s="1"/>
  <c r="AX11" i="7"/>
  <c r="AX13" i="7" s="1"/>
  <c r="AX14" i="7" s="1"/>
  <c r="AX16" i="7" s="1"/>
  <c r="AX35" i="7" s="1"/>
  <c r="AX37" i="7" s="1"/>
  <c r="AJ11" i="7"/>
  <c r="AG13" i="9" l="1"/>
  <c r="AG14" i="9" s="1"/>
  <c r="AG16" i="9" s="1"/>
  <c r="AG35" i="9" s="1"/>
  <c r="AG37" i="9" s="1"/>
  <c r="M45" i="7"/>
  <c r="M49" i="7" s="1"/>
  <c r="AV12" i="9"/>
  <c r="AV13" i="9" s="1"/>
  <c r="AV14" i="9" s="1"/>
  <c r="AV16" i="9" s="1"/>
  <c r="AV35" i="9" s="1"/>
  <c r="AV37" i="9" s="1"/>
  <c r="AH12" i="9"/>
  <c r="AX12" i="9" s="1"/>
  <c r="AX13" i="9" s="1"/>
  <c r="AX14" i="9" s="1"/>
  <c r="AX16" i="9" s="1"/>
  <c r="AX35" i="9" s="1"/>
  <c r="AX37" i="9" s="1"/>
  <c r="AF13" i="9"/>
  <c r="AF14" i="9" s="1"/>
  <c r="AF16" i="9" s="1"/>
  <c r="N106" i="9" s="1"/>
  <c r="Q90" i="9"/>
  <c r="S90" i="9" s="1"/>
  <c r="Q89" i="9"/>
  <c r="S89" i="9" s="1"/>
  <c r="O99" i="9"/>
  <c r="P99" i="9"/>
  <c r="O97" i="9"/>
  <c r="P97" i="9"/>
  <c r="P94" i="9"/>
  <c r="O94" i="9"/>
  <c r="O58" i="9"/>
  <c r="O59" i="9"/>
  <c r="M105" i="9"/>
  <c r="M103" i="9"/>
  <c r="V44" i="9"/>
  <c r="R57" i="9" s="1"/>
  <c r="U70" i="9"/>
  <c r="M45" i="9"/>
  <c r="N100" i="9" s="1"/>
  <c r="O70" i="9"/>
  <c r="P44" i="9"/>
  <c r="R51" i="9" s="1"/>
  <c r="S51" i="9" s="1"/>
  <c r="S52" i="9" s="1"/>
  <c r="S53" i="9" s="1"/>
  <c r="S54" i="9" s="1"/>
  <c r="N98" i="9"/>
  <c r="O98" i="9" s="1"/>
  <c r="Q70" i="9"/>
  <c r="R44" i="9"/>
  <c r="T44" i="9"/>
  <c r="S70" i="9"/>
  <c r="O62" i="9"/>
  <c r="N103" i="9" s="1"/>
  <c r="W75" i="9"/>
  <c r="N105" i="9" s="1"/>
  <c r="AZ11" i="9"/>
  <c r="L72" i="9"/>
  <c r="AY11" i="9"/>
  <c r="AK11" i="9"/>
  <c r="AD37" i="9"/>
  <c r="AL11" i="9"/>
  <c r="AT37" i="9"/>
  <c r="AZ11" i="7"/>
  <c r="R59" i="7"/>
  <c r="S55" i="7"/>
  <c r="S56" i="7" s="1"/>
  <c r="S57" i="7" s="1"/>
  <c r="AI12" i="7"/>
  <c r="AS50" i="7"/>
  <c r="AS51" i="7"/>
  <c r="L72" i="7"/>
  <c r="M74" i="7" s="1"/>
  <c r="W75" i="7" s="1"/>
  <c r="AH13" i="7"/>
  <c r="AH14" i="7" s="1"/>
  <c r="AH16" i="7" s="1"/>
  <c r="AH35" i="7" s="1"/>
  <c r="AH37" i="7" s="1"/>
  <c r="AK11" i="7"/>
  <c r="AT37" i="7"/>
  <c r="O62" i="7"/>
  <c r="AI12" i="9" l="1"/>
  <c r="AY12" i="9" s="1"/>
  <c r="AY13" i="9" s="1"/>
  <c r="AY14" i="9" s="1"/>
  <c r="AY16" i="9" s="1"/>
  <c r="AY35" i="9" s="1"/>
  <c r="AY37" i="9" s="1"/>
  <c r="AF35" i="9"/>
  <c r="AF37" i="9" s="1"/>
  <c r="AH13" i="9"/>
  <c r="AH14" i="9" s="1"/>
  <c r="AH16" i="9" s="1"/>
  <c r="AH35" i="9" s="1"/>
  <c r="AH37" i="9" s="1"/>
  <c r="Q97" i="9"/>
  <c r="S97" i="9" s="1"/>
  <c r="Q94" i="9"/>
  <c r="S94" i="9" s="1"/>
  <c r="Q99" i="9"/>
  <c r="S99" i="9" s="1"/>
  <c r="P98" i="9"/>
  <c r="Q98" i="9" s="1"/>
  <c r="S98" i="9" s="1"/>
  <c r="P105" i="9"/>
  <c r="O105" i="9"/>
  <c r="P103" i="9"/>
  <c r="O103" i="9"/>
  <c r="M104" i="9"/>
  <c r="M102" i="9"/>
  <c r="S55" i="9"/>
  <c r="S56" i="9" s="1"/>
  <c r="S57" i="9" s="1"/>
  <c r="R59" i="9"/>
  <c r="N104" i="9" s="1"/>
  <c r="L71" i="9"/>
  <c r="M74" i="9" s="1"/>
  <c r="M106" i="9"/>
  <c r="M101" i="9"/>
  <c r="M100" i="9"/>
  <c r="BB11" i="9"/>
  <c r="BA11" i="9"/>
  <c r="M49" i="9"/>
  <c r="N101" i="9" s="1"/>
  <c r="M54" i="9"/>
  <c r="N102" i="9" s="1"/>
  <c r="M52" i="9"/>
  <c r="BA11" i="7"/>
  <c r="M52" i="7"/>
  <c r="M54" i="7"/>
  <c r="AY12" i="7"/>
  <c r="AY13" i="7" s="1"/>
  <c r="AY14" i="7" s="1"/>
  <c r="AY16" i="7" s="1"/>
  <c r="AY35" i="7" s="1"/>
  <c r="AI13" i="7"/>
  <c r="AI14" i="7" s="1"/>
  <c r="AI16" i="7" s="1"/>
  <c r="AI35" i="7" s="1"/>
  <c r="AI37" i="7" s="1"/>
  <c r="AJ12" i="7"/>
  <c r="AL11" i="7"/>
  <c r="AI13" i="9" l="1"/>
  <c r="AI14" i="9" s="1"/>
  <c r="AI16" i="9" s="1"/>
  <c r="AI35" i="9" s="1"/>
  <c r="AI37" i="9" s="1"/>
  <c r="AJ12" i="9"/>
  <c r="Q103" i="9"/>
  <c r="S103" i="9" s="1"/>
  <c r="Q105" i="9"/>
  <c r="S105" i="9" s="1"/>
  <c r="O101" i="9"/>
  <c r="P101" i="9"/>
  <c r="O100" i="9"/>
  <c r="P100" i="9"/>
  <c r="O102" i="9"/>
  <c r="P102" i="9"/>
  <c r="O106" i="9"/>
  <c r="P106" i="9"/>
  <c r="P104" i="9"/>
  <c r="O104" i="9"/>
  <c r="BB11" i="7"/>
  <c r="AZ12" i="7"/>
  <c r="AZ13" i="7" s="1"/>
  <c r="AZ14" i="7" s="1"/>
  <c r="AZ16" i="7" s="1"/>
  <c r="AZ35" i="7" s="1"/>
  <c r="AZ37" i="7" s="1"/>
  <c r="AJ13" i="7"/>
  <c r="AJ14" i="7" s="1"/>
  <c r="AJ16" i="7" s="1"/>
  <c r="AJ35" i="7" s="1"/>
  <c r="AK12" i="7"/>
  <c r="AY37" i="7"/>
  <c r="AZ12" i="9" l="1"/>
  <c r="AZ13" i="9" s="1"/>
  <c r="AZ14" i="9" s="1"/>
  <c r="AZ16" i="9" s="1"/>
  <c r="AZ35" i="9" s="1"/>
  <c r="AZ37" i="9" s="1"/>
  <c r="AK12" i="9"/>
  <c r="AJ13" i="9"/>
  <c r="AJ14" i="9" s="1"/>
  <c r="AJ16" i="9" s="1"/>
  <c r="AJ35" i="9" s="1"/>
  <c r="AJ37" i="9" s="1"/>
  <c r="Q106" i="9"/>
  <c r="S106" i="9" s="1"/>
  <c r="Q104" i="9"/>
  <c r="S104" i="9" s="1"/>
  <c r="Q102" i="9"/>
  <c r="S102" i="9" s="1"/>
  <c r="Q101" i="9"/>
  <c r="S101" i="9" s="1"/>
  <c r="Q100" i="9"/>
  <c r="S100" i="9" s="1"/>
  <c r="AJ37" i="7"/>
  <c r="BA12" i="7"/>
  <c r="BA13" i="7" s="1"/>
  <c r="BA14" i="7" s="1"/>
  <c r="BA16" i="7" s="1"/>
  <c r="BA35" i="7" s="1"/>
  <c r="AK13" i="7"/>
  <c r="AK14" i="7" s="1"/>
  <c r="AK16" i="7" s="1"/>
  <c r="AK35" i="7" s="1"/>
  <c r="AK37" i="7" s="1"/>
  <c r="AL12" i="7"/>
  <c r="BA12" i="9" l="1"/>
  <c r="BA13" i="9" s="1"/>
  <c r="BA14" i="9" s="1"/>
  <c r="BA16" i="9" s="1"/>
  <c r="BA35" i="9" s="1"/>
  <c r="BA37" i="9" s="1"/>
  <c r="AK13" i="9"/>
  <c r="AK14" i="9" s="1"/>
  <c r="AK16" i="9" s="1"/>
  <c r="AK35" i="9" s="1"/>
  <c r="AK37" i="9" s="1"/>
  <c r="AL12" i="9"/>
  <c r="T105" i="9"/>
  <c r="B1" i="10" s="1"/>
  <c r="BB12" i="7"/>
  <c r="BB13" i="7" s="1"/>
  <c r="BB14" i="7" s="1"/>
  <c r="BB16" i="7" s="1"/>
  <c r="BB35" i="7" s="1"/>
  <c r="BB37" i="7" s="1"/>
  <c r="AL13" i="7"/>
  <c r="AL14" i="7" s="1"/>
  <c r="AL16" i="7" s="1"/>
  <c r="AL35" i="7" s="1"/>
  <c r="AL37" i="7" s="1"/>
  <c r="BA37" i="7"/>
  <c r="AS39" i="7" s="1"/>
  <c r="AS40" i="7"/>
  <c r="BB12" i="9" l="1"/>
  <c r="BB13" i="9" s="1"/>
  <c r="BB14" i="9" s="1"/>
  <c r="BB16" i="9" s="1"/>
  <c r="BB35" i="9" s="1"/>
  <c r="AL13" i="9"/>
  <c r="AL14" i="9" s="1"/>
  <c r="AL16" i="9" s="1"/>
  <c r="AL35" i="9" s="1"/>
  <c r="AC39" i="9" s="1"/>
  <c r="AC39" i="7"/>
  <c r="AC56" i="7" s="1"/>
  <c r="M107" i="9"/>
  <c r="AC40" i="7"/>
  <c r="AC57" i="7"/>
  <c r="N108" i="9" l="1"/>
  <c r="AC56" i="9"/>
  <c r="N107" i="9"/>
  <c r="P107" i="9" s="1"/>
  <c r="AL37" i="9"/>
  <c r="BB37" i="9"/>
  <c r="AS39" i="9" s="1"/>
  <c r="AS40" i="9"/>
  <c r="AE60" i="7"/>
  <c r="AU39" i="7"/>
  <c r="O107" i="9" l="1"/>
  <c r="Q107" i="9" s="1"/>
  <c r="S107" i="9" s="1"/>
  <c r="AU39" i="9"/>
  <c r="AC57" i="9"/>
  <c r="AE60" i="9" s="1"/>
  <c r="N109" i="9" s="1"/>
  <c r="AJ37" i="6"/>
  <c r="AL37" i="6"/>
  <c r="AC39" i="6" l="1"/>
  <c r="M108" i="9" s="1"/>
  <c r="P108" i="9" s="1"/>
  <c r="O108" i="9" l="1"/>
  <c r="Q108" i="9" s="1"/>
  <c r="S108" i="9" s="1"/>
  <c r="AE60" i="6"/>
  <c r="M109" i="9" s="1"/>
  <c r="O109" i="9" s="1"/>
  <c r="P109" i="9" l="1"/>
  <c r="Q109" i="9" s="1"/>
  <c r="S109" i="9" s="1"/>
  <c r="T109" i="9" l="1"/>
  <c r="C1" i="10" s="1"/>
  <c r="R111" i="9"/>
  <c r="A1" i="10" s="1"/>
</calcChain>
</file>

<file path=xl/sharedStrings.xml><?xml version="1.0" encoding="utf-8"?>
<sst xmlns="http://schemas.openxmlformats.org/spreadsheetml/2006/main" count="615" uniqueCount="205">
  <si>
    <t>NOM :</t>
  </si>
  <si>
    <t xml:space="preserve">Année </t>
  </si>
  <si>
    <t>TRAM</t>
  </si>
  <si>
    <t>Données</t>
  </si>
  <si>
    <t>Prén. :</t>
  </si>
  <si>
    <t>Matricule</t>
  </si>
  <si>
    <t>Gr.</t>
  </si>
  <si>
    <t>Ventes en unité</t>
  </si>
  <si>
    <t>a)</t>
  </si>
  <si>
    <t xml:space="preserve">Charges fixes </t>
  </si>
  <si>
    <t>Contribution marginale par u</t>
  </si>
  <si>
    <t>Contribution marginael tot</t>
  </si>
  <si>
    <t>Flux monétaires</t>
  </si>
  <si>
    <t>Flux monétaires nets d'exploitation</t>
  </si>
  <si>
    <t>DPA équipement</t>
  </si>
  <si>
    <t>DPA immeuble</t>
  </si>
  <si>
    <t>Montant imposable</t>
  </si>
  <si>
    <t>Investissements</t>
  </si>
  <si>
    <t>Impôt</t>
  </si>
  <si>
    <t xml:space="preserve">Équipement </t>
  </si>
  <si>
    <t>Immeuble</t>
  </si>
  <si>
    <t>Terrain</t>
  </si>
  <si>
    <t xml:space="preserve">Fond de roulement </t>
  </si>
  <si>
    <t>Valeurs de récupération</t>
  </si>
  <si>
    <t>Équipement</t>
  </si>
  <si>
    <t xml:space="preserve">Immeuble </t>
  </si>
  <si>
    <t xml:space="preserve">Terrain </t>
  </si>
  <si>
    <t>-1 point</t>
  </si>
  <si>
    <t>Facteur d'actualisation</t>
  </si>
  <si>
    <t>Flux monétaires actualisés</t>
  </si>
  <si>
    <t>Valeur actuelle nette</t>
  </si>
  <si>
    <t>b)</t>
  </si>
  <si>
    <t>c)</t>
  </si>
  <si>
    <t>VAN</t>
  </si>
  <si>
    <t>Annuité équivalente</t>
  </si>
  <si>
    <t>Investissement</t>
  </si>
  <si>
    <t>Indice de Rentabilité</t>
  </si>
  <si>
    <t>d)</t>
  </si>
  <si>
    <t>e)</t>
  </si>
  <si>
    <t>f)</t>
  </si>
  <si>
    <t>Années</t>
  </si>
  <si>
    <t>Flux monétaire</t>
  </si>
  <si>
    <t>Cumul</t>
  </si>
  <si>
    <t>i1</t>
  </si>
  <si>
    <t>van1</t>
  </si>
  <si>
    <t>i2</t>
  </si>
  <si>
    <t>van2</t>
  </si>
  <si>
    <t>TRI</t>
  </si>
  <si>
    <t>Taux de réinvestissement</t>
  </si>
  <si>
    <t>Capitalisation FM</t>
  </si>
  <si>
    <t>MF</t>
  </si>
  <si>
    <t>MP</t>
  </si>
  <si>
    <t>TRIM</t>
  </si>
  <si>
    <t>flux monétaire</t>
  </si>
  <si>
    <t>Pour chaque question de la partie 1</t>
  </si>
  <si>
    <t>-0,5 point</t>
  </si>
  <si>
    <t xml:space="preserve">h)  Donner une recommandation sur le projet en vous basant sur vos résultats </t>
  </si>
  <si>
    <t>Débours</t>
  </si>
  <si>
    <t>Valeur de récupération</t>
  </si>
  <si>
    <t>Vous travaillez depuis maintenant 10 ans pour l’entreprise Cov inc. qui se spécialise en équipements de protection bactérienne. Voyant qu’il y a présentement une belle opportunité de marché Post covid-19, une idée a germé et vous aimeriez l’exploiter. Ces 2 derniers mois, elle a investi 12 500 $ en recherche et développement et vous êtes en train d’analyser les données d’analyse de marché que vous aviez commandée auprès d’une firme spécialisée. Cov inc. vient de recevoir la facture de 10 000 $ pour le travail effectué et elle a 30 jours pour faire le payement.</t>
  </si>
  <si>
    <t>Après plusieurs discussions en comité, avec le département des ventes, le département de marketing et la firme de consultation, il est clair que la quantité que l’on pourrait vendre de notre produit représentent la variable la plus incertaine de ce projet. À cet effet, le comité a établi 5 valeurs de cette variable et révèle la distribution de probabilités suivante : </t>
  </si>
  <si>
    <t>Ventes annuelles prévues</t>
  </si>
  <si>
    <t>Probabilité</t>
  </si>
  <si>
    <t>Partie 1</t>
  </si>
  <si>
    <t>Taux (1% de différence)</t>
  </si>
  <si>
    <t>Immeuble et terrain</t>
  </si>
  <si>
    <t>Évaluation</t>
  </si>
  <si>
    <t>Total</t>
  </si>
  <si>
    <t>proportion</t>
  </si>
  <si>
    <t>ans</t>
  </si>
  <si>
    <t>nb de jours</t>
  </si>
  <si>
    <t>Notaires</t>
  </si>
  <si>
    <t>Taxes</t>
  </si>
  <si>
    <t>À noter que des frais notariés de 4 750$ et des droits de mutation de 21 450 $ devront également être déboursés pour conclure cette transaction.</t>
  </si>
  <si>
    <t>De plus, elle devra investir dans du nouvel équipement évaluer à 327 000 $, installation et formations de base incluses. Cet équipement possèderait une vie utile de 25 ans. À la fin de sa vie utile, la valeur de revente sera de 35 000 $. On considère que ce type d’équipement perd toujours la même valeur à  chaque année.</t>
  </si>
  <si>
    <t xml:space="preserve">Années 1 à 4 (fin d’année) </t>
  </si>
  <si>
    <t xml:space="preserve">Années 5 à 8 (fin d’année) </t>
  </si>
  <si>
    <t>Pour réaliser ce projet d'une durée de 8 ans, elle devra faire l’acquisition d’un nouvel immeuble avec terrain. Après plusieurs recherches, vous avez trouvé une usine à proximité de son usine principale. En regardant le compte de taxes, l’on constate que le terrain est évalué à 546 000 $ et que la bâtisse est évaluée à 294 000 $. Après plusieurs négociations, vous considérez que vous seriez capable d’en faire faire l’acquisition pour 954 000 $.</t>
  </si>
  <si>
    <t xml:space="preserve">Au bout de 8 ans, l’immeuble aura une valeur de revente estimée de 120 000 $ et le terrain devrait prendre 3% de valeur par année. À la fin des 8 années, le terrain sera vendu à sa valeur marchande. </t>
  </si>
  <si>
    <t xml:space="preserve">Le comité a déterminé que l’on pouvait s’attendre à une contribution marginale unitaire (marge sur coût variable unitaire) avant impôt est de 25 $. Les charges d’exploitation fixes avant impôts, autres que l’amortissement comptable, devrait-être de 123 000 $ par année pour les quatres premières années et passeront par la suite à 242 000 $ par année pour les   années restantes du projet. </t>
  </si>
  <si>
    <t xml:space="preserve">À cause de l’augmentation de la production, Il faudra dédier en début de projet un fonds de roulement de 20 000 $ et l’augmenter de 30 000 $ au début de la cinquième année. Le fonds de roulement sera récupéré à la fin du projet. </t>
  </si>
  <si>
    <t xml:space="preserve">Débours </t>
  </si>
  <si>
    <t xml:space="preserve">b)  Calculer la valeur actualisée nette (VAN) du projet </t>
  </si>
  <si>
    <t xml:space="preserve">d)  Calculer l’indice de rentabilité du projet </t>
  </si>
  <si>
    <t xml:space="preserve">f)  Calculer le délai de récupération avec rendement </t>
  </si>
  <si>
    <t>a)  Mettre le coût d'acquisition et la valeur de récupération de l'équipement, du bâtiment et du terrain.</t>
  </si>
  <si>
    <t>Le taux de rendement acceptable minimum (TRAM) avant impôt est de 11%.</t>
  </si>
  <si>
    <t xml:space="preserve">g)  Calculer le TRIM en considérant un taux de réinvestissement de 10% </t>
  </si>
  <si>
    <t>h)</t>
  </si>
  <si>
    <t>PARTIE 1</t>
  </si>
  <si>
    <t>PARTIE 2</t>
  </si>
  <si>
    <t>Ajustement fiscal sur disposition d'actif</t>
  </si>
  <si>
    <t>Ajustement fiscal des valeur de récupération</t>
  </si>
  <si>
    <t>Équipements</t>
  </si>
  <si>
    <t>Coût d'acquisition</t>
  </si>
  <si>
    <t>Taux de DPA</t>
  </si>
  <si>
    <t>Taux d'imposition</t>
  </si>
  <si>
    <t>TRAM après impôt</t>
  </si>
  <si>
    <t>FNACC avant disposition</t>
  </si>
  <si>
    <t>Produit sur disposition</t>
  </si>
  <si>
    <t>Solde FNACC après disposition</t>
  </si>
  <si>
    <t>Ajustement fiscal avec fermeture</t>
  </si>
  <si>
    <t>Ajustement fiscal sans fermeture</t>
  </si>
  <si>
    <t>Flux monétaires nets après impôts</t>
  </si>
  <si>
    <t>Ajustement fiscal de la vente de l'immeuble</t>
  </si>
  <si>
    <t>Impôt sur le gain sur dispoistion du terrain</t>
  </si>
  <si>
    <t>Ajustement fiscal de la vente des équipements</t>
  </si>
  <si>
    <t>Partie 2</t>
  </si>
  <si>
    <t>Augmentation de la contribution marginale de</t>
  </si>
  <si>
    <t xml:space="preserve">Travail à faire : </t>
  </si>
  <si>
    <t>Calculer la VAN après impôt en cosnidérant que :</t>
  </si>
  <si>
    <t xml:space="preserve">Le taux de déduction pour amortissement fiscal (DPA) qui s’applique à l’équipement est de 20 % calculé sur le solde non amorti. </t>
  </si>
  <si>
    <t xml:space="preserve">Le taux de DPA qui s’applique à l’immeuble est de 4% calculé sur le solde non amorti </t>
  </si>
  <si>
    <t xml:space="preserve">L’entreprise est assujettie à un taux d’impôt marginal de 22,6 % et son taux de rendement acceptable minimum (TRAM) est de 8,5 % après impôt. </t>
  </si>
  <si>
    <t xml:space="preserve">À la disposition des actifs en fin de projet, il ne restera plus d'équipements de cette catégorie dans l'entreprise par contre, il restera d'autres immeubles appartenant à cette même catégorie dans l’entreprise. Sauf indication contraire, les entrées et les sorties de fonds se produiront en fin de période. </t>
  </si>
  <si>
    <t>On vous demande finalement d'effectuer une analyse de sensibilité sur la contribution marginale en la faisant varier de plus 10% et d'en tirer une conclusion. Indiquer l'impact en % sur la VAN.</t>
  </si>
  <si>
    <t>Impact sur la VAN</t>
  </si>
  <si>
    <t>Conclusion : Impact majeur sur la VAN, ça vaudrait la peine de mettre de l'énergie afin d'augmenter la contribution marginale.</t>
  </si>
  <si>
    <t xml:space="preserve">c)  Calculer l’annuitée équivalente du projet </t>
  </si>
  <si>
    <t>e)  Calculer le taux de rendement interne (TRI) (par interpolation) du projet (soyez précis et prenez 1% entre les deux taux)</t>
  </si>
  <si>
    <t>SSH-3201 - Économique de l’ingénieur TP 4 et TP 5</t>
  </si>
  <si>
    <t>Été 2020</t>
  </si>
  <si>
    <t>(A/P,11%,8)</t>
  </si>
  <si>
    <t>Fond de  roulement</t>
  </si>
  <si>
    <t>14</t>
  </si>
  <si>
    <t>15</t>
  </si>
  <si>
    <t>16</t>
  </si>
  <si>
    <t>Étudiant</t>
  </si>
  <si>
    <t>CM</t>
  </si>
  <si>
    <t>points</t>
  </si>
  <si>
    <t>Pointage</t>
  </si>
  <si>
    <t>Note finale</t>
  </si>
  <si>
    <t>Réponse simulée</t>
  </si>
  <si>
    <t>Nb de point</t>
  </si>
  <si>
    <t>Note minimale</t>
  </si>
  <si>
    <t>DIRECTIVES IMPORTANTES</t>
  </si>
  <si>
    <t>Étapes du TP</t>
  </si>
  <si>
    <t>1- Télécharger sur votre ordinateur le fichier Excel</t>
  </si>
  <si>
    <t xml:space="preserve">exemple: </t>
  </si>
  <si>
    <t>Dans le doute, copier/coller l'exemple et modifer le.</t>
  </si>
  <si>
    <t>Ne pas vous tromper pas dans votre matricule, espaces, caractères, numéro de groupe, etc.</t>
  </si>
  <si>
    <t>3- Effectuer et compléter le TP</t>
  </si>
  <si>
    <t>Effectuer vos calculs à l'aide d'Excel seulement, pas de calculatrice. Excel garde toutes les décimales même si elles ne sont pas montrées.</t>
  </si>
  <si>
    <t>NE PAS MODIFIER LE FICHIER (ajouter des lignes ou des colonnes, fusionner, etc.)</t>
  </si>
  <si>
    <t>4- Déposer le dans la BONNE boite de dépôt; bon groupe, bon TP.</t>
  </si>
  <si>
    <t>3 points sur 20 sont donnés pour suivre la démarche parfaitement</t>
  </si>
  <si>
    <t>Amusez vous bien !!!!</t>
  </si>
  <si>
    <t>Mettre les réponses dans les cases en jaunes seulement</t>
  </si>
  <si>
    <t>Ne mettre que des chiffres dans les cellules jaunes</t>
  </si>
  <si>
    <r>
      <t xml:space="preserve">Respecter les signes dans le </t>
    </r>
    <r>
      <rPr>
        <b/>
        <sz val="11"/>
        <color theme="1"/>
        <rFont val="Arial"/>
        <family val="2"/>
      </rPr>
      <t>tableau</t>
    </r>
    <r>
      <rPr>
        <sz val="11"/>
        <color theme="1"/>
        <rFont val="Arial"/>
        <family val="2"/>
      </rPr>
      <t xml:space="preserve"> du calcul de la VAN</t>
    </r>
  </si>
  <si>
    <t>C'est possible que pour certaines questions, il n'y ai pas de réponse. Dans ce cas, mettre 0 dans la cellule en jaune.</t>
  </si>
  <si>
    <t>2- Renomer le fichier avec votre numéro de matricule - TP4-5 - Gr.lab</t>
  </si>
  <si>
    <t>Ne pas changer le format de la réponse</t>
  </si>
  <si>
    <t>1827096 - TP5-6 - Gr.5.xlsx</t>
  </si>
  <si>
    <t>SSH-3201 - Économique de l’ingénieur TP 5 et TP 6</t>
  </si>
  <si>
    <t>Rose</t>
  </si>
  <si>
    <t>Christopher</t>
  </si>
  <si>
    <r>
      <t xml:space="preserve">Vous travaillez depuis maintenant 10 ans pour l’entreprise Cov inc. qui se spécialise en équipements de protection bactérienne. Voyant qu’il y a présentement une belle opportunité de marché Post covid-19, une idée a germé et vous aimeriez l’exploiter. Ces </t>
    </r>
    <r>
      <rPr>
        <sz val="12"/>
        <color rgb="FFFF0000"/>
        <rFont val="Calibri (Corps)"/>
      </rPr>
      <t>2 derniers mois, elle a investi 12 500 $</t>
    </r>
    <r>
      <rPr>
        <sz val="12"/>
        <color rgb="FF000000"/>
        <rFont val="Calibri"/>
        <family val="2"/>
        <scheme val="minor"/>
      </rPr>
      <t xml:space="preserve"> en recherche et développement et vous êtes en train d’analyser les données d’analyse de marché que vous aviez commandée auprès d’une firme spécialisée. Cov inc. vient de recevoir la </t>
    </r>
    <r>
      <rPr>
        <sz val="12"/>
        <color rgb="FFFF0000"/>
        <rFont val="Calibri (Corps)"/>
      </rPr>
      <t>facture de 10 000 $ pour le travail effectué</t>
    </r>
    <r>
      <rPr>
        <sz val="12"/>
        <color rgb="FF000000"/>
        <rFont val="Calibri"/>
        <family val="2"/>
        <scheme val="minor"/>
      </rPr>
      <t xml:space="preserve"> et elle a </t>
    </r>
    <r>
      <rPr>
        <sz val="12"/>
        <color rgb="FFFF0000"/>
        <rFont val="Calibri (Corps)"/>
      </rPr>
      <t>30 jours pour faire le payement</t>
    </r>
    <r>
      <rPr>
        <sz val="12"/>
        <color rgb="FF000000"/>
        <rFont val="Calibri"/>
        <family val="2"/>
        <scheme val="minor"/>
      </rPr>
      <t>.</t>
    </r>
  </si>
  <si>
    <r>
      <t xml:space="preserve">Pour réaliser ce </t>
    </r>
    <r>
      <rPr>
        <sz val="12"/>
        <color rgb="FFFF0000"/>
        <rFont val="Calibri (Corps)"/>
      </rPr>
      <t>projet d'une durée de 8 ans</t>
    </r>
    <r>
      <rPr>
        <sz val="12"/>
        <color rgb="FF000000"/>
        <rFont val="Calibri"/>
        <family val="2"/>
        <scheme val="minor"/>
      </rPr>
      <t xml:space="preserve">, elle devra faire l’acquisition d’un nouvel immeuble avec terrain. Après plusieurs recherches, vous avez trouvé une usine à proximité de son usine principale. En regardant le compte de taxes, l’on constate que le </t>
    </r>
    <r>
      <rPr>
        <sz val="12"/>
        <color rgb="FFFF0000"/>
        <rFont val="Calibri (Corps)"/>
      </rPr>
      <t>terrain est évalué à 546 000 $ et que la bâtisse est évaluée à 294 000 $</t>
    </r>
    <r>
      <rPr>
        <sz val="12"/>
        <color rgb="FF000000"/>
        <rFont val="Calibri"/>
        <family val="2"/>
        <scheme val="minor"/>
      </rPr>
      <t xml:space="preserve">. Après plusieurs négociations, vous considérez que vous seriez capable d’en faire </t>
    </r>
    <r>
      <rPr>
        <sz val="12"/>
        <color rgb="FFFF0000"/>
        <rFont val="Calibri (Corps)"/>
      </rPr>
      <t>faire l’acquisition pour 954 000 $.</t>
    </r>
  </si>
  <si>
    <r>
      <t xml:space="preserve">À noter que des </t>
    </r>
    <r>
      <rPr>
        <sz val="12"/>
        <color rgb="FFFF0000"/>
        <rFont val="Calibri (Corps)"/>
      </rPr>
      <t>frais notariés de 4 750$ et des droits de mutation de 21 450 $</t>
    </r>
    <r>
      <rPr>
        <sz val="12"/>
        <color rgb="FF000000"/>
        <rFont val="Calibri"/>
        <family val="2"/>
        <scheme val="minor"/>
      </rPr>
      <t xml:space="preserve"> devront également être déboursés pour conclure cette transaction.</t>
    </r>
  </si>
  <si>
    <r>
      <t xml:space="preserve">Au bout de 8 ans, </t>
    </r>
    <r>
      <rPr>
        <sz val="12"/>
        <color rgb="FFFF0000"/>
        <rFont val="Calibri (Corps)"/>
      </rPr>
      <t>l’immeuble aura une valeur de revente estimée de 120 000 $ et le terrain devrait prendre 3% de valeur par année</t>
    </r>
    <r>
      <rPr>
        <sz val="12"/>
        <color rgb="FF000000"/>
        <rFont val="Calibri"/>
        <family val="2"/>
        <scheme val="minor"/>
      </rPr>
      <t xml:space="preserve">. </t>
    </r>
    <r>
      <rPr>
        <sz val="12"/>
        <color rgb="FFFF0000"/>
        <rFont val="Calibri (Corps)"/>
      </rPr>
      <t xml:space="preserve">À la fin des 8 années, le terrain sera vendu à sa valeur marchande. </t>
    </r>
  </si>
  <si>
    <r>
      <t xml:space="preserve">De plus, elle devra </t>
    </r>
    <r>
      <rPr>
        <sz val="12"/>
        <color rgb="FFFF0000"/>
        <rFont val="Calibri (Corps)"/>
      </rPr>
      <t>investir dans du nouvel équipement évaluer à 327 000 $</t>
    </r>
    <r>
      <rPr>
        <sz val="12"/>
        <color rgb="FF000000"/>
        <rFont val="Calibri"/>
        <family val="2"/>
        <scheme val="minor"/>
      </rPr>
      <t>, installation et formations de base incluses. Cet équipement possèderait une</t>
    </r>
    <r>
      <rPr>
        <sz val="12"/>
        <color rgb="FFFF0000"/>
        <rFont val="Calibri (Corps)"/>
      </rPr>
      <t xml:space="preserve"> vie utile de 25 ans</t>
    </r>
    <r>
      <rPr>
        <sz val="12"/>
        <color rgb="FF000000"/>
        <rFont val="Calibri"/>
        <family val="2"/>
        <scheme val="minor"/>
      </rPr>
      <t xml:space="preserve">. À la </t>
    </r>
    <r>
      <rPr>
        <sz val="12"/>
        <color rgb="FFFF0000"/>
        <rFont val="Calibri (Corps)"/>
      </rPr>
      <t>fin de sa vie utile, la valeur de revente sera de 35 000 $. On considère que ce type d’équipement perd toujours la même valeur à  chaque année.</t>
    </r>
  </si>
  <si>
    <r>
      <t xml:space="preserve">À cause de l’augmentation de la production, Il faudra dédier en début de projet un </t>
    </r>
    <r>
      <rPr>
        <sz val="12"/>
        <color rgb="FFFF0000"/>
        <rFont val="Calibri (Corps)"/>
      </rPr>
      <t xml:space="preserve">fonds de roulement de 20 000 $ et l’augmenter de 30 000 $ au début de la cinquième année. </t>
    </r>
    <r>
      <rPr>
        <sz val="12"/>
        <color rgb="FF000000"/>
        <rFont val="Calibri"/>
        <family val="2"/>
        <scheme val="minor"/>
      </rPr>
      <t xml:space="preserve">Le fonds de roulement sera </t>
    </r>
    <r>
      <rPr>
        <sz val="12"/>
        <color rgb="FFFF0000"/>
        <rFont val="Calibri (Corps)"/>
      </rPr>
      <t xml:space="preserve">récupéré à la fin du projet. </t>
    </r>
  </si>
  <si>
    <r>
      <t xml:space="preserve">Le comité a déterminé que l’on pouvait s’attendre à une </t>
    </r>
    <r>
      <rPr>
        <sz val="12"/>
        <color rgb="FFFF0000"/>
        <rFont val="Calibri (Corps)"/>
      </rPr>
      <t>contribution marginale unitaire (marge sur coût variable unitaire) avant impôt est de 25 $</t>
    </r>
    <r>
      <rPr>
        <sz val="12"/>
        <color rgb="FF000000"/>
        <rFont val="Calibri"/>
        <family val="2"/>
        <scheme val="minor"/>
      </rPr>
      <t xml:space="preserve">. Les </t>
    </r>
    <r>
      <rPr>
        <sz val="12"/>
        <color rgb="FFFF0000"/>
        <rFont val="Calibri (Corps)"/>
      </rPr>
      <t xml:space="preserve">charges d’exploitation fixes avant impôts, autres que l’amortissement comptable, devrait-être de 123 000 $ par année pour les quatres premières années et passeront par la suite à 242 000 $ par année pour les   années restantes du projet. </t>
    </r>
  </si>
  <si>
    <t>Évalutation terrain</t>
  </si>
  <si>
    <t>Évalutation immeuble</t>
  </si>
  <si>
    <t>Prix aquisition</t>
  </si>
  <si>
    <t>Frais notariés</t>
  </si>
  <si>
    <t>Droits mutation</t>
  </si>
  <si>
    <t>Valeur res. Terrain</t>
  </si>
  <si>
    <t>Valeur res. Immeuble</t>
  </si>
  <si>
    <t>F/P, 3%, 8</t>
  </si>
  <si>
    <t>Valeur revente n=25</t>
  </si>
  <si>
    <t>Valeur revente n=8</t>
  </si>
  <si>
    <t>n=0</t>
  </si>
  <si>
    <t>n=8</t>
  </si>
  <si>
    <t>Valeur compt. Terrain</t>
  </si>
  <si>
    <t>Valeur compt. Immeuble</t>
  </si>
  <si>
    <t>Valeur comptable</t>
  </si>
  <si>
    <t>A/P, 11%, 8</t>
  </si>
  <si>
    <t>Charges</t>
  </si>
  <si>
    <t>Vente en $</t>
  </si>
  <si>
    <t>%</t>
  </si>
  <si>
    <t>Recette</t>
  </si>
  <si>
    <t>g)</t>
  </si>
  <si>
    <t>-</t>
  </si>
  <si>
    <t>À recouvrer act</t>
  </si>
  <si>
    <t>FMN Exp</t>
  </si>
  <si>
    <t>Inv.</t>
  </si>
  <si>
    <t>FMN</t>
  </si>
  <si>
    <t>impôts</t>
  </si>
  <si>
    <r>
      <t xml:space="preserve">Le </t>
    </r>
    <r>
      <rPr>
        <sz val="12"/>
        <color rgb="FFFF0000"/>
        <rFont val="Calibri (Corps)"/>
      </rPr>
      <t xml:space="preserve">taux de DPA qui s’applique à l’immeuble est de 4% calculé sur le solde non amorti </t>
    </r>
  </si>
  <si>
    <r>
      <t xml:space="preserve">L’entreprise est assujettie à un </t>
    </r>
    <r>
      <rPr>
        <sz val="12"/>
        <color rgb="FFFF0000"/>
        <rFont val="Calibri (Corps)"/>
      </rPr>
      <t xml:space="preserve">taux d’impôt marginal de 22,6 % et son taux de rendement acceptable minimum (TRAM) est de 8,5 % </t>
    </r>
    <r>
      <rPr>
        <sz val="12"/>
        <color theme="1"/>
        <rFont val="Calibri"/>
        <family val="2"/>
        <scheme val="minor"/>
      </rPr>
      <t xml:space="preserve">après impôt. </t>
    </r>
  </si>
  <si>
    <r>
      <t>À la disposition des actifs en fin de projet,</t>
    </r>
    <r>
      <rPr>
        <sz val="12"/>
        <color rgb="FFFF0000"/>
        <rFont val="Calibri (Corps)"/>
      </rPr>
      <t xml:space="preserve"> il ne restera plus d'équipements de cette catégorie dans l'entreprise</t>
    </r>
    <r>
      <rPr>
        <sz val="12"/>
        <color theme="1"/>
        <rFont val="Calibri"/>
        <family val="2"/>
        <scheme val="minor"/>
      </rPr>
      <t xml:space="preserve"> par contre, </t>
    </r>
    <r>
      <rPr>
        <sz val="12"/>
        <color rgb="FFFF0000"/>
        <rFont val="Calibri (Corps)"/>
      </rPr>
      <t>il restera d'autres immeubles appartenant à cette même catégorie dans</t>
    </r>
    <r>
      <rPr>
        <sz val="12"/>
        <color theme="1"/>
        <rFont val="Calibri"/>
        <family val="2"/>
        <scheme val="minor"/>
      </rPr>
      <t xml:space="preserve"> l’entreprise. Sauf indication contraire, les entrées et les sorties de fonds se produiront en fin de période. </t>
    </r>
  </si>
  <si>
    <t>Déduction impôts équipement</t>
  </si>
  <si>
    <t>Déduction impôts immeuble</t>
  </si>
  <si>
    <t>Gains en capital</t>
  </si>
  <si>
    <t>P/A, 10%, 3</t>
  </si>
  <si>
    <t>F/P, 10%, 8</t>
  </si>
  <si>
    <t>F/P, 10%, 4</t>
  </si>
  <si>
    <t>Conclusion : VAN très sensible au variation de Pvu</t>
  </si>
  <si>
    <t>La VAN est positive, l'IR est supérieur à 1, le TRI et le TRIM sont supérieurs à la TRAM et le DR est inférieur à la durée du projet. Le projet est rentable et peut aller de l'avant</t>
  </si>
  <si>
    <t>Contribution marginale tot</t>
  </si>
  <si>
    <t>AI équipement</t>
  </si>
  <si>
    <t>AI immeuble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</si>
</sst>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6">
    <numFmt numFmtId="6" formatCode="#,##0\ &quot;$&quot;_);[Red]\(#,##0\ &quot;$&quot;\)"/>
    <numFmt numFmtId="44" formatCode="_ * #,##0.00_)\ &quot;$&quot;_ ;_ * \(#,##0.00\)\ &quot;$&quot;_ ;_ * &quot;-&quot;??_)\ &quot;$&quot;_ ;_ @_ "/>
    <numFmt numFmtId="43" formatCode="_ * #,##0.00_)_ ;_ * \(#,##0.00\)_ ;_ * &quot;-&quot;??_)_ ;_ @_ "/>
    <numFmt numFmtId="164" formatCode="_ * #,##0.00_)\ _$_ ;_ * \(#,##0.00\)\ _$_ ;_ * &quot;-&quot;??_)\ _$_ ;_ @_ "/>
    <numFmt numFmtId="165" formatCode="#,##0&quot; u&quot;"/>
    <numFmt numFmtId="166" formatCode="#,##0\ &quot;$&quot;_-;[Red]#,##0\ &quot;$&quot;\-"/>
    <numFmt numFmtId="167" formatCode="_ * #,##0_)\ &quot;$&quot;_ ;_ * \(#,##0\)\ &quot;$&quot;_ ;_ * &quot;-&quot;??_)\ &quot;$&quot;_ ;_ @_ "/>
    <numFmt numFmtId="168" formatCode="#,##0\ &quot;$&quot;"/>
    <numFmt numFmtId="169" formatCode="0.0000"/>
    <numFmt numFmtId="170" formatCode="_ * #,##0.00000_)_ ;_ * \(#,##0.00000\)_ ;_ * &quot;-&quot;??_)_ ;_ @_ "/>
    <numFmt numFmtId="171" formatCode="#,##0&quot; u.&quot;"/>
    <numFmt numFmtId="172" formatCode="0.0%"/>
    <numFmt numFmtId="173" formatCode="#,##0&quot; ans&quot;"/>
    <numFmt numFmtId="174" formatCode="#,##0&quot; jours&quot;"/>
    <numFmt numFmtId="175" formatCode="#,##0\ &quot;$&quot;_-"/>
    <numFmt numFmtId="176" formatCode="_ * #,##0_)\ _$_ ;_ * \(#,##0\)\ _$_ ;_ * &quot;-&quot;??_)\ _$_ ;_ @_ "/>
  </numFmts>
  <fonts count="23">
    <font>
      <sz val="11"/>
      <color theme="1"/>
      <name val="Arial"/>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Arial"/>
      <family val="2"/>
    </font>
    <font>
      <sz val="11"/>
      <color theme="1"/>
      <name val="Arial"/>
      <family val="2"/>
    </font>
    <font>
      <b/>
      <sz val="12"/>
      <color theme="1"/>
      <name val="Calibri"/>
      <family val="2"/>
      <scheme val="minor"/>
    </font>
    <font>
      <b/>
      <sz val="11"/>
      <color theme="1"/>
      <name val="Calibri"/>
      <family val="2"/>
      <scheme val="minor"/>
    </font>
    <font>
      <sz val="11"/>
      <color theme="1"/>
      <name val="Calibri"/>
      <family val="2"/>
      <scheme val="minor"/>
    </font>
    <font>
      <sz val="12"/>
      <color rgb="FF000000"/>
      <name val="Calibri"/>
      <family val="2"/>
      <scheme val="minor"/>
    </font>
    <font>
      <sz val="12"/>
      <name val="Calibri"/>
      <family val="2"/>
      <scheme val="minor"/>
    </font>
    <font>
      <b/>
      <sz val="12"/>
      <name val="Arial"/>
      <family val="2"/>
    </font>
    <font>
      <b/>
      <sz val="12"/>
      <color rgb="FF000000"/>
      <name val="Calibri"/>
      <family val="2"/>
      <scheme val="minor"/>
    </font>
    <font>
      <b/>
      <sz val="12"/>
      <name val="Calibri"/>
      <family val="2"/>
      <scheme val="minor"/>
    </font>
    <font>
      <b/>
      <sz val="24"/>
      <color theme="1"/>
      <name val="Arial"/>
      <family val="2"/>
    </font>
    <font>
      <b/>
      <sz val="22"/>
      <color theme="1"/>
      <name val="Arial"/>
      <family val="2"/>
    </font>
    <font>
      <b/>
      <u/>
      <sz val="11"/>
      <color theme="1"/>
      <name val="Arial"/>
      <family val="2"/>
    </font>
    <font>
      <b/>
      <sz val="11"/>
      <color theme="1"/>
      <name val="Arial"/>
      <family val="2"/>
    </font>
    <font>
      <sz val="12"/>
      <color rgb="FFFF0000"/>
      <name val="Calibri"/>
      <family val="2"/>
      <scheme val="minor"/>
    </font>
    <font>
      <sz val="12"/>
      <color rgb="FFFF0000"/>
      <name val="Calibri (Corps)"/>
    </font>
    <font>
      <b/>
      <sz val="12"/>
      <color rgb="FFFF0000"/>
      <name val="Calibri"/>
      <family val="2"/>
      <scheme val="minor"/>
    </font>
  </fonts>
  <fills count="13">
    <fill>
      <patternFill patternType="none"/>
    </fill>
    <fill>
      <patternFill patternType="gray125"/>
    </fill>
    <fill>
      <patternFill patternType="solid">
        <fgColor rgb="FFD8D8D8"/>
        <bgColor rgb="FFD8D8D8"/>
      </patternFill>
    </fill>
    <fill>
      <patternFill patternType="solid">
        <fgColor rgb="FFFFFF00"/>
        <bgColor rgb="FFFFFF00"/>
      </patternFill>
    </fill>
    <fill>
      <patternFill patternType="solid">
        <fgColor rgb="FFBFBFBF"/>
        <bgColor rgb="FFBFBFBF"/>
      </patternFill>
    </fill>
    <fill>
      <patternFill patternType="solid">
        <fgColor rgb="FF00B0F0"/>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1" tint="0.499984740745262"/>
        <bgColor indexed="64"/>
      </patternFill>
    </fill>
    <fill>
      <patternFill patternType="solid">
        <fgColor theme="0" tint="-0.14999847407452621"/>
        <bgColor rgb="FFD8D8D8"/>
      </patternFill>
    </fill>
    <fill>
      <patternFill patternType="solid">
        <fgColor theme="0" tint="-4.9989318521683403E-2"/>
        <bgColor rgb="FFD8D8D8"/>
      </patternFill>
    </fill>
    <fill>
      <patternFill patternType="solid">
        <fgColor theme="0" tint="-0.14999847407452621"/>
        <bgColor indexed="64"/>
      </patternFill>
    </fill>
    <fill>
      <patternFill patternType="solid">
        <fgColor theme="4" tint="0.59999389629810485"/>
        <bgColor indexed="64"/>
      </patternFill>
    </fill>
  </fills>
  <borders count="105">
    <border>
      <left/>
      <right/>
      <top/>
      <bottom/>
      <diagonal/>
    </border>
    <border>
      <left style="medium">
        <color rgb="FF000000"/>
      </left>
      <right/>
      <top style="medium">
        <color rgb="FF000000"/>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top style="medium">
        <color rgb="FF000000"/>
      </top>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style="medium">
        <color rgb="FF000000"/>
      </right>
      <top/>
      <bottom/>
      <diagonal/>
    </border>
    <border>
      <left style="thin">
        <color rgb="FF000000"/>
      </left>
      <right/>
      <top/>
      <bottom/>
      <diagonal/>
    </border>
    <border>
      <left style="medium">
        <color rgb="FF000000"/>
      </left>
      <right/>
      <top/>
      <bottom style="medium">
        <color rgb="FF000000"/>
      </bottom>
      <diagonal/>
    </border>
    <border>
      <left/>
      <right/>
      <top/>
      <bottom style="medium">
        <color rgb="FF000000"/>
      </bottom>
      <diagonal/>
    </border>
    <border>
      <left/>
      <right/>
      <top/>
      <bottom style="thin">
        <color rgb="FF000000"/>
      </bottom>
      <diagonal/>
    </border>
    <border>
      <left style="thin">
        <color rgb="FF000000"/>
      </left>
      <right/>
      <top/>
      <bottom style="thin">
        <color rgb="FF000000"/>
      </bottom>
      <diagonal/>
    </border>
    <border>
      <left/>
      <right/>
      <top style="thin">
        <color rgb="FF000000"/>
      </top>
      <bottom/>
      <diagonal/>
    </border>
    <border>
      <left style="thin">
        <color rgb="FF000000"/>
      </left>
      <right/>
      <top style="thin">
        <color rgb="FF000000"/>
      </top>
      <bottom/>
      <diagonal/>
    </border>
    <border>
      <left/>
      <right/>
      <top style="medium">
        <color rgb="FF000000"/>
      </top>
      <bottom style="medium">
        <color rgb="FF000000"/>
      </bottom>
      <diagonal/>
    </border>
    <border>
      <left style="medium">
        <color rgb="FF000000"/>
      </left>
      <right/>
      <top/>
      <bottom/>
      <diagonal/>
    </border>
    <border>
      <left/>
      <right/>
      <top/>
      <bottom/>
      <diagonal/>
    </border>
    <border>
      <left/>
      <right style="medium">
        <color rgb="FF000000"/>
      </right>
      <top/>
      <bottom/>
      <diagonal/>
    </border>
    <border>
      <left/>
      <right style="medium">
        <color rgb="FF000000"/>
      </right>
      <top/>
      <bottom style="medium">
        <color rgb="FF000000"/>
      </bottom>
      <diagonal/>
    </border>
    <border>
      <left/>
      <right style="medium">
        <color rgb="FF000000"/>
      </right>
      <top style="medium">
        <color rgb="FF000000"/>
      </top>
      <bottom style="medium">
        <color rgb="FF000000"/>
      </bottom>
      <diagonal/>
    </border>
    <border>
      <left style="thin">
        <color rgb="FF000000"/>
      </left>
      <right/>
      <top style="medium">
        <color rgb="FF000000"/>
      </top>
      <bottom style="medium">
        <color rgb="FF000000"/>
      </bottom>
      <diagonal/>
    </border>
    <border>
      <left style="medium">
        <color rgb="FF000000"/>
      </left>
      <right/>
      <top style="medium">
        <color rgb="FF000000"/>
      </top>
      <bottom style="medium">
        <color rgb="FF000000"/>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medium">
        <color rgb="FF000000"/>
      </left>
      <right/>
      <top style="thin">
        <color indexed="64"/>
      </top>
      <bottom/>
      <diagonal/>
    </border>
    <border>
      <left style="medium">
        <color indexed="64"/>
      </left>
      <right style="thin">
        <color rgb="FF000000"/>
      </right>
      <top style="medium">
        <color indexed="64"/>
      </top>
      <bottom style="thin">
        <color rgb="FF000000"/>
      </bottom>
      <diagonal/>
    </border>
    <border>
      <left style="thin">
        <color rgb="FF000000"/>
      </left>
      <right style="thin">
        <color rgb="FF000000"/>
      </right>
      <top style="medium">
        <color indexed="64"/>
      </top>
      <bottom style="thin">
        <color rgb="FF000000"/>
      </bottom>
      <diagonal/>
    </border>
    <border>
      <left style="thin">
        <color rgb="FF000000"/>
      </left>
      <right style="medium">
        <color indexed="64"/>
      </right>
      <top style="medium">
        <color indexed="64"/>
      </top>
      <bottom style="thin">
        <color rgb="FF000000"/>
      </bottom>
      <diagonal/>
    </border>
    <border>
      <left style="medium">
        <color indexed="64"/>
      </left>
      <right style="thin">
        <color rgb="FF000000"/>
      </right>
      <top style="thin">
        <color rgb="FF000000"/>
      </top>
      <bottom style="thin">
        <color rgb="FF000000"/>
      </bottom>
      <diagonal/>
    </border>
    <border>
      <left style="thin">
        <color rgb="FF000000"/>
      </left>
      <right style="medium">
        <color indexed="64"/>
      </right>
      <top style="thin">
        <color rgb="FF000000"/>
      </top>
      <bottom style="thin">
        <color rgb="FF000000"/>
      </bottom>
      <diagonal/>
    </border>
    <border>
      <left style="medium">
        <color indexed="64"/>
      </left>
      <right style="thin">
        <color rgb="FF000000"/>
      </right>
      <top style="thin">
        <color rgb="FF000000"/>
      </top>
      <bottom style="medium">
        <color indexed="64"/>
      </bottom>
      <diagonal/>
    </border>
    <border>
      <left style="thin">
        <color rgb="FF000000"/>
      </left>
      <right style="thin">
        <color rgb="FF000000"/>
      </right>
      <top style="thin">
        <color rgb="FF000000"/>
      </top>
      <bottom style="medium">
        <color indexed="64"/>
      </bottom>
      <diagonal/>
    </border>
    <border>
      <left style="thin">
        <color rgb="FF000000"/>
      </left>
      <right style="medium">
        <color indexed="64"/>
      </right>
      <top style="thin">
        <color rgb="FF000000"/>
      </top>
      <bottom style="medium">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right/>
      <top style="medium">
        <color indexed="64"/>
      </top>
      <bottom/>
      <diagonal/>
    </border>
    <border>
      <left/>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rgb="FF000000"/>
      </bottom>
      <diagonal/>
    </border>
    <border>
      <left/>
      <right/>
      <top style="medium">
        <color indexed="64"/>
      </top>
      <bottom style="medium">
        <color rgb="FF000000"/>
      </bottom>
      <diagonal/>
    </border>
    <border>
      <left style="thin">
        <color rgb="FF000000"/>
      </left>
      <right style="medium">
        <color indexed="64"/>
      </right>
      <top style="medium">
        <color indexed="64"/>
      </top>
      <bottom style="medium">
        <color rgb="FF000000"/>
      </bottom>
      <diagonal/>
    </border>
    <border>
      <left style="medium">
        <color indexed="64"/>
      </left>
      <right/>
      <top style="medium">
        <color rgb="FF000000"/>
      </top>
      <bottom style="medium">
        <color rgb="FF000000"/>
      </bottom>
      <diagonal/>
    </border>
    <border>
      <left style="thin">
        <color rgb="FF000000"/>
      </left>
      <right style="medium">
        <color indexed="64"/>
      </right>
      <top style="medium">
        <color rgb="FF000000"/>
      </top>
      <bottom style="medium">
        <color rgb="FF000000"/>
      </bottom>
      <diagonal/>
    </border>
    <border>
      <left style="thin">
        <color rgb="FF000000"/>
      </left>
      <right style="medium">
        <color indexed="64"/>
      </right>
      <top/>
      <bottom/>
      <diagonal/>
    </border>
    <border>
      <left/>
      <right style="medium">
        <color indexed="64"/>
      </right>
      <top style="medium">
        <color rgb="FF000000"/>
      </top>
      <bottom style="medium">
        <color rgb="FF000000"/>
      </bottom>
      <diagonal/>
    </border>
    <border>
      <left style="medium">
        <color indexed="64"/>
      </left>
      <right/>
      <top style="thin">
        <color rgb="FF000000"/>
      </top>
      <bottom/>
      <diagonal/>
    </border>
    <border>
      <left style="thin">
        <color rgb="FF000000"/>
      </left>
      <right style="medium">
        <color indexed="64"/>
      </right>
      <top style="thin">
        <color rgb="FF000000"/>
      </top>
      <bottom/>
      <diagonal/>
    </border>
    <border>
      <left style="medium">
        <color indexed="64"/>
      </left>
      <right/>
      <top/>
      <bottom style="thin">
        <color rgb="FF000000"/>
      </bottom>
      <diagonal/>
    </border>
    <border>
      <left style="thin">
        <color rgb="FF000000"/>
      </left>
      <right style="medium">
        <color indexed="64"/>
      </right>
      <top/>
      <bottom style="thin">
        <color rgb="FF000000"/>
      </bottom>
      <diagonal/>
    </border>
    <border>
      <left style="thin">
        <color rgb="FF000000"/>
      </left>
      <right style="medium">
        <color indexed="64"/>
      </right>
      <top/>
      <bottom style="medium">
        <color indexed="64"/>
      </bottom>
      <diagonal/>
    </border>
    <border>
      <left/>
      <right/>
      <top style="thin">
        <color indexed="64"/>
      </top>
      <bottom/>
      <diagonal/>
    </border>
    <border>
      <left style="medium">
        <color indexed="64"/>
      </left>
      <right/>
      <top/>
      <bottom style="medium">
        <color rgb="FF000000"/>
      </bottom>
      <diagonal/>
    </border>
    <border>
      <left/>
      <right style="medium">
        <color indexed="64"/>
      </right>
      <top style="medium">
        <color indexed="64"/>
      </top>
      <bottom style="medium">
        <color rgb="FF000000"/>
      </bottom>
      <diagonal/>
    </border>
    <border>
      <left/>
      <right style="medium">
        <color indexed="64"/>
      </right>
      <top/>
      <bottom style="thin">
        <color rgb="FF000000"/>
      </bottom>
      <diagonal/>
    </border>
    <border>
      <left/>
      <right/>
      <top style="medium">
        <color indexed="64"/>
      </top>
      <bottom style="medium">
        <color indexed="64"/>
      </bottom>
      <diagonal/>
    </border>
    <border>
      <left style="medium">
        <color rgb="FF000000"/>
      </left>
      <right/>
      <top style="medium">
        <color indexed="64"/>
      </top>
      <bottom style="medium">
        <color indexed="64"/>
      </bottom>
      <diagonal/>
    </border>
    <border>
      <left/>
      <right/>
      <top style="medium">
        <color indexed="64"/>
      </top>
      <bottom style="thin">
        <color rgb="FF000000"/>
      </bottom>
      <diagonal/>
    </border>
    <border>
      <left/>
      <right style="medium">
        <color indexed="64"/>
      </right>
      <top style="medium">
        <color indexed="64"/>
      </top>
      <bottom style="thin">
        <color rgb="FF000000"/>
      </bottom>
      <diagonal/>
    </border>
    <border>
      <left style="thin">
        <color rgb="FF000000"/>
      </left>
      <right/>
      <top style="thin">
        <color rgb="FF000000"/>
      </top>
      <bottom style="medium">
        <color indexed="64"/>
      </bottom>
      <diagonal/>
    </border>
    <border>
      <left/>
      <right style="medium">
        <color indexed="64"/>
      </right>
      <top style="thin">
        <color rgb="FF000000"/>
      </top>
      <bottom style="medium">
        <color indexed="64"/>
      </bottom>
      <diagonal/>
    </border>
    <border>
      <left/>
      <right/>
      <top/>
      <bottom style="thin">
        <color indexed="64"/>
      </bottom>
      <diagonal/>
    </border>
    <border>
      <left style="medium">
        <color rgb="FF000000"/>
      </left>
      <right style="medium">
        <color rgb="FF000000"/>
      </right>
      <top style="thin">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rgb="FF000000"/>
      </left>
      <right/>
      <top style="medium">
        <color indexed="64"/>
      </top>
      <bottom style="medium">
        <color rgb="FF000000"/>
      </bottom>
      <diagonal/>
    </border>
    <border>
      <left style="medium">
        <color rgb="FF000000"/>
      </left>
      <right/>
      <top style="medium">
        <color indexed="64"/>
      </top>
      <bottom style="medium">
        <color rgb="FF000000"/>
      </bottom>
      <diagonal/>
    </border>
    <border>
      <left style="medium">
        <color rgb="FF000000"/>
      </left>
      <right style="medium">
        <color rgb="FF000000"/>
      </right>
      <top/>
      <bottom style="medium">
        <color indexed="64"/>
      </bottom>
      <diagonal/>
    </border>
    <border>
      <left style="medium">
        <color rgb="FF000000"/>
      </left>
      <right/>
      <top style="medium">
        <color indexed="64"/>
      </top>
      <bottom/>
      <diagonal/>
    </border>
    <border>
      <left style="medium">
        <color rgb="FF000000"/>
      </left>
      <right/>
      <top/>
      <bottom style="medium">
        <color indexed="64"/>
      </bottom>
      <diagonal/>
    </border>
    <border>
      <left/>
      <right style="thin">
        <color rgb="FF000000"/>
      </right>
      <top/>
      <bottom style="thin">
        <color rgb="FF000000"/>
      </bottom>
      <diagonal/>
    </border>
    <border>
      <left style="thin">
        <color rgb="FF000000"/>
      </left>
      <right/>
      <top/>
      <bottom style="medium">
        <color indexed="64"/>
      </bottom>
      <diagonal/>
    </border>
    <border>
      <left/>
      <right style="thin">
        <color indexed="64"/>
      </right>
      <top style="thin">
        <color rgb="FF000000"/>
      </top>
      <bottom/>
      <diagonal/>
    </border>
    <border>
      <left/>
      <right style="medium">
        <color indexed="64"/>
      </right>
      <top style="medium">
        <color rgb="FF000000"/>
      </top>
      <bottom/>
      <diagonal/>
    </border>
    <border>
      <left/>
      <right style="thin">
        <color rgb="FF000000"/>
      </right>
      <top/>
      <bottom style="medium">
        <color rgb="FF000000"/>
      </bottom>
      <diagonal/>
    </border>
    <border>
      <left/>
      <right style="thin">
        <color rgb="FF000000"/>
      </right>
      <top/>
      <bottom/>
      <diagonal/>
    </border>
    <border>
      <left style="medium">
        <color indexed="64"/>
      </left>
      <right/>
      <top style="medium">
        <color rgb="FF000000"/>
      </top>
      <bottom/>
      <diagonal/>
    </border>
    <border>
      <left/>
      <right style="thin">
        <color rgb="FF000000"/>
      </right>
      <top style="medium">
        <color rgb="FF000000"/>
      </top>
      <bottom/>
      <diagonal/>
    </border>
    <border>
      <left/>
      <right style="thin">
        <color rgb="FF000000"/>
      </right>
      <top style="medium">
        <color rgb="FF000000"/>
      </top>
      <bottom style="medium">
        <color rgb="FF000000"/>
      </bottom>
      <diagonal/>
    </border>
    <border>
      <left/>
      <right style="thin">
        <color rgb="FF000000"/>
      </right>
      <top style="medium">
        <color indexed="64"/>
      </top>
      <bottom style="medium">
        <color rgb="FF000000"/>
      </bottom>
      <diagonal/>
    </border>
    <border>
      <left/>
      <right style="thin">
        <color rgb="FF000000"/>
      </right>
      <top style="thin">
        <color rgb="FF000000"/>
      </top>
      <bottom/>
      <diagonal/>
    </border>
    <border>
      <left/>
      <right style="medium">
        <color rgb="FF000000"/>
      </right>
      <top style="medium">
        <color indexed="64"/>
      </top>
      <bottom style="medium">
        <color indexed="64"/>
      </bottom>
      <diagonal/>
    </border>
    <border>
      <left/>
      <right style="thin">
        <color rgb="FF000000"/>
      </right>
      <top/>
      <bottom style="medium">
        <color indexed="64"/>
      </bottom>
      <diagonal/>
    </border>
    <border>
      <left/>
      <right style="medium">
        <color rgb="FF000000"/>
      </right>
      <top style="thin">
        <color indexed="64"/>
      </top>
      <bottom/>
      <diagonal/>
    </border>
    <border>
      <left/>
      <right style="medium">
        <color rgb="FF000000"/>
      </right>
      <top/>
      <bottom style="thin">
        <color indexed="64"/>
      </bottom>
      <diagonal/>
    </border>
    <border>
      <left/>
      <right style="medium">
        <color rgb="FF000000"/>
      </right>
      <top/>
      <bottom style="medium">
        <color indexed="64"/>
      </bottom>
      <diagonal/>
    </border>
    <border>
      <left/>
      <right style="medium">
        <color rgb="FF000000"/>
      </right>
      <top style="medium">
        <color indexed="64"/>
      </top>
      <bottom/>
      <diagonal/>
    </border>
    <border>
      <left/>
      <right style="thin">
        <color indexed="64"/>
      </right>
      <top/>
      <bottom/>
      <diagonal/>
    </border>
    <border>
      <left/>
      <right style="thin">
        <color rgb="FF000000"/>
      </right>
      <top style="medium">
        <color indexed="64"/>
      </top>
      <bottom/>
      <diagonal/>
    </border>
  </borders>
  <cellStyleXfs count="4">
    <xf numFmtId="0" fontId="0" fillId="0" borderId="0"/>
    <xf numFmtId="164" fontId="7" fillId="0" borderId="0" applyFont="0" applyFill="0" applyBorder="0" applyAlignment="0" applyProtection="0"/>
    <xf numFmtId="44" fontId="7" fillId="0" borderId="0" applyFont="0" applyFill="0" applyBorder="0" applyAlignment="0" applyProtection="0"/>
    <xf numFmtId="9" fontId="7" fillId="0" borderId="0" applyFont="0" applyFill="0" applyBorder="0" applyAlignment="0" applyProtection="0"/>
  </cellStyleXfs>
  <cellXfs count="539">
    <xf numFmtId="0" fontId="0" fillId="0" borderId="0" xfId="0" applyFont="1" applyAlignment="1"/>
    <xf numFmtId="0" fontId="6" fillId="0" borderId="0" xfId="0" applyFont="1" applyAlignment="1"/>
    <xf numFmtId="0" fontId="10" fillId="0" borderId="0" xfId="0" applyFont="1" applyAlignment="1"/>
    <xf numFmtId="0" fontId="9" fillId="0" borderId="0" xfId="0" applyFont="1" applyAlignment="1"/>
    <xf numFmtId="171" fontId="11" fillId="0" borderId="31" xfId="0" applyNumberFormat="1" applyFont="1" applyBorder="1" applyAlignment="1">
      <alignment vertical="center"/>
    </xf>
    <xf numFmtId="171" fontId="11" fillId="0" borderId="33" xfId="0" applyNumberFormat="1" applyFont="1" applyBorder="1" applyAlignment="1">
      <alignment vertical="center"/>
    </xf>
    <xf numFmtId="0" fontId="9" fillId="0" borderId="0" xfId="0" applyFont="1" applyAlignment="1">
      <alignment horizontal="center"/>
    </xf>
    <xf numFmtId="0" fontId="8" fillId="0" borderId="0" xfId="0" applyFont="1" applyAlignment="1"/>
    <xf numFmtId="0" fontId="5" fillId="0" borderId="0" xfId="0" applyFont="1" applyAlignment="1"/>
    <xf numFmtId="49" fontId="8" fillId="0" borderId="4" xfId="0" applyNumberFormat="1" applyFont="1" applyBorder="1"/>
    <xf numFmtId="49" fontId="11" fillId="0" borderId="4" xfId="0" applyNumberFormat="1" applyFont="1" applyBorder="1"/>
    <xf numFmtId="0" fontId="8" fillId="0" borderId="5" xfId="0" applyFont="1" applyBorder="1"/>
    <xf numFmtId="49" fontId="8" fillId="0" borderId="5" xfId="0" applyNumberFormat="1" applyFont="1" applyBorder="1"/>
    <xf numFmtId="0" fontId="5" fillId="0" borderId="5" xfId="0" applyFont="1" applyBorder="1"/>
    <xf numFmtId="0" fontId="8" fillId="0" borderId="5" xfId="0" applyFont="1" applyBorder="1" applyAlignment="1">
      <alignment horizontal="right"/>
    </xf>
    <xf numFmtId="0" fontId="5" fillId="8" borderId="0" xfId="0" applyFont="1" applyFill="1" applyAlignment="1"/>
    <xf numFmtId="0" fontId="13" fillId="0" borderId="0" xfId="0" applyFont="1" applyAlignment="1">
      <alignment vertical="center"/>
    </xf>
    <xf numFmtId="9" fontId="5" fillId="0" borderId="0" xfId="0" applyNumberFormat="1" applyFont="1" applyAlignment="1"/>
    <xf numFmtId="167" fontId="5" fillId="0" borderId="0" xfId="0" applyNumberFormat="1" applyFont="1" applyAlignment="1"/>
    <xf numFmtId="0" fontId="5" fillId="0" borderId="29" xfId="0" applyFont="1" applyBorder="1" applyAlignment="1"/>
    <xf numFmtId="0" fontId="5" fillId="0" borderId="50" xfId="0" applyFont="1" applyBorder="1" applyAlignment="1"/>
    <xf numFmtId="0" fontId="5" fillId="0" borderId="30" xfId="0" applyFont="1" applyBorder="1" applyAlignment="1"/>
    <xf numFmtId="0" fontId="8" fillId="2" borderId="81" xfId="0" applyFont="1" applyFill="1" applyBorder="1" applyAlignment="1">
      <alignment horizontal="center"/>
    </xf>
    <xf numFmtId="0" fontId="8" fillId="0" borderId="82" xfId="0" applyFont="1" applyBorder="1" applyAlignment="1">
      <alignment horizontal="center"/>
    </xf>
    <xf numFmtId="0" fontId="8" fillId="0" borderId="55" xfId="0" applyFont="1" applyBorder="1" applyAlignment="1">
      <alignment horizontal="center"/>
    </xf>
    <xf numFmtId="0" fontId="8" fillId="0" borderId="68" xfId="0" applyFont="1" applyBorder="1" applyAlignment="1">
      <alignment horizontal="center"/>
    </xf>
    <xf numFmtId="0" fontId="8" fillId="0" borderId="23" xfId="0" applyFont="1" applyFill="1" applyBorder="1" applyAlignment="1">
      <alignment horizontal="center"/>
    </xf>
    <xf numFmtId="0" fontId="8" fillId="0" borderId="84" xfId="0" applyFont="1" applyBorder="1" applyAlignment="1">
      <alignment horizontal="center"/>
    </xf>
    <xf numFmtId="0" fontId="8" fillId="0" borderId="50" xfId="0" applyFont="1" applyBorder="1" applyAlignment="1">
      <alignment horizontal="center"/>
    </xf>
    <xf numFmtId="0" fontId="8" fillId="0" borderId="30" xfId="0" applyFont="1" applyBorder="1" applyAlignment="1">
      <alignment horizontal="center"/>
    </xf>
    <xf numFmtId="0" fontId="5" fillId="0" borderId="31" xfId="0" applyFont="1" applyBorder="1" applyAlignment="1"/>
    <xf numFmtId="167" fontId="5" fillId="0" borderId="23" xfId="2" applyNumberFormat="1" applyFont="1" applyBorder="1" applyAlignment="1"/>
    <xf numFmtId="0" fontId="5" fillId="0" borderId="23" xfId="0" applyFont="1" applyBorder="1" applyAlignment="1"/>
    <xf numFmtId="10" fontId="5" fillId="0" borderId="32" xfId="3" applyNumberFormat="1" applyFont="1" applyBorder="1" applyAlignment="1"/>
    <xf numFmtId="9" fontId="5" fillId="2" borderId="9" xfId="0" applyNumberFormat="1" applyFont="1" applyFill="1" applyBorder="1" applyAlignment="1">
      <alignment horizontal="center"/>
    </xf>
    <xf numFmtId="165" fontId="5" fillId="0" borderId="28" xfId="0" applyNumberFormat="1" applyFont="1" applyBorder="1" applyAlignment="1">
      <alignment horizontal="center"/>
    </xf>
    <xf numFmtId="165" fontId="5" fillId="0" borderId="21" xfId="0" applyNumberFormat="1" applyFont="1" applyBorder="1" applyAlignment="1">
      <alignment horizontal="center"/>
    </xf>
    <xf numFmtId="165" fontId="5" fillId="0" borderId="60" xfId="0" applyNumberFormat="1" applyFont="1" applyBorder="1" applyAlignment="1">
      <alignment horizontal="center"/>
    </xf>
    <xf numFmtId="165" fontId="5" fillId="0" borderId="23" xfId="0" applyNumberFormat="1" applyFont="1" applyFill="1" applyBorder="1" applyAlignment="1">
      <alignment horizontal="center"/>
    </xf>
    <xf numFmtId="9" fontId="5" fillId="2" borderId="28" xfId="0" applyNumberFormat="1" applyFont="1" applyFill="1" applyBorder="1" applyAlignment="1">
      <alignment horizontal="center"/>
    </xf>
    <xf numFmtId="165" fontId="5" fillId="0" borderId="52" xfId="0" applyNumberFormat="1" applyFont="1" applyBorder="1" applyAlignment="1">
      <alignment horizontal="center"/>
    </xf>
    <xf numFmtId="165" fontId="5" fillId="0" borderId="70" xfId="0" applyNumberFormat="1" applyFont="1" applyBorder="1" applyAlignment="1">
      <alignment horizontal="center"/>
    </xf>
    <xf numFmtId="165" fontId="5" fillId="0" borderId="53" xfId="0" applyNumberFormat="1" applyFont="1" applyBorder="1" applyAlignment="1">
      <alignment horizontal="center"/>
    </xf>
    <xf numFmtId="0" fontId="5" fillId="0" borderId="23" xfId="0" applyFont="1" applyBorder="1" applyAlignment="1"/>
    <xf numFmtId="166" fontId="5" fillId="2" borderId="13" xfId="0" applyNumberFormat="1" applyFont="1" applyFill="1" applyBorder="1" applyAlignment="1">
      <alignment horizontal="center"/>
    </xf>
    <xf numFmtId="167" fontId="5" fillId="0" borderId="22" xfId="0" applyNumberFormat="1" applyFont="1" applyBorder="1" applyAlignment="1">
      <alignment horizontal="center"/>
    </xf>
    <xf numFmtId="167" fontId="5" fillId="0" borderId="23" xfId="0" applyNumberFormat="1" applyFont="1" applyBorder="1" applyAlignment="1">
      <alignment horizontal="center"/>
    </xf>
    <xf numFmtId="167" fontId="5" fillId="0" borderId="32" xfId="0" applyNumberFormat="1" applyFont="1" applyBorder="1" applyAlignment="1">
      <alignment horizontal="center"/>
    </xf>
    <xf numFmtId="167" fontId="5" fillId="0" borderId="23" xfId="0" applyNumberFormat="1" applyFont="1" applyFill="1" applyBorder="1" applyAlignment="1">
      <alignment horizontal="center"/>
    </xf>
    <xf numFmtId="167" fontId="5" fillId="0" borderId="23" xfId="2" applyNumberFormat="1" applyFont="1" applyBorder="1" applyAlignment="1">
      <alignment horizontal="center"/>
    </xf>
    <xf numFmtId="167" fontId="5" fillId="0" borderId="32" xfId="2" applyNumberFormat="1" applyFont="1" applyBorder="1" applyAlignment="1">
      <alignment horizontal="center"/>
    </xf>
    <xf numFmtId="0" fontId="8" fillId="0" borderId="23" xfId="0" applyFont="1" applyBorder="1" applyAlignment="1">
      <alignment horizontal="right"/>
    </xf>
    <xf numFmtId="167" fontId="8" fillId="0" borderId="23" xfId="0" applyNumberFormat="1" applyFont="1" applyBorder="1" applyAlignment="1"/>
    <xf numFmtId="0" fontId="5" fillId="0" borderId="32" xfId="0" applyFont="1" applyBorder="1" applyAlignment="1"/>
    <xf numFmtId="167" fontId="5" fillId="0" borderId="23" xfId="0" applyNumberFormat="1" applyFont="1" applyBorder="1"/>
    <xf numFmtId="167" fontId="5" fillId="0" borderId="32" xfId="0" applyNumberFormat="1" applyFont="1" applyBorder="1"/>
    <xf numFmtId="167" fontId="5" fillId="0" borderId="23" xfId="0" applyNumberFormat="1" applyFont="1" applyFill="1" applyBorder="1"/>
    <xf numFmtId="0" fontId="8" fillId="0" borderId="31" xfId="0" applyFont="1" applyBorder="1" applyAlignment="1">
      <alignment horizontal="right"/>
    </xf>
    <xf numFmtId="167" fontId="5" fillId="0" borderId="23" xfId="0" applyNumberFormat="1" applyFont="1" applyBorder="1" applyAlignment="1"/>
    <xf numFmtId="0" fontId="8" fillId="2" borderId="9" xfId="0" applyFont="1" applyFill="1" applyBorder="1"/>
    <xf numFmtId="167" fontId="5" fillId="0" borderId="21" xfId="0" applyNumberFormat="1" applyFont="1" applyBorder="1"/>
    <xf numFmtId="167" fontId="11" fillId="0" borderId="21" xfId="0" applyNumberFormat="1" applyFont="1" applyBorder="1"/>
    <xf numFmtId="167" fontId="11" fillId="0" borderId="60" xfId="0" applyNumberFormat="1" applyFont="1" applyBorder="1"/>
    <xf numFmtId="167" fontId="11" fillId="0" borderId="23" xfId="0" applyNumberFormat="1" applyFont="1" applyFill="1" applyBorder="1"/>
    <xf numFmtId="0" fontId="8" fillId="2" borderId="28" xfId="0" applyFont="1" applyFill="1" applyBorder="1"/>
    <xf numFmtId="167" fontId="5" fillId="0" borderId="52" xfId="0" applyNumberFormat="1" applyFont="1" applyBorder="1"/>
    <xf numFmtId="167" fontId="5" fillId="0" borderId="70" xfId="2" applyNumberFormat="1" applyFont="1" applyBorder="1" applyAlignment="1">
      <alignment horizontal="center"/>
    </xf>
    <xf numFmtId="167" fontId="5" fillId="0" borderId="53" xfId="2" applyNumberFormat="1" applyFont="1" applyBorder="1" applyAlignment="1">
      <alignment horizontal="center"/>
    </xf>
    <xf numFmtId="9" fontId="8" fillId="10" borderId="13" xfId="0" applyNumberFormat="1" applyFont="1" applyFill="1" applyBorder="1" applyAlignment="1">
      <alignment horizontal="left"/>
    </xf>
    <xf numFmtId="167" fontId="11" fillId="5" borderId="23" xfId="0" applyNumberFormat="1" applyFont="1" applyFill="1" applyBorder="1"/>
    <xf numFmtId="167" fontId="11" fillId="5" borderId="32" xfId="0" applyNumberFormat="1" applyFont="1" applyFill="1" applyBorder="1"/>
    <xf numFmtId="0" fontId="8" fillId="0" borderId="31" xfId="0" applyFont="1" applyBorder="1" applyAlignment="1"/>
    <xf numFmtId="173" fontId="5" fillId="0" borderId="23" xfId="0" applyNumberFormat="1" applyFont="1" applyBorder="1" applyAlignment="1"/>
    <xf numFmtId="44" fontId="5" fillId="0" borderId="23" xfId="2" applyFont="1" applyBorder="1" applyAlignment="1"/>
    <xf numFmtId="0" fontId="8" fillId="2" borderId="13" xfId="0" applyFont="1" applyFill="1" applyBorder="1" applyAlignment="1">
      <alignment horizontal="left"/>
    </xf>
    <xf numFmtId="167" fontId="11" fillId="0" borderId="23" xfId="0" applyNumberFormat="1" applyFont="1" applyBorder="1"/>
    <xf numFmtId="167" fontId="11" fillId="0" borderId="32" xfId="0" applyNumberFormat="1" applyFont="1" applyBorder="1"/>
    <xf numFmtId="9" fontId="5" fillId="0" borderId="23" xfId="0" applyNumberFormat="1" applyFont="1" applyBorder="1" applyAlignment="1"/>
    <xf numFmtId="172" fontId="8" fillId="10" borderId="13" xfId="0" applyNumberFormat="1" applyFont="1" applyFill="1" applyBorder="1" applyAlignment="1">
      <alignment horizontal="left"/>
    </xf>
    <xf numFmtId="0" fontId="8" fillId="2" borderId="9" xfId="0" applyFont="1" applyFill="1" applyBorder="1" applyAlignment="1">
      <alignment horizontal="left"/>
    </xf>
    <xf numFmtId="167" fontId="5" fillId="0" borderId="28" xfId="0" applyNumberFormat="1" applyFont="1" applyBorder="1"/>
    <xf numFmtId="0" fontId="8" fillId="2" borderId="28" xfId="0" applyFont="1" applyFill="1" applyBorder="1" applyAlignment="1">
      <alignment horizontal="left"/>
    </xf>
    <xf numFmtId="0" fontId="5" fillId="2" borderId="13" xfId="0" applyFont="1" applyFill="1" applyBorder="1" applyAlignment="1">
      <alignment horizontal="center"/>
    </xf>
    <xf numFmtId="0" fontId="5" fillId="0" borderId="32" xfId="0" applyFont="1" applyBorder="1"/>
    <xf numFmtId="0" fontId="5" fillId="0" borderId="23" xfId="0" applyFont="1" applyFill="1" applyBorder="1"/>
    <xf numFmtId="0" fontId="8" fillId="0" borderId="52" xfId="0" applyFont="1" applyBorder="1" applyAlignment="1">
      <alignment horizontal="center"/>
    </xf>
    <xf numFmtId="0" fontId="8" fillId="0" borderId="53" xfId="0" applyFont="1" applyBorder="1" applyAlignment="1"/>
    <xf numFmtId="167" fontId="5" fillId="0" borderId="22" xfId="0" applyNumberFormat="1" applyFont="1" applyBorder="1" applyAlignment="1">
      <alignment horizontal="right"/>
    </xf>
    <xf numFmtId="0" fontId="8" fillId="0" borderId="29" xfId="0" applyFont="1" applyBorder="1" applyAlignment="1"/>
    <xf numFmtId="167" fontId="5" fillId="7" borderId="29" xfId="2" applyNumberFormat="1" applyFont="1" applyFill="1" applyBorder="1" applyAlignment="1"/>
    <xf numFmtId="44" fontId="5" fillId="7" borderId="30" xfId="2" applyFont="1" applyFill="1" applyBorder="1" applyAlignment="1"/>
    <xf numFmtId="0" fontId="5" fillId="0" borderId="23" xfId="0" applyNumberFormat="1" applyFont="1" applyFill="1" applyBorder="1" applyAlignment="1">
      <alignment horizontal="center"/>
    </xf>
    <xf numFmtId="167" fontId="5" fillId="7" borderId="31" xfId="2" applyNumberFormat="1" applyFont="1" applyFill="1" applyBorder="1" applyAlignment="1"/>
    <xf numFmtId="44" fontId="5" fillId="7" borderId="32" xfId="2" applyFont="1" applyFill="1" applyBorder="1" applyAlignment="1"/>
    <xf numFmtId="0" fontId="8" fillId="0" borderId="33" xfId="0" applyFont="1" applyBorder="1" applyAlignment="1"/>
    <xf numFmtId="167" fontId="5" fillId="7" borderId="33" xfId="2" applyNumberFormat="1" applyFont="1" applyFill="1" applyBorder="1" applyAlignment="1"/>
    <xf numFmtId="44" fontId="5" fillId="7" borderId="34" xfId="2" applyFont="1" applyFill="1" applyBorder="1" applyAlignment="1"/>
    <xf numFmtId="0" fontId="5" fillId="0" borderId="51" xfId="0" applyFont="1" applyBorder="1" applyAlignment="1"/>
    <xf numFmtId="0" fontId="5" fillId="0" borderId="34" xfId="0" applyFont="1" applyBorder="1" applyAlignment="1"/>
    <xf numFmtId="0" fontId="8" fillId="0" borderId="0" xfId="0" applyFont="1"/>
    <xf numFmtId="0" fontId="5" fillId="0" borderId="0" xfId="0" applyFont="1"/>
    <xf numFmtId="0" fontId="5" fillId="0" borderId="0" xfId="0" applyFont="1" applyAlignment="1">
      <alignment horizontal="center" vertical="center"/>
    </xf>
    <xf numFmtId="9" fontId="5" fillId="2" borderId="77" xfId="0" applyNumberFormat="1" applyFont="1" applyFill="1" applyBorder="1" applyAlignment="1">
      <alignment horizontal="center"/>
    </xf>
    <xf numFmtId="167" fontId="5" fillId="0" borderId="66" xfId="0" applyNumberFormat="1" applyFont="1" applyBorder="1" applyAlignment="1">
      <alignment horizontal="center"/>
    </xf>
    <xf numFmtId="167" fontId="5" fillId="0" borderId="66" xfId="0" applyNumberFormat="1" applyFont="1" applyBorder="1"/>
    <xf numFmtId="0" fontId="5" fillId="0" borderId="38" xfId="0" applyFont="1" applyBorder="1"/>
    <xf numFmtId="167" fontId="5" fillId="0" borderId="38" xfId="0" applyNumberFormat="1" applyFont="1" applyBorder="1" applyAlignment="1">
      <alignment horizontal="center"/>
    </xf>
    <xf numFmtId="0" fontId="8" fillId="2" borderId="56" xfId="0" applyFont="1" applyFill="1" applyBorder="1" applyAlignment="1">
      <alignment horizontal="center"/>
    </xf>
    <xf numFmtId="0" fontId="8" fillId="0" borderId="54" xfId="0" applyFont="1" applyBorder="1" applyAlignment="1">
      <alignment horizontal="center"/>
    </xf>
    <xf numFmtId="9" fontId="5" fillId="2" borderId="13" xfId="0" applyNumberFormat="1" applyFont="1" applyFill="1" applyBorder="1" applyAlignment="1">
      <alignment horizontal="center"/>
    </xf>
    <xf numFmtId="0" fontId="5" fillId="0" borderId="23" xfId="0" applyFont="1" applyFill="1" applyBorder="1" applyAlignment="1"/>
    <xf numFmtId="9" fontId="5" fillId="2" borderId="58" xfId="0" applyNumberFormat="1" applyFont="1" applyFill="1" applyBorder="1" applyAlignment="1">
      <alignment horizontal="center"/>
    </xf>
    <xf numFmtId="165" fontId="5" fillId="0" borderId="57" xfId="0" applyNumberFormat="1" applyFont="1" applyBorder="1" applyAlignment="1">
      <alignment horizontal="center"/>
    </xf>
    <xf numFmtId="166" fontId="5" fillId="2" borderId="59" xfId="0" applyNumberFormat="1" applyFont="1" applyFill="1" applyBorder="1" applyAlignment="1">
      <alignment horizontal="center"/>
    </xf>
    <xf numFmtId="167" fontId="5" fillId="0" borderId="31" xfId="0" applyNumberFormat="1" applyFont="1" applyBorder="1" applyAlignment="1">
      <alignment horizontal="center"/>
    </xf>
    <xf numFmtId="167" fontId="5" fillId="6" borderId="23" xfId="0" applyNumberFormat="1" applyFont="1" applyFill="1" applyBorder="1" applyAlignment="1">
      <alignment horizontal="center"/>
    </xf>
    <xf numFmtId="167" fontId="5" fillId="6" borderId="23" xfId="0" applyNumberFormat="1" applyFont="1" applyFill="1" applyBorder="1"/>
    <xf numFmtId="9" fontId="5" fillId="2" borderId="79" xfId="0" applyNumberFormat="1" applyFont="1" applyFill="1" applyBorder="1" applyAlignment="1">
      <alignment horizontal="center"/>
    </xf>
    <xf numFmtId="167" fontId="5" fillId="0" borderId="23" xfId="0" applyNumberFormat="1" applyFont="1" applyBorder="1" applyAlignment="1">
      <alignment horizontal="right"/>
    </xf>
    <xf numFmtId="167" fontId="5" fillId="0" borderId="57" xfId="0" applyNumberFormat="1" applyFont="1" applyBorder="1"/>
    <xf numFmtId="9" fontId="5" fillId="2" borderId="78" xfId="0" applyNumberFormat="1" applyFont="1" applyFill="1" applyBorder="1" applyAlignment="1">
      <alignment horizontal="center"/>
    </xf>
    <xf numFmtId="167" fontId="5" fillId="0" borderId="50" xfId="0" applyNumberFormat="1" applyFont="1" applyFill="1" applyBorder="1" applyAlignment="1">
      <alignment horizontal="center"/>
    </xf>
    <xf numFmtId="167" fontId="5" fillId="0" borderId="50" xfId="0" applyNumberFormat="1" applyFont="1" applyFill="1" applyBorder="1"/>
    <xf numFmtId="167" fontId="5" fillId="0" borderId="50" xfId="0" applyNumberFormat="1" applyFont="1" applyFill="1" applyBorder="1" applyAlignment="1">
      <alignment horizontal="right"/>
    </xf>
    <xf numFmtId="167" fontId="5" fillId="0" borderId="30" xfId="0" applyNumberFormat="1" applyFont="1" applyFill="1" applyBorder="1"/>
    <xf numFmtId="167" fontId="5" fillId="0" borderId="30" xfId="0" applyNumberFormat="1" applyFont="1" applyFill="1" applyBorder="1" applyAlignment="1">
      <alignment horizontal="center"/>
    </xf>
    <xf numFmtId="0" fontId="5" fillId="2" borderId="59" xfId="0" applyFont="1" applyFill="1" applyBorder="1" applyAlignment="1">
      <alignment horizontal="center"/>
    </xf>
    <xf numFmtId="167" fontId="5" fillId="5" borderId="32" xfId="0" applyNumberFormat="1" applyFont="1" applyFill="1" applyBorder="1"/>
    <xf numFmtId="167" fontId="5" fillId="6" borderId="31" xfId="0" applyNumberFormat="1" applyFont="1" applyFill="1" applyBorder="1" applyAlignment="1">
      <alignment horizontal="right"/>
    </xf>
    <xf numFmtId="0" fontId="5" fillId="0" borderId="51" xfId="0" applyFont="1" applyBorder="1" applyAlignment="1"/>
    <xf numFmtId="9" fontId="5" fillId="2" borderId="80" xfId="0" applyNumberFormat="1" applyFont="1" applyFill="1" applyBorder="1" applyAlignment="1">
      <alignment horizontal="center"/>
    </xf>
    <xf numFmtId="167" fontId="5" fillId="0" borderId="51" xfId="0" applyNumberFormat="1" applyFont="1" applyBorder="1" applyAlignment="1">
      <alignment horizontal="center"/>
    </xf>
    <xf numFmtId="167" fontId="5" fillId="0" borderId="51" xfId="0" applyNumberFormat="1" applyFont="1" applyBorder="1"/>
    <xf numFmtId="167" fontId="5" fillId="0" borderId="51" xfId="0" applyNumberFormat="1" applyFont="1" applyBorder="1" applyAlignment="1">
      <alignment horizontal="right"/>
    </xf>
    <xf numFmtId="167" fontId="8" fillId="0" borderId="23" xfId="0" applyNumberFormat="1" applyFont="1" applyFill="1" applyBorder="1" applyAlignment="1">
      <alignment horizontal="center"/>
    </xf>
    <xf numFmtId="167" fontId="5" fillId="0" borderId="17" xfId="0" applyNumberFormat="1" applyFont="1" applyBorder="1"/>
    <xf numFmtId="0" fontId="5" fillId="0" borderId="69" xfId="0" applyFont="1" applyBorder="1"/>
    <xf numFmtId="168" fontId="5" fillId="2" borderId="13" xfId="0" applyNumberFormat="1" applyFont="1" applyFill="1" applyBorder="1" applyAlignment="1">
      <alignment horizontal="center"/>
    </xf>
    <xf numFmtId="167" fontId="8" fillId="0" borderId="23" xfId="0" applyNumberFormat="1" applyFont="1" applyBorder="1" applyAlignment="1">
      <alignment horizontal="center"/>
    </xf>
    <xf numFmtId="167" fontId="8" fillId="0" borderId="32" xfId="0" applyNumberFormat="1" applyFont="1" applyBorder="1" applyAlignment="1">
      <alignment horizontal="center"/>
    </xf>
    <xf numFmtId="169" fontId="5" fillId="0" borderId="23" xfId="0" applyNumberFormat="1" applyFont="1" applyFill="1" applyBorder="1" applyAlignment="1">
      <alignment horizontal="center"/>
    </xf>
    <xf numFmtId="168" fontId="5" fillId="2" borderId="22" xfId="0" applyNumberFormat="1" applyFont="1" applyFill="1" applyBorder="1" applyAlignment="1">
      <alignment horizontal="center"/>
    </xf>
    <xf numFmtId="167" fontId="8" fillId="0" borderId="29" xfId="0" applyNumberFormat="1" applyFont="1" applyBorder="1" applyAlignment="1">
      <alignment horizontal="center"/>
    </xf>
    <xf numFmtId="167" fontId="8" fillId="0" borderId="50" xfId="0" applyNumberFormat="1" applyFont="1" applyBorder="1" applyAlignment="1">
      <alignment horizontal="center"/>
    </xf>
    <xf numFmtId="167" fontId="8" fillId="0" borderId="30" xfId="0" applyNumberFormat="1" applyFont="1" applyBorder="1" applyAlignment="1">
      <alignment horizontal="center"/>
    </xf>
    <xf numFmtId="9" fontId="5" fillId="2" borderId="62" xfId="0" applyNumberFormat="1" applyFont="1" applyFill="1" applyBorder="1" applyAlignment="1">
      <alignment horizontal="center"/>
    </xf>
    <xf numFmtId="167" fontId="5" fillId="0" borderId="61" xfId="0" applyNumberFormat="1" applyFont="1" applyBorder="1" applyAlignment="1">
      <alignment horizontal="center"/>
    </xf>
    <xf numFmtId="167" fontId="5" fillId="0" borderId="19" xfId="0" applyNumberFormat="1" applyFont="1" applyBorder="1"/>
    <xf numFmtId="10" fontId="5" fillId="10" borderId="13" xfId="0" applyNumberFormat="1" applyFont="1" applyFill="1" applyBorder="1" applyAlignment="1">
      <alignment horizontal="center"/>
    </xf>
    <xf numFmtId="169" fontId="5" fillId="4" borderId="23" xfId="0" applyNumberFormat="1" applyFont="1" applyFill="1" applyBorder="1" applyAlignment="1">
      <alignment horizontal="center"/>
    </xf>
    <xf numFmtId="169" fontId="5" fillId="4" borderId="32" xfId="0" applyNumberFormat="1" applyFont="1" applyFill="1" applyBorder="1" applyAlignment="1">
      <alignment horizontal="center"/>
    </xf>
    <xf numFmtId="10" fontId="5" fillId="10" borderId="22" xfId="0" applyNumberFormat="1" applyFont="1" applyFill="1" applyBorder="1" applyAlignment="1">
      <alignment horizontal="center"/>
    </xf>
    <xf numFmtId="169" fontId="5" fillId="4" borderId="31" xfId="0" applyNumberFormat="1" applyFont="1" applyFill="1" applyBorder="1" applyAlignment="1">
      <alignment horizontal="center"/>
    </xf>
    <xf numFmtId="9" fontId="5" fillId="2" borderId="59" xfId="0" applyNumberFormat="1" applyFont="1" applyFill="1" applyBorder="1" applyAlignment="1">
      <alignment horizontal="center"/>
    </xf>
    <xf numFmtId="9" fontId="5" fillId="2" borderId="83" xfId="0" applyNumberFormat="1" applyFont="1" applyFill="1" applyBorder="1" applyAlignment="1">
      <alignment horizontal="center"/>
    </xf>
    <xf numFmtId="167" fontId="8" fillId="0" borderId="51" xfId="0" applyNumberFormat="1" applyFont="1" applyBorder="1" applyAlignment="1">
      <alignment horizontal="center"/>
    </xf>
    <xf numFmtId="167" fontId="8" fillId="0" borderId="34" xfId="0" applyNumberFormat="1" applyFont="1" applyBorder="1" applyAlignment="1">
      <alignment horizontal="center"/>
    </xf>
    <xf numFmtId="9" fontId="5" fillId="2" borderId="85" xfId="0" applyNumberFormat="1" applyFont="1" applyFill="1" applyBorder="1" applyAlignment="1">
      <alignment horizontal="center"/>
    </xf>
    <xf numFmtId="167" fontId="8" fillId="0" borderId="33" xfId="0" applyNumberFormat="1" applyFont="1" applyBorder="1" applyAlignment="1">
      <alignment horizontal="center"/>
    </xf>
    <xf numFmtId="9" fontId="5" fillId="0" borderId="32" xfId="0" applyNumberFormat="1" applyFont="1" applyBorder="1" applyAlignment="1">
      <alignment horizontal="center"/>
    </xf>
    <xf numFmtId="9" fontId="5" fillId="0" borderId="59" xfId="0" applyNumberFormat="1" applyFont="1" applyFill="1" applyBorder="1" applyAlignment="1">
      <alignment horizontal="center"/>
    </xf>
    <xf numFmtId="0" fontId="8" fillId="3" borderId="23" xfId="0" applyFont="1" applyFill="1" applyBorder="1"/>
    <xf numFmtId="167" fontId="8" fillId="3" borderId="23" xfId="0" applyNumberFormat="1" applyFont="1" applyFill="1" applyBorder="1"/>
    <xf numFmtId="10" fontId="5" fillId="0" borderId="0" xfId="3" applyNumberFormat="1" applyFont="1" applyAlignment="1"/>
    <xf numFmtId="167" fontId="5" fillId="0" borderId="32" xfId="0" applyNumberFormat="1" applyFont="1" applyFill="1" applyBorder="1"/>
    <xf numFmtId="9" fontId="5" fillId="2" borderId="64" xfId="0" applyNumberFormat="1" applyFont="1" applyFill="1" applyBorder="1" applyAlignment="1">
      <alignment horizontal="center"/>
    </xf>
    <xf numFmtId="168" fontId="5" fillId="2" borderId="62" xfId="0" applyNumberFormat="1" applyFont="1" applyFill="1" applyBorder="1" applyAlignment="1">
      <alignment horizontal="center"/>
    </xf>
    <xf numFmtId="167" fontId="8" fillId="0" borderId="37" xfId="0" applyNumberFormat="1" applyFont="1" applyFill="1" applyBorder="1" applyAlignment="1">
      <alignment horizontal="center"/>
    </xf>
    <xf numFmtId="167" fontId="8" fillId="0" borderId="66" xfId="0" applyNumberFormat="1" applyFont="1" applyFill="1" applyBorder="1" applyAlignment="1">
      <alignment horizontal="center"/>
    </xf>
    <xf numFmtId="167" fontId="8" fillId="0" borderId="38" xfId="0" applyNumberFormat="1" applyFont="1" applyFill="1" applyBorder="1" applyAlignment="1">
      <alignment horizontal="center"/>
    </xf>
    <xf numFmtId="167" fontId="8" fillId="0" borderId="23" xfId="0" applyNumberFormat="1" applyFont="1" applyFill="1" applyBorder="1"/>
    <xf numFmtId="0" fontId="15" fillId="0" borderId="0" xfId="0" applyFont="1" applyAlignment="1">
      <alignment horizontal="center" vertical="center"/>
    </xf>
    <xf numFmtId="0" fontId="5" fillId="0" borderId="33" xfId="0" applyFont="1" applyBorder="1" applyAlignment="1"/>
    <xf numFmtId="9" fontId="5" fillId="0" borderId="34" xfId="0" applyNumberFormat="1" applyFont="1" applyBorder="1" applyAlignment="1"/>
    <xf numFmtId="9" fontId="5" fillId="0" borderId="34" xfId="0" applyNumberFormat="1" applyFont="1" applyBorder="1" applyAlignment="1">
      <alignment horizontal="center"/>
    </xf>
    <xf numFmtId="169" fontId="5" fillId="0" borderId="23" xfId="0" applyNumberFormat="1" applyFont="1" applyFill="1" applyBorder="1"/>
    <xf numFmtId="0" fontId="11" fillId="0" borderId="0" xfId="0" applyFont="1" applyAlignment="1">
      <alignment vertical="center"/>
    </xf>
    <xf numFmtId="0" fontId="5" fillId="0" borderId="0" xfId="0" applyFont="1" applyAlignment="1">
      <alignment vertical="center"/>
    </xf>
    <xf numFmtId="167" fontId="5" fillId="0" borderId="23" xfId="0" applyNumberFormat="1" applyFont="1" applyBorder="1" applyAlignment="1">
      <alignment vertical="center"/>
    </xf>
    <xf numFmtId="175" fontId="11" fillId="0" borderId="0" xfId="0" applyNumberFormat="1" applyFont="1" applyAlignment="1">
      <alignment vertical="center"/>
    </xf>
    <xf numFmtId="9" fontId="5" fillId="2" borderId="65" xfId="0" applyNumberFormat="1" applyFont="1" applyFill="1" applyBorder="1" applyAlignment="1">
      <alignment horizontal="center"/>
    </xf>
    <xf numFmtId="9" fontId="5" fillId="0" borderId="0" xfId="0" applyNumberFormat="1" applyFont="1" applyAlignment="1">
      <alignment vertical="center"/>
    </xf>
    <xf numFmtId="0" fontId="5" fillId="0" borderId="23" xfId="0" applyFont="1" applyBorder="1"/>
    <xf numFmtId="10" fontId="5" fillId="0" borderId="0" xfId="0" applyNumberFormat="1" applyFont="1" applyAlignment="1">
      <alignment vertical="center"/>
    </xf>
    <xf numFmtId="167" fontId="8" fillId="0" borderId="0" xfId="0" applyNumberFormat="1" applyFont="1" applyAlignment="1">
      <alignment horizontal="center" vertical="center"/>
    </xf>
    <xf numFmtId="0" fontId="8" fillId="0" borderId="40" xfId="0" applyFont="1" applyBorder="1"/>
    <xf numFmtId="0" fontId="8" fillId="0" borderId="41" xfId="0" applyFont="1" applyBorder="1"/>
    <xf numFmtId="0" fontId="8" fillId="0" borderId="42" xfId="0" applyFont="1" applyBorder="1"/>
    <xf numFmtId="49" fontId="5" fillId="0" borderId="0" xfId="0" applyNumberFormat="1" applyFont="1"/>
    <xf numFmtId="0" fontId="8" fillId="0" borderId="43" xfId="0" applyFont="1" applyBorder="1" applyAlignment="1">
      <alignment horizontal="center"/>
    </xf>
    <xf numFmtId="167" fontId="5" fillId="0" borderId="5" xfId="0" applyNumberFormat="1" applyFont="1" applyBorder="1"/>
    <xf numFmtId="167" fontId="5" fillId="0" borderId="44" xfId="0" applyNumberFormat="1" applyFont="1" applyBorder="1"/>
    <xf numFmtId="0" fontId="8" fillId="0" borderId="23" xfId="0" applyFont="1" applyFill="1" applyBorder="1" applyAlignment="1">
      <alignment horizontal="left"/>
    </xf>
    <xf numFmtId="44" fontId="8" fillId="0" borderId="23" xfId="0" applyNumberFormat="1" applyFont="1" applyFill="1" applyBorder="1" applyAlignment="1">
      <alignment horizontal="center" vertical="center"/>
    </xf>
    <xf numFmtId="44" fontId="8" fillId="0" borderId="0" xfId="0" applyNumberFormat="1" applyFont="1" applyAlignment="1">
      <alignment horizontal="center" vertical="center"/>
    </xf>
    <xf numFmtId="167" fontId="5" fillId="0" borderId="0" xfId="0" applyNumberFormat="1" applyFont="1" applyAlignment="1">
      <alignment vertical="center"/>
    </xf>
    <xf numFmtId="167" fontId="5" fillId="7" borderId="0" xfId="0" applyNumberFormat="1" applyFont="1" applyFill="1" applyAlignment="1">
      <alignment vertical="center"/>
    </xf>
    <xf numFmtId="0" fontId="8" fillId="0" borderId="1" xfId="0" applyFont="1" applyBorder="1"/>
    <xf numFmtId="0" fontId="5" fillId="0" borderId="7" xfId="0" applyFont="1" applyBorder="1"/>
    <xf numFmtId="167" fontId="8" fillId="0" borderId="7" xfId="0" applyNumberFormat="1" applyFont="1" applyBorder="1"/>
    <xf numFmtId="44" fontId="8" fillId="0" borderId="10" xfId="0" applyNumberFormat="1" applyFont="1" applyBorder="1" applyAlignment="1">
      <alignment horizontal="center" vertical="center"/>
    </xf>
    <xf numFmtId="0" fontId="8" fillId="0" borderId="11" xfId="0" applyFont="1" applyBorder="1"/>
    <xf numFmtId="44" fontId="8" fillId="0" borderId="12" xfId="0" applyNumberFormat="1" applyFont="1" applyBorder="1" applyAlignment="1">
      <alignment horizontal="center" vertical="center"/>
    </xf>
    <xf numFmtId="0" fontId="8" fillId="0" borderId="0" xfId="0" applyFont="1" applyAlignment="1">
      <alignment vertical="center"/>
    </xf>
    <xf numFmtId="0" fontId="8" fillId="0" borderId="1" xfId="0" applyFont="1" applyBorder="1" applyAlignment="1">
      <alignment horizontal="left"/>
    </xf>
    <xf numFmtId="0" fontId="8" fillId="0" borderId="7" xfId="0" applyFont="1" applyBorder="1" applyAlignment="1">
      <alignment horizontal="left"/>
    </xf>
    <xf numFmtId="0" fontId="5" fillId="0" borderId="7" xfId="0" applyFont="1" applyBorder="1" applyAlignment="1">
      <alignment horizontal="center"/>
    </xf>
    <xf numFmtId="0" fontId="5" fillId="0" borderId="10" xfId="0" applyFont="1" applyBorder="1"/>
    <xf numFmtId="0" fontId="8" fillId="0" borderId="0" xfId="0" applyFont="1" applyAlignment="1">
      <alignment horizontal="left"/>
    </xf>
    <xf numFmtId="0" fontId="5" fillId="0" borderId="0" xfId="0" applyFont="1" applyAlignment="1">
      <alignment horizontal="center"/>
    </xf>
    <xf numFmtId="0" fontId="8" fillId="0" borderId="11" xfId="0" applyFont="1" applyBorder="1" applyAlignment="1">
      <alignment horizontal="left"/>
    </xf>
    <xf numFmtId="0" fontId="8" fillId="0" borderId="0" xfId="0" applyFont="1" applyAlignment="1">
      <alignment horizontal="right"/>
    </xf>
    <xf numFmtId="167" fontId="8" fillId="0" borderId="0" xfId="2" applyNumberFormat="1" applyFont="1" applyAlignment="1">
      <alignment horizontal="left"/>
    </xf>
    <xf numFmtId="0" fontId="8" fillId="0" borderId="0" xfId="0" applyFont="1" applyAlignment="1">
      <alignment horizontal="center"/>
    </xf>
    <xf numFmtId="167" fontId="5" fillId="0" borderId="12" xfId="0" applyNumberFormat="1" applyFont="1" applyBorder="1"/>
    <xf numFmtId="0" fontId="8" fillId="0" borderId="45" xfId="0" applyFont="1" applyBorder="1" applyAlignment="1">
      <alignment horizontal="center"/>
    </xf>
    <xf numFmtId="167" fontId="5" fillId="0" borderId="46" xfId="0" applyNumberFormat="1" applyFont="1" applyBorder="1"/>
    <xf numFmtId="167" fontId="5" fillId="0" borderId="47" xfId="0" applyNumberFormat="1" applyFont="1" applyBorder="1"/>
    <xf numFmtId="9" fontId="5" fillId="0" borderId="0" xfId="0" applyNumberFormat="1" applyFont="1"/>
    <xf numFmtId="0" fontId="8" fillId="0" borderId="29" xfId="0" applyFont="1" applyBorder="1" applyAlignment="1">
      <alignment horizontal="center"/>
    </xf>
    <xf numFmtId="0" fontId="5" fillId="0" borderId="12" xfId="0" applyFont="1" applyBorder="1"/>
    <xf numFmtId="173" fontId="8" fillId="3" borderId="33" xfId="0" applyNumberFormat="1" applyFont="1" applyFill="1" applyBorder="1"/>
    <xf numFmtId="174" fontId="8" fillId="3" borderId="34" xfId="0" applyNumberFormat="1" applyFont="1" applyFill="1" applyBorder="1"/>
    <xf numFmtId="10" fontId="5" fillId="0" borderId="0" xfId="0" applyNumberFormat="1" applyFont="1"/>
    <xf numFmtId="0" fontId="8" fillId="0" borderId="23" xfId="0" applyFont="1" applyFill="1" applyBorder="1"/>
    <xf numFmtId="0" fontId="5" fillId="0" borderId="22" xfId="0" applyFont="1" applyBorder="1"/>
    <xf numFmtId="10" fontId="8" fillId="3" borderId="30" xfId="0" applyNumberFormat="1" applyFont="1" applyFill="1" applyBorder="1"/>
    <xf numFmtId="167" fontId="5" fillId="0" borderId="0" xfId="0" applyNumberFormat="1" applyFont="1"/>
    <xf numFmtId="0" fontId="5" fillId="0" borderId="15" xfId="0" applyFont="1" applyBorder="1"/>
    <xf numFmtId="0" fontId="5" fillId="0" borderId="16" xfId="0" applyFont="1" applyBorder="1"/>
    <xf numFmtId="0" fontId="8" fillId="0" borderId="2" xfId="0" applyFont="1" applyBorder="1" applyAlignment="1">
      <alignment horizontal="center"/>
    </xf>
    <xf numFmtId="10" fontId="8" fillId="3" borderId="26" xfId="0" applyNumberFormat="1" applyFont="1" applyFill="1" applyBorder="1"/>
    <xf numFmtId="10" fontId="5" fillId="0" borderId="0" xfId="3" applyNumberFormat="1" applyFont="1"/>
    <xf numFmtId="9" fontId="8" fillId="0" borderId="7" xfId="0" applyNumberFormat="1" applyFont="1" applyBorder="1" applyAlignment="1">
      <alignment horizontal="center" vertical="center"/>
    </xf>
    <xf numFmtId="9" fontId="8" fillId="0" borderId="0" xfId="0" applyNumberFormat="1" applyFont="1" applyAlignment="1">
      <alignment horizontal="center" vertical="center"/>
    </xf>
    <xf numFmtId="0" fontId="8" fillId="0" borderId="0" xfId="0" applyFont="1" applyAlignment="1">
      <alignment horizontal="center" vertical="center"/>
    </xf>
    <xf numFmtId="0" fontId="8" fillId="0" borderId="12" xfId="0" applyFont="1" applyBorder="1"/>
    <xf numFmtId="0" fontId="5" fillId="0" borderId="11" xfId="0" applyFont="1" applyBorder="1"/>
    <xf numFmtId="43" fontId="5" fillId="0" borderId="0" xfId="0" applyNumberFormat="1" applyFont="1"/>
    <xf numFmtId="43" fontId="5" fillId="0" borderId="12" xfId="0" applyNumberFormat="1" applyFont="1" applyBorder="1"/>
    <xf numFmtId="167" fontId="8" fillId="0" borderId="0" xfId="0" applyNumberFormat="1" applyFont="1" applyAlignment="1">
      <alignment horizontal="center"/>
    </xf>
    <xf numFmtId="0" fontId="8" fillId="0" borderId="2" xfId="0" applyFont="1" applyBorder="1"/>
    <xf numFmtId="10" fontId="5" fillId="0" borderId="0" xfId="0" applyNumberFormat="1" applyFont="1" applyAlignment="1"/>
    <xf numFmtId="0" fontId="5" fillId="0" borderId="23" xfId="0" applyFont="1" applyFill="1" applyBorder="1" applyAlignment="1">
      <alignment horizontal="center"/>
    </xf>
    <xf numFmtId="10" fontId="8" fillId="0" borderId="23" xfId="0" applyNumberFormat="1" applyFont="1" applyFill="1" applyBorder="1"/>
    <xf numFmtId="0" fontId="8" fillId="0" borderId="30" xfId="0" applyFont="1" applyBorder="1" applyAlignment="1"/>
    <xf numFmtId="0" fontId="8" fillId="0" borderId="23" xfId="0" applyFont="1" applyBorder="1" applyAlignment="1"/>
    <xf numFmtId="0" fontId="5" fillId="0" borderId="50" xfId="0" applyNumberFormat="1" applyFont="1" applyBorder="1" applyAlignment="1"/>
    <xf numFmtId="0" fontId="5" fillId="0" borderId="30" xfId="0" applyNumberFormat="1" applyFont="1" applyBorder="1" applyAlignment="1"/>
    <xf numFmtId="0" fontId="5" fillId="0" borderId="31" xfId="0" applyNumberFormat="1" applyFont="1" applyBorder="1" applyAlignment="1"/>
    <xf numFmtId="0" fontId="5" fillId="0" borderId="23" xfId="2" applyNumberFormat="1" applyFont="1" applyBorder="1" applyAlignment="1"/>
    <xf numFmtId="0" fontId="5" fillId="0" borderId="23" xfId="0" applyNumberFormat="1" applyFont="1" applyBorder="1" applyAlignment="1"/>
    <xf numFmtId="0" fontId="5" fillId="0" borderId="32" xfId="3" applyNumberFormat="1" applyFont="1" applyBorder="1" applyAlignment="1"/>
    <xf numFmtId="0" fontId="5" fillId="0" borderId="23" xfId="0" applyNumberFormat="1" applyFont="1" applyBorder="1" applyAlignment="1">
      <alignment horizontal="right"/>
    </xf>
    <xf numFmtId="0" fontId="5" fillId="0" borderId="32" xfId="0" applyNumberFormat="1" applyFont="1" applyBorder="1" applyAlignment="1"/>
    <xf numFmtId="167" fontId="5" fillId="0" borderId="32" xfId="0" applyNumberFormat="1" applyFont="1" applyFill="1" applyBorder="1" applyAlignment="1">
      <alignment horizontal="center"/>
    </xf>
    <xf numFmtId="167" fontId="5" fillId="0" borderId="31" xfId="0" applyNumberFormat="1" applyFont="1" applyFill="1" applyBorder="1" applyAlignment="1">
      <alignment horizontal="right"/>
    </xf>
    <xf numFmtId="9" fontId="5" fillId="2" borderId="87" xfId="0" applyNumberFormat="1" applyFont="1" applyFill="1" applyBorder="1" applyAlignment="1">
      <alignment horizontal="center"/>
    </xf>
    <xf numFmtId="168" fontId="5" fillId="2" borderId="66" xfId="0" applyNumberFormat="1" applyFont="1" applyFill="1" applyBorder="1" applyAlignment="1">
      <alignment horizontal="center"/>
    </xf>
    <xf numFmtId="167" fontId="5" fillId="0" borderId="0" xfId="0" applyNumberFormat="1" applyFont="1" applyAlignment="1">
      <alignment horizontal="center"/>
    </xf>
    <xf numFmtId="0" fontId="5" fillId="0" borderId="32" xfId="0" applyFont="1" applyFill="1" applyBorder="1" applyAlignment="1"/>
    <xf numFmtId="0" fontId="8" fillId="9" borderId="13" xfId="0" applyFont="1" applyFill="1" applyBorder="1" applyAlignment="1">
      <alignment horizontal="left"/>
    </xf>
    <xf numFmtId="172" fontId="8" fillId="9" borderId="13" xfId="0" applyNumberFormat="1" applyFont="1" applyFill="1" applyBorder="1" applyAlignment="1">
      <alignment horizontal="left"/>
    </xf>
    <xf numFmtId="9" fontId="8" fillId="9" borderId="13" xfId="0" applyNumberFormat="1" applyFont="1" applyFill="1" applyBorder="1" applyAlignment="1">
      <alignment horizontal="left"/>
    </xf>
    <xf numFmtId="167" fontId="11" fillId="0" borderId="32" xfId="0" applyNumberFormat="1" applyFont="1" applyFill="1" applyBorder="1"/>
    <xf numFmtId="10" fontId="5" fillId="11" borderId="13" xfId="0" applyNumberFormat="1" applyFont="1" applyFill="1" applyBorder="1" applyAlignment="1">
      <alignment horizontal="center"/>
    </xf>
    <xf numFmtId="0" fontId="8" fillId="3" borderId="52" xfId="0" applyFont="1" applyFill="1" applyBorder="1"/>
    <xf numFmtId="167" fontId="8" fillId="3" borderId="53" xfId="0" applyNumberFormat="1" applyFont="1" applyFill="1" applyBorder="1"/>
    <xf numFmtId="0" fontId="15" fillId="0" borderId="23" xfId="0" applyFont="1" applyFill="1" applyBorder="1" applyAlignment="1">
      <alignment horizontal="center" vertical="center"/>
    </xf>
    <xf numFmtId="0" fontId="11" fillId="0" borderId="23" xfId="0" applyFont="1" applyFill="1" applyBorder="1" applyAlignment="1">
      <alignment vertical="center"/>
    </xf>
    <xf numFmtId="0" fontId="5" fillId="0" borderId="23" xfId="0" applyFont="1" applyFill="1" applyBorder="1" applyAlignment="1">
      <alignment vertical="center"/>
    </xf>
    <xf numFmtId="167" fontId="5" fillId="0" borderId="23" xfId="0" applyNumberFormat="1" applyFont="1" applyFill="1" applyBorder="1" applyAlignment="1">
      <alignment vertical="center"/>
    </xf>
    <xf numFmtId="175" fontId="11" fillId="0" borderId="23" xfId="0" applyNumberFormat="1" applyFont="1" applyFill="1" applyBorder="1" applyAlignment="1">
      <alignment vertical="center"/>
    </xf>
    <xf numFmtId="9" fontId="5" fillId="0" borderId="23" xfId="0" applyNumberFormat="1" applyFont="1" applyFill="1" applyBorder="1" applyAlignment="1">
      <alignment vertical="center"/>
    </xf>
    <xf numFmtId="10" fontId="5" fillId="0" borderId="23" xfId="0" applyNumberFormat="1" applyFont="1" applyFill="1" applyBorder="1" applyAlignment="1">
      <alignment vertical="center"/>
    </xf>
    <xf numFmtId="167" fontId="5" fillId="7" borderId="23" xfId="2" applyNumberFormat="1" applyFont="1" applyFill="1" applyBorder="1" applyAlignment="1"/>
    <xf numFmtId="165" fontId="5" fillId="7" borderId="21" xfId="0" applyNumberFormat="1" applyFont="1" applyFill="1" applyBorder="1" applyAlignment="1">
      <alignment horizontal="center"/>
    </xf>
    <xf numFmtId="165" fontId="5" fillId="0" borderId="21" xfId="0" applyNumberFormat="1" applyFont="1" applyFill="1" applyBorder="1" applyAlignment="1">
      <alignment horizontal="center"/>
    </xf>
    <xf numFmtId="167" fontId="5" fillId="0" borderId="70" xfId="0" applyNumberFormat="1" applyFont="1" applyFill="1" applyBorder="1" applyAlignment="1">
      <alignment horizontal="center"/>
    </xf>
    <xf numFmtId="167" fontId="5" fillId="0" borderId="53" xfId="0" applyNumberFormat="1" applyFont="1" applyFill="1" applyBorder="1" applyAlignment="1">
      <alignment horizontal="center"/>
    </xf>
    <xf numFmtId="167" fontId="5" fillId="0" borderId="32" xfId="2" applyNumberFormat="1" applyFont="1" applyBorder="1" applyAlignment="1"/>
    <xf numFmtId="0" fontId="8" fillId="0" borderId="23" xfId="0" applyFont="1" applyBorder="1" applyAlignment="1">
      <alignment horizontal="center"/>
    </xf>
    <xf numFmtId="165" fontId="5" fillId="0" borderId="0" xfId="0" applyNumberFormat="1" applyFont="1" applyAlignment="1"/>
    <xf numFmtId="176" fontId="5" fillId="0" borderId="0" xfId="1" applyNumberFormat="1" applyFont="1" applyAlignment="1"/>
    <xf numFmtId="176" fontId="5" fillId="0" borderId="23" xfId="1" applyNumberFormat="1" applyFont="1" applyFill="1" applyBorder="1"/>
    <xf numFmtId="44" fontId="5" fillId="0" borderId="0" xfId="0" applyNumberFormat="1" applyFont="1" applyAlignment="1"/>
    <xf numFmtId="174" fontId="5" fillId="0" borderId="0" xfId="0" applyNumberFormat="1" applyFont="1" applyAlignment="1"/>
    <xf numFmtId="0" fontId="5" fillId="2" borderId="22" xfId="0" applyFont="1" applyFill="1" applyBorder="1" applyAlignment="1">
      <alignment horizontal="center"/>
    </xf>
    <xf numFmtId="167" fontId="8" fillId="7" borderId="32" xfId="0" applyNumberFormat="1" applyFont="1" applyFill="1" applyBorder="1" applyAlignment="1">
      <alignment horizontal="center"/>
    </xf>
    <xf numFmtId="6" fontId="5" fillId="0" borderId="0" xfId="0" applyNumberFormat="1" applyFont="1" applyAlignment="1"/>
    <xf numFmtId="9" fontId="5" fillId="2" borderId="39" xfId="0" applyNumberFormat="1" applyFont="1" applyFill="1" applyBorder="1" applyAlignment="1">
      <alignment horizontal="center"/>
    </xf>
    <xf numFmtId="9" fontId="5" fillId="2" borderId="22" xfId="0" applyNumberFormat="1" applyFont="1" applyFill="1" applyBorder="1" applyAlignment="1">
      <alignment horizontal="center"/>
    </xf>
    <xf numFmtId="9" fontId="5" fillId="2" borderId="31" xfId="0" applyNumberFormat="1" applyFont="1" applyFill="1" applyBorder="1" applyAlignment="1">
      <alignment horizontal="center"/>
    </xf>
    <xf numFmtId="167" fontId="5" fillId="0" borderId="29" xfId="0" applyNumberFormat="1" applyFont="1" applyBorder="1"/>
    <xf numFmtId="167" fontId="11" fillId="0" borderId="7" xfId="0" applyNumberFormat="1" applyFont="1" applyBorder="1"/>
    <xf numFmtId="167" fontId="11" fillId="0" borderId="89" xfId="0" applyNumberFormat="1" applyFont="1" applyBorder="1"/>
    <xf numFmtId="167" fontId="5" fillId="0" borderId="0" xfId="0" applyNumberFormat="1" applyFont="1" applyFill="1" applyAlignment="1">
      <alignment vertical="center"/>
    </xf>
    <xf numFmtId="0" fontId="5" fillId="0" borderId="0" xfId="0" applyFont="1" applyFill="1" applyAlignment="1"/>
    <xf numFmtId="1" fontId="5" fillId="0" borderId="23" xfId="0" applyNumberFormat="1" applyFont="1" applyFill="1" applyBorder="1" applyAlignment="1">
      <alignment horizontal="center"/>
    </xf>
    <xf numFmtId="0" fontId="5" fillId="2" borderId="14" xfId="0" applyFont="1" applyFill="1" applyBorder="1" applyAlignment="1">
      <alignment horizontal="center"/>
    </xf>
    <xf numFmtId="9" fontId="5" fillId="2" borderId="20" xfId="0" applyNumberFormat="1" applyFont="1" applyFill="1" applyBorder="1" applyAlignment="1">
      <alignment horizontal="center"/>
    </xf>
    <xf numFmtId="9" fontId="5" fillId="2" borderId="14" xfId="0" applyNumberFormat="1" applyFont="1" applyFill="1" applyBorder="1" applyAlignment="1">
      <alignment horizontal="center"/>
    </xf>
    <xf numFmtId="9" fontId="5" fillId="0" borderId="14" xfId="0" applyNumberFormat="1" applyFont="1" applyFill="1" applyBorder="1" applyAlignment="1">
      <alignment horizontal="center"/>
    </xf>
    <xf numFmtId="9" fontId="5" fillId="2" borderId="18" xfId="0" applyNumberFormat="1" applyFont="1" applyFill="1" applyBorder="1" applyAlignment="1">
      <alignment horizontal="center"/>
    </xf>
    <xf numFmtId="167" fontId="8" fillId="7" borderId="31" xfId="0" applyNumberFormat="1" applyFont="1" applyFill="1" applyBorder="1" applyAlignment="1">
      <alignment horizontal="center"/>
    </xf>
    <xf numFmtId="167" fontId="8" fillId="7" borderId="23" xfId="0" applyNumberFormat="1" applyFont="1" applyFill="1" applyBorder="1" applyAlignment="1">
      <alignment horizontal="center"/>
    </xf>
    <xf numFmtId="167" fontId="5" fillId="0" borderId="23" xfId="0" applyNumberFormat="1" applyFont="1" applyFill="1" applyBorder="1" applyAlignment="1">
      <alignment horizontal="right"/>
    </xf>
    <xf numFmtId="167" fontId="5" fillId="0" borderId="29" xfId="0" applyNumberFormat="1" applyFont="1" applyBorder="1" applyAlignment="1">
      <alignment horizontal="center"/>
    </xf>
    <xf numFmtId="167" fontId="5" fillId="0" borderId="50" xfId="0" applyNumberFormat="1" applyFont="1" applyBorder="1"/>
    <xf numFmtId="0" fontId="5" fillId="0" borderId="30" xfId="0" applyFont="1" applyBorder="1"/>
    <xf numFmtId="167" fontId="5" fillId="0" borderId="76" xfId="0" applyNumberFormat="1" applyFont="1" applyFill="1" applyBorder="1" applyAlignment="1">
      <alignment horizontal="right"/>
    </xf>
    <xf numFmtId="176" fontId="5" fillId="2" borderId="20" xfId="1" applyNumberFormat="1" applyFont="1" applyFill="1" applyBorder="1" applyAlignment="1">
      <alignment horizontal="center"/>
    </xf>
    <xf numFmtId="167" fontId="5" fillId="0" borderId="32" xfId="0" applyNumberFormat="1" applyFont="1" applyFill="1" applyBorder="1" applyAlignment="1">
      <alignment horizontal="right"/>
    </xf>
    <xf numFmtId="167" fontId="5" fillId="0" borderId="35" xfId="0" applyNumberFormat="1" applyFont="1" applyFill="1" applyBorder="1" applyAlignment="1">
      <alignment horizontal="right"/>
    </xf>
    <xf numFmtId="167" fontId="5" fillId="0" borderId="36" xfId="0" applyNumberFormat="1" applyFont="1" applyFill="1" applyBorder="1" applyAlignment="1">
      <alignment horizontal="right"/>
    </xf>
    <xf numFmtId="165" fontId="5" fillId="0" borderId="60" xfId="0" applyNumberFormat="1" applyFont="1" applyFill="1" applyBorder="1" applyAlignment="1">
      <alignment horizontal="center"/>
    </xf>
    <xf numFmtId="167" fontId="5" fillId="0" borderId="23" xfId="2" applyNumberFormat="1" applyFont="1" applyFill="1" applyBorder="1" applyAlignment="1"/>
    <xf numFmtId="0" fontId="8" fillId="0" borderId="23" xfId="0" applyFont="1" applyFill="1" applyBorder="1" applyAlignment="1"/>
    <xf numFmtId="0" fontId="8" fillId="2" borderId="1" xfId="0" applyFont="1" applyFill="1" applyBorder="1" applyAlignment="1">
      <alignment horizontal="left"/>
    </xf>
    <xf numFmtId="0" fontId="5" fillId="2" borderId="84" xfId="0" applyFont="1" applyFill="1" applyBorder="1" applyAlignment="1">
      <alignment horizontal="center"/>
    </xf>
    <xf numFmtId="167" fontId="5" fillId="0" borderId="50" xfId="0" applyNumberFormat="1" applyFont="1" applyBorder="1" applyAlignment="1">
      <alignment horizontal="center"/>
    </xf>
    <xf numFmtId="167" fontId="5" fillId="0" borderId="30" xfId="0" applyNumberFormat="1" applyFont="1" applyBorder="1" applyAlignment="1">
      <alignment horizontal="center"/>
    </xf>
    <xf numFmtId="9" fontId="5" fillId="2" borderId="33" xfId="0" applyNumberFormat="1" applyFont="1" applyFill="1" applyBorder="1" applyAlignment="1">
      <alignment horizontal="center"/>
    </xf>
    <xf numFmtId="167" fontId="5" fillId="0" borderId="34" xfId="0" applyNumberFormat="1" applyFont="1" applyBorder="1" applyAlignment="1">
      <alignment horizontal="center"/>
    </xf>
    <xf numFmtId="167" fontId="5" fillId="0" borderId="66" xfId="0" applyNumberFormat="1" applyFont="1" applyBorder="1" applyAlignment="1">
      <alignment horizontal="right"/>
    </xf>
    <xf numFmtId="167" fontId="5" fillId="0" borderId="1" xfId="0" applyNumberFormat="1" applyFont="1" applyBorder="1"/>
    <xf numFmtId="167" fontId="11" fillId="7" borderId="7" xfId="0" applyNumberFormat="1" applyFont="1" applyFill="1" applyBorder="1"/>
    <xf numFmtId="167" fontId="5" fillId="0" borderId="31" xfId="0" applyNumberFormat="1" applyFont="1" applyBorder="1" applyAlignment="1">
      <alignment horizontal="right"/>
    </xf>
    <xf numFmtId="167" fontId="5" fillId="0" borderId="32" xfId="0" applyNumberFormat="1" applyFont="1" applyBorder="1" applyAlignment="1">
      <alignment horizontal="right"/>
    </xf>
    <xf numFmtId="167" fontId="5" fillId="0" borderId="37" xfId="0" applyNumberFormat="1" applyFont="1" applyBorder="1" applyAlignment="1">
      <alignment horizontal="right"/>
    </xf>
    <xf numFmtId="167" fontId="5" fillId="0" borderId="38" xfId="0" applyNumberFormat="1" applyFont="1" applyBorder="1" applyAlignment="1">
      <alignment horizontal="right"/>
    </xf>
    <xf numFmtId="167" fontId="5" fillId="0" borderId="33" xfId="0" applyNumberFormat="1" applyFont="1" applyBorder="1" applyAlignment="1">
      <alignment horizontal="right"/>
    </xf>
    <xf numFmtId="167" fontId="5" fillId="0" borderId="34" xfId="0" applyNumberFormat="1" applyFont="1" applyBorder="1" applyAlignment="1">
      <alignment horizontal="right"/>
    </xf>
    <xf numFmtId="2" fontId="5" fillId="0" borderId="0" xfId="0" applyNumberFormat="1" applyFont="1" applyAlignment="1"/>
    <xf numFmtId="2" fontId="9" fillId="0" borderId="0" xfId="0" applyNumberFormat="1" applyFont="1" applyAlignment="1"/>
    <xf numFmtId="2" fontId="0" fillId="0" borderId="0" xfId="0" applyNumberFormat="1" applyFont="1" applyAlignment="1"/>
    <xf numFmtId="0" fontId="6" fillId="0" borderId="0" xfId="0" applyFont="1" applyAlignment="1">
      <alignment horizontal="left" indent="1"/>
    </xf>
    <xf numFmtId="0" fontId="0" fillId="7" borderId="0" xfId="0" applyFont="1" applyFill="1" applyAlignment="1"/>
    <xf numFmtId="0" fontId="5" fillId="0" borderId="23" xfId="0" applyFont="1" applyBorder="1" applyAlignment="1"/>
    <xf numFmtId="0" fontId="3" fillId="0" borderId="29" xfId="0" applyNumberFormat="1" applyFont="1" applyBorder="1" applyAlignment="1"/>
    <xf numFmtId="0" fontId="3" fillId="0" borderId="31" xfId="0" applyNumberFormat="1" applyFont="1" applyBorder="1" applyAlignment="1"/>
    <xf numFmtId="0" fontId="3" fillId="0" borderId="31" xfId="0" applyNumberFormat="1" applyFont="1" applyBorder="1" applyAlignment="1">
      <alignment horizontal="left"/>
    </xf>
    <xf numFmtId="0" fontId="3" fillId="0" borderId="50" xfId="0" applyNumberFormat="1" applyFont="1" applyBorder="1" applyAlignment="1"/>
    <xf numFmtId="0" fontId="3" fillId="0" borderId="23" xfId="0" applyNumberFormat="1" applyFont="1" applyBorder="1" applyAlignment="1"/>
    <xf numFmtId="0" fontId="5" fillId="0" borderId="50" xfId="0" applyNumberFormat="1" applyFont="1" applyFill="1" applyBorder="1" applyAlignment="1"/>
    <xf numFmtId="167" fontId="8" fillId="0" borderId="0" xfId="0" applyNumberFormat="1" applyFont="1"/>
    <xf numFmtId="165" fontId="3" fillId="0" borderId="57" xfId="0" applyNumberFormat="1" applyFont="1" applyBorder="1" applyAlignment="1">
      <alignment horizontal="center"/>
    </xf>
    <xf numFmtId="166" fontId="5" fillId="2" borderId="32" xfId="0" applyNumberFormat="1" applyFont="1" applyFill="1" applyBorder="1" applyAlignment="1">
      <alignment horizontal="center"/>
    </xf>
    <xf numFmtId="9" fontId="5" fillId="2" borderId="60" xfId="0" applyNumberFormat="1" applyFont="1" applyFill="1" applyBorder="1" applyAlignment="1">
      <alignment horizontal="center"/>
    </xf>
    <xf numFmtId="167" fontId="5" fillId="0" borderId="7" xfId="0" applyNumberFormat="1" applyFont="1" applyBorder="1"/>
    <xf numFmtId="167" fontId="22" fillId="0" borderId="7" xfId="0" applyNumberFormat="1" applyFont="1" applyBorder="1"/>
    <xf numFmtId="0" fontId="3" fillId="0" borderId="15" xfId="0" applyFont="1" applyBorder="1"/>
    <xf numFmtId="167" fontId="8" fillId="0" borderId="0" xfId="0" applyNumberFormat="1" applyFont="1" applyAlignment="1">
      <alignment horizontal="left"/>
    </xf>
    <xf numFmtId="167" fontId="3" fillId="0" borderId="12" xfId="0" applyNumberFormat="1" applyFont="1" applyBorder="1"/>
    <xf numFmtId="0" fontId="3" fillId="0" borderId="12" xfId="0" applyFont="1" applyBorder="1"/>
    <xf numFmtId="0" fontId="3" fillId="0" borderId="7" xfId="0" applyFont="1" applyBorder="1"/>
    <xf numFmtId="0" fontId="8" fillId="0" borderId="31" xfId="0" applyFont="1" applyBorder="1" applyAlignment="1">
      <alignment horizontal="center"/>
    </xf>
    <xf numFmtId="167" fontId="3" fillId="0" borderId="31" xfId="0" applyNumberFormat="1" applyFont="1" applyBorder="1" applyAlignment="1">
      <alignment horizontal="center"/>
    </xf>
    <xf numFmtId="0" fontId="5" fillId="0" borderId="0" xfId="0" applyNumberFormat="1" applyFont="1"/>
    <xf numFmtId="0" fontId="3" fillId="0" borderId="0" xfId="0" applyFont="1" applyAlignment="1">
      <alignment horizontal="center"/>
    </xf>
    <xf numFmtId="167" fontId="3" fillId="0" borderId="0" xfId="0" applyNumberFormat="1" applyFont="1" applyAlignment="1">
      <alignment horizontal="center"/>
    </xf>
    <xf numFmtId="0" fontId="3" fillId="0" borderId="0" xfId="0" applyFont="1"/>
    <xf numFmtId="167" fontId="3" fillId="0" borderId="0" xfId="0" applyNumberFormat="1" applyFont="1" applyAlignment="1">
      <alignment horizontal="left"/>
    </xf>
    <xf numFmtId="167" fontId="3" fillId="0" borderId="23" xfId="0" applyNumberFormat="1" applyFont="1" applyBorder="1"/>
    <xf numFmtId="0" fontId="3" fillId="0" borderId="0" xfId="0" applyFont="1" applyAlignment="1"/>
    <xf numFmtId="9" fontId="5" fillId="0" borderId="7" xfId="0" applyNumberFormat="1" applyFont="1" applyBorder="1"/>
    <xf numFmtId="9" fontId="5" fillId="0" borderId="7" xfId="0" applyNumberFormat="1" applyFont="1" applyBorder="1" applyAlignment="1">
      <alignment horizontal="center"/>
    </xf>
    <xf numFmtId="9" fontId="5" fillId="0" borderId="12" xfId="3" applyFont="1" applyBorder="1"/>
    <xf numFmtId="9" fontId="3" fillId="0" borderId="12" xfId="3" applyFont="1" applyBorder="1"/>
    <xf numFmtId="0" fontId="22" fillId="0" borderId="7" xfId="0" applyFont="1" applyBorder="1" applyAlignment="1">
      <alignment horizontal="center"/>
    </xf>
    <xf numFmtId="9" fontId="5" fillId="0" borderId="12" xfId="0" applyNumberFormat="1" applyFont="1" applyBorder="1"/>
    <xf numFmtId="0" fontId="2" fillId="0" borderId="0" xfId="0" applyFont="1"/>
    <xf numFmtId="0" fontId="2" fillId="0" borderId="16" xfId="0" applyFont="1" applyBorder="1"/>
    <xf numFmtId="167" fontId="8" fillId="7" borderId="29" xfId="2" applyNumberFormat="1" applyFont="1" applyFill="1" applyBorder="1" applyAlignment="1"/>
    <xf numFmtId="44" fontId="8" fillId="7" borderId="30" xfId="2" applyFont="1" applyFill="1" applyBorder="1" applyAlignment="1"/>
    <xf numFmtId="167" fontId="8" fillId="7" borderId="31" xfId="2" applyNumberFormat="1" applyFont="1" applyFill="1" applyBorder="1" applyAlignment="1"/>
    <xf numFmtId="44" fontId="8" fillId="7" borderId="32" xfId="2" applyFont="1" applyFill="1" applyBorder="1" applyAlignment="1"/>
    <xf numFmtId="167" fontId="8" fillId="7" borderId="33" xfId="2" applyNumberFormat="1" applyFont="1" applyFill="1" applyBorder="1" applyAlignment="1"/>
    <xf numFmtId="44" fontId="8" fillId="7" borderId="34" xfId="2" applyFont="1" applyFill="1" applyBorder="1" applyAlignment="1"/>
    <xf numFmtId="0" fontId="5" fillId="0" borderId="23" xfId="0" applyFont="1" applyBorder="1" applyAlignment="1"/>
    <xf numFmtId="0" fontId="16" fillId="0" borderId="0" xfId="0" applyFont="1" applyAlignment="1">
      <alignment horizontal="center" vertical="center"/>
    </xf>
    <xf numFmtId="0" fontId="6" fillId="0" borderId="0" xfId="0" applyFont="1" applyAlignment="1">
      <alignment vertical="center"/>
    </xf>
    <xf numFmtId="0" fontId="6" fillId="0" borderId="23" xfId="0" applyFont="1" applyBorder="1" applyAlignment="1">
      <alignment horizontal="center" vertical="center"/>
    </xf>
    <xf numFmtId="0" fontId="17" fillId="0" borderId="0" xfId="0" applyFont="1" applyAlignment="1">
      <alignment horizontal="center"/>
    </xf>
    <xf numFmtId="0" fontId="18" fillId="12" borderId="0" xfId="0" applyFont="1" applyFill="1" applyAlignment="1">
      <alignment horizontal="center"/>
    </xf>
    <xf numFmtId="0" fontId="17" fillId="7" borderId="23" xfId="0" applyFont="1" applyFill="1" applyBorder="1" applyAlignment="1">
      <alignment horizontal="center"/>
    </xf>
    <xf numFmtId="0" fontId="8" fillId="0" borderId="29" xfId="0" applyFont="1" applyBorder="1" applyAlignment="1">
      <alignment horizontal="left"/>
    </xf>
    <xf numFmtId="0" fontId="8" fillId="0" borderId="104" xfId="0" applyFont="1" applyBorder="1" applyAlignment="1">
      <alignment horizontal="left"/>
    </xf>
    <xf numFmtId="0" fontId="8" fillId="0" borderId="52" xfId="0" applyFont="1" applyBorder="1" applyAlignment="1">
      <alignment horizontal="left"/>
    </xf>
    <xf numFmtId="0" fontId="8" fillId="0" borderId="53" xfId="0" applyFont="1" applyBorder="1" applyAlignment="1">
      <alignment horizontal="left"/>
    </xf>
    <xf numFmtId="0" fontId="8" fillId="0" borderId="31" xfId="0" applyFont="1" applyBorder="1" applyAlignment="1">
      <alignment horizontal="left"/>
    </xf>
    <xf numFmtId="0" fontId="8" fillId="0" borderId="103" xfId="0" applyFont="1" applyBorder="1" applyAlignment="1">
      <alignment horizontal="left"/>
    </xf>
    <xf numFmtId="0" fontId="8" fillId="0" borderId="91" xfId="0" applyFont="1" applyBorder="1" applyAlignment="1">
      <alignment horizontal="left"/>
    </xf>
    <xf numFmtId="0" fontId="8" fillId="0" borderId="67" xfId="0" applyFont="1" applyBorder="1" applyAlignment="1">
      <alignment horizontal="left"/>
    </xf>
    <xf numFmtId="0" fontId="8" fillId="0" borderId="90" xfId="0" applyFont="1" applyBorder="1" applyAlignment="1">
      <alignment horizontal="left"/>
    </xf>
    <xf numFmtId="0" fontId="8" fillId="0" borderId="57" xfId="0" applyFont="1" applyBorder="1" applyAlignment="1">
      <alignment horizontal="left"/>
    </xf>
    <xf numFmtId="0" fontId="8" fillId="0" borderId="21" xfId="0" applyFont="1" applyBorder="1" applyAlignment="1">
      <alignment horizontal="left"/>
    </xf>
    <xf numFmtId="0" fontId="8" fillId="0" borderId="60" xfId="0" applyFont="1" applyBorder="1" applyAlignment="1">
      <alignment horizontal="left"/>
    </xf>
    <xf numFmtId="0" fontId="11" fillId="0" borderId="0" xfId="0" applyFont="1" applyAlignment="1">
      <alignment horizontal="left" vertical="center" wrapText="1"/>
    </xf>
    <xf numFmtId="0" fontId="21" fillId="0" borderId="0" xfId="0" applyFont="1" applyAlignment="1">
      <alignment horizontal="left" vertical="center"/>
    </xf>
    <xf numFmtId="0" fontId="11" fillId="0" borderId="0" xfId="0" applyFont="1" applyAlignment="1">
      <alignment horizontal="left" vertical="center"/>
    </xf>
    <xf numFmtId="0" fontId="11" fillId="0" borderId="37" xfId="0" applyFont="1" applyBorder="1" applyAlignment="1">
      <alignment horizontal="center" vertical="center" wrapText="1"/>
    </xf>
    <xf numFmtId="0" fontId="11" fillId="0" borderId="31" xfId="0" applyFont="1" applyBorder="1" applyAlignment="1">
      <alignment horizontal="center" vertical="center" wrapText="1"/>
    </xf>
    <xf numFmtId="0" fontId="11" fillId="0" borderId="35" xfId="0" applyFont="1" applyBorder="1" applyAlignment="1">
      <alignment horizontal="center" vertical="center" wrapText="1"/>
    </xf>
    <xf numFmtId="0" fontId="5" fillId="0" borderId="38" xfId="0" applyFont="1" applyBorder="1" applyAlignment="1">
      <alignment horizontal="center" vertical="center"/>
    </xf>
    <xf numFmtId="0" fontId="5" fillId="0" borderId="32" xfId="0" applyFont="1" applyBorder="1" applyAlignment="1">
      <alignment horizontal="center" vertical="center"/>
    </xf>
    <xf numFmtId="0" fontId="5" fillId="0" borderId="36" xfId="0" applyFont="1" applyBorder="1" applyAlignment="1">
      <alignment horizontal="center" vertical="center"/>
    </xf>
    <xf numFmtId="0" fontId="8" fillId="0" borderId="63" xfId="0" applyFont="1" applyBorder="1" applyAlignment="1">
      <alignment horizontal="left"/>
    </xf>
    <xf numFmtId="0" fontId="8" fillId="0" borderId="86" xfId="0" applyFont="1" applyBorder="1" applyAlignment="1">
      <alignment horizontal="left"/>
    </xf>
    <xf numFmtId="0" fontId="8" fillId="0" borderId="92" xfId="0" applyFont="1" applyBorder="1" applyAlignment="1">
      <alignment horizontal="left"/>
    </xf>
    <xf numFmtId="0" fontId="8" fillId="0" borderId="93" xfId="0" applyFont="1" applyBorder="1" applyAlignment="1">
      <alignment horizontal="left"/>
    </xf>
    <xf numFmtId="0" fontId="8" fillId="0" borderId="61" xfId="0" applyFont="1" applyBorder="1" applyAlignment="1">
      <alignment horizontal="left"/>
    </xf>
    <xf numFmtId="0" fontId="8" fillId="0" borderId="96" xfId="0" applyFont="1" applyBorder="1" applyAlignment="1">
      <alignment horizontal="left"/>
    </xf>
    <xf numFmtId="49" fontId="4" fillId="0" borderId="4" xfId="0" applyNumberFormat="1" applyFont="1" applyBorder="1" applyAlignment="1">
      <alignment horizontal="center"/>
    </xf>
    <xf numFmtId="0" fontId="12" fillId="0" borderId="6" xfId="0" applyFont="1" applyBorder="1"/>
    <xf numFmtId="0" fontId="20" fillId="0" borderId="48" xfId="0" applyFont="1" applyBorder="1" applyAlignment="1">
      <alignment horizontal="center" vertical="center"/>
    </xf>
    <xf numFmtId="0" fontId="20" fillId="0" borderId="49" xfId="0" applyFont="1" applyBorder="1" applyAlignment="1">
      <alignment horizontal="center" vertical="center"/>
    </xf>
    <xf numFmtId="0" fontId="11" fillId="0" borderId="23" xfId="0" applyFont="1" applyBorder="1" applyAlignment="1">
      <alignment horizontal="left" vertical="center" wrapText="1"/>
    </xf>
    <xf numFmtId="44" fontId="8" fillId="3" borderId="74" xfId="0" applyNumberFormat="1" applyFont="1" applyFill="1" applyBorder="1" applyAlignment="1">
      <alignment horizontal="center" vertical="center"/>
    </xf>
    <xf numFmtId="44" fontId="8" fillId="3" borderId="75" xfId="0" applyNumberFormat="1" applyFont="1" applyFill="1" applyBorder="1" applyAlignment="1">
      <alignment horizontal="center" vertical="center"/>
    </xf>
    <xf numFmtId="0" fontId="8" fillId="0" borderId="28" xfId="0" applyFont="1" applyBorder="1" applyAlignment="1">
      <alignment horizontal="center"/>
    </xf>
    <xf numFmtId="0" fontId="8" fillId="0" borderId="94" xfId="0" applyFont="1" applyBorder="1" applyAlignment="1">
      <alignment horizontal="center"/>
    </xf>
    <xf numFmtId="164" fontId="8" fillId="3" borderId="27" xfId="1" applyNumberFormat="1" applyFont="1" applyFill="1" applyBorder="1" applyAlignment="1">
      <alignment horizontal="center" vertical="center"/>
    </xf>
    <xf numFmtId="164" fontId="8" fillId="3" borderId="26" xfId="1" applyNumberFormat="1" applyFont="1" applyFill="1" applyBorder="1" applyAlignment="1">
      <alignment horizontal="center" vertical="center"/>
    </xf>
    <xf numFmtId="0" fontId="8" fillId="0" borderId="88" xfId="0" applyFont="1" applyBorder="1" applyAlignment="1">
      <alignment horizontal="left"/>
    </xf>
    <xf numFmtId="0" fontId="8" fillId="0" borderId="33" xfId="0" applyFont="1" applyBorder="1" applyAlignment="1">
      <alignment horizontal="left"/>
    </xf>
    <xf numFmtId="0" fontId="8" fillId="0" borderId="98" xfId="0" applyFont="1" applyBorder="1" applyAlignment="1">
      <alignment horizontal="left"/>
    </xf>
    <xf numFmtId="0" fontId="8" fillId="0" borderId="97" xfId="0" applyFont="1" applyBorder="1" applyAlignment="1">
      <alignment horizontal="left"/>
    </xf>
    <xf numFmtId="44" fontId="8" fillId="3" borderId="71" xfId="0" applyNumberFormat="1" applyFont="1" applyFill="1" applyBorder="1" applyAlignment="1">
      <alignment horizontal="center" vertical="center"/>
    </xf>
    <xf numFmtId="44" fontId="8" fillId="3" borderId="53" xfId="0" applyNumberFormat="1" applyFont="1" applyFill="1" applyBorder="1" applyAlignment="1">
      <alignment horizontal="center" vertical="center"/>
    </xf>
    <xf numFmtId="0" fontId="8" fillId="0" borderId="51" xfId="0" applyFont="1" applyBorder="1" applyAlignment="1">
      <alignment horizontal="left"/>
    </xf>
    <xf numFmtId="0" fontId="8" fillId="0" borderId="54" xfId="0" applyFont="1" applyBorder="1" applyAlignment="1">
      <alignment vertical="top"/>
    </xf>
    <xf numFmtId="0" fontId="8" fillId="0" borderId="95" xfId="0" applyFont="1" applyBorder="1" applyAlignment="1">
      <alignment vertical="top"/>
    </xf>
    <xf numFmtId="0" fontId="8" fillId="0" borderId="57" xfId="0" applyFont="1" applyBorder="1" applyAlignment="1">
      <alignment vertical="top"/>
    </xf>
    <xf numFmtId="0" fontId="8" fillId="0" borderId="26" xfId="0" applyFont="1" applyBorder="1" applyAlignment="1">
      <alignment vertical="top"/>
    </xf>
    <xf numFmtId="0" fontId="8" fillId="0" borderId="92" xfId="0" applyFont="1" applyBorder="1" applyAlignment="1">
      <alignment vertical="top"/>
    </xf>
    <xf numFmtId="0" fontId="8" fillId="0" borderId="10" xfId="0" applyFont="1" applyBorder="1" applyAlignment="1">
      <alignment vertical="top"/>
    </xf>
    <xf numFmtId="0" fontId="8" fillId="0" borderId="31" xfId="0" applyFont="1" applyBorder="1" applyAlignment="1">
      <alignment vertical="top"/>
    </xf>
    <xf numFmtId="0" fontId="8" fillId="0" borderId="24" xfId="0" applyFont="1" applyBorder="1" applyAlignment="1">
      <alignment vertical="top"/>
    </xf>
    <xf numFmtId="0" fontId="8" fillId="0" borderId="67" xfId="0" applyFont="1" applyBorder="1" applyAlignment="1">
      <alignment vertical="top"/>
    </xf>
    <xf numFmtId="0" fontId="8" fillId="0" borderId="25" xfId="0" applyFont="1" applyBorder="1" applyAlignment="1">
      <alignment vertical="top"/>
    </xf>
    <xf numFmtId="0" fontId="8" fillId="0" borderId="29" xfId="0" applyFont="1" applyBorder="1" applyAlignment="1">
      <alignment horizontal="left" vertical="top"/>
    </xf>
    <xf numFmtId="0" fontId="8" fillId="0" borderId="30" xfId="0" applyFont="1" applyBorder="1" applyAlignment="1">
      <alignment horizontal="left" vertical="top"/>
    </xf>
    <xf numFmtId="0" fontId="8" fillId="0" borderId="31" xfId="0" applyFont="1" applyBorder="1" applyAlignment="1">
      <alignment horizontal="left" vertical="top"/>
    </xf>
    <xf numFmtId="0" fontId="8" fillId="0" borderId="32" xfId="0" applyFont="1" applyBorder="1" applyAlignment="1">
      <alignment horizontal="left" vertical="top"/>
    </xf>
    <xf numFmtId="0" fontId="8" fillId="0" borderId="37" xfId="0" applyFont="1" applyBorder="1" applyAlignment="1">
      <alignment vertical="top"/>
    </xf>
    <xf numFmtId="0" fontId="8" fillId="0" borderId="99" xfId="0" applyFont="1" applyBorder="1" applyAlignment="1">
      <alignment vertical="top"/>
    </xf>
    <xf numFmtId="0" fontId="5" fillId="0" borderId="0" xfId="0" applyFont="1" applyAlignment="1">
      <alignment horizontal="left" vertical="top" wrapText="1"/>
    </xf>
    <xf numFmtId="0" fontId="21" fillId="0" borderId="0" xfId="0" applyFont="1" applyAlignment="1">
      <alignment horizontal="left" vertical="center" wrapText="1"/>
    </xf>
    <xf numFmtId="0" fontId="5" fillId="0" borderId="0" xfId="0" applyFont="1" applyAlignment="1">
      <alignment horizontal="left" vertical="center" wrapText="1"/>
    </xf>
    <xf numFmtId="0" fontId="3" fillId="0" borderId="0" xfId="0" applyFont="1" applyAlignment="1">
      <alignment horizontal="left" wrapText="1"/>
    </xf>
    <xf numFmtId="0" fontId="5" fillId="0" borderId="0" xfId="0" applyFont="1" applyAlignment="1">
      <alignment horizontal="left" wrapText="1"/>
    </xf>
    <xf numFmtId="0" fontId="14" fillId="0" borderId="23" xfId="0" applyFont="1" applyFill="1" applyBorder="1" applyAlignment="1">
      <alignment horizontal="left" vertical="center"/>
    </xf>
    <xf numFmtId="0" fontId="5" fillId="0" borderId="0" xfId="0" applyFont="1" applyAlignment="1">
      <alignment horizontal="left"/>
    </xf>
    <xf numFmtId="0" fontId="8" fillId="0" borderId="29" xfId="0" applyFont="1" applyFill="1" applyBorder="1" applyAlignment="1">
      <alignment horizontal="left" vertical="center" wrapText="1"/>
    </xf>
    <xf numFmtId="0" fontId="8" fillId="0" borderId="50" xfId="0" applyFont="1" applyFill="1" applyBorder="1" applyAlignment="1">
      <alignment horizontal="left" vertical="center" wrapText="1"/>
    </xf>
    <xf numFmtId="0" fontId="8" fillId="0" borderId="30" xfId="0" applyFont="1" applyFill="1" applyBorder="1" applyAlignment="1">
      <alignment horizontal="left" vertical="center" wrapText="1"/>
    </xf>
    <xf numFmtId="0" fontId="8" fillId="0" borderId="31" xfId="0" applyFont="1" applyFill="1" applyBorder="1" applyAlignment="1">
      <alignment horizontal="left" vertical="center" wrapText="1"/>
    </xf>
    <xf numFmtId="0" fontId="8" fillId="0" borderId="23" xfId="0" applyFont="1" applyFill="1" applyBorder="1" applyAlignment="1">
      <alignment horizontal="left" vertical="center" wrapText="1"/>
    </xf>
    <xf numFmtId="0" fontId="8" fillId="0" borderId="32" xfId="0" applyFont="1" applyFill="1" applyBorder="1" applyAlignment="1">
      <alignment horizontal="left" vertical="center" wrapText="1"/>
    </xf>
    <xf numFmtId="0" fontId="8" fillId="0" borderId="33" xfId="0" applyFont="1" applyFill="1" applyBorder="1" applyAlignment="1">
      <alignment horizontal="left" vertical="center" wrapText="1"/>
    </xf>
    <xf numFmtId="0" fontId="8" fillId="0" borderId="51" xfId="0" applyFont="1" applyFill="1" applyBorder="1" applyAlignment="1">
      <alignment horizontal="left" vertical="center" wrapText="1"/>
    </xf>
    <xf numFmtId="0" fontId="8" fillId="0" borderId="34" xfId="0" applyFont="1" applyFill="1" applyBorder="1" applyAlignment="1">
      <alignment horizontal="left" vertical="center" wrapText="1"/>
    </xf>
    <xf numFmtId="0" fontId="3" fillId="0" borderId="29" xfId="0" applyFont="1" applyBorder="1" applyAlignment="1">
      <alignment horizontal="left"/>
    </xf>
    <xf numFmtId="0" fontId="3" fillId="0" borderId="50" xfId="0" applyFont="1" applyBorder="1" applyAlignment="1">
      <alignment horizontal="left"/>
    </xf>
    <xf numFmtId="170" fontId="3" fillId="0" borderId="72" xfId="0" applyNumberFormat="1" applyFont="1" applyBorder="1" applyAlignment="1">
      <alignment horizontal="center" vertical="center"/>
    </xf>
    <xf numFmtId="170" fontId="3" fillId="0" borderId="73" xfId="0" applyNumberFormat="1" applyFont="1" applyBorder="1" applyAlignment="1">
      <alignment horizontal="center" vertical="center"/>
    </xf>
    <xf numFmtId="0" fontId="8" fillId="0" borderId="33" xfId="0" applyFont="1" applyBorder="1"/>
    <xf numFmtId="0" fontId="8" fillId="0" borderId="98" xfId="0" applyFont="1" applyBorder="1"/>
    <xf numFmtId="0" fontId="5" fillId="0" borderId="52" xfId="0" applyFont="1" applyBorder="1" applyAlignment="1">
      <alignment horizontal="center"/>
    </xf>
    <xf numFmtId="0" fontId="5" fillId="0" borderId="70" xfId="0" applyFont="1" applyBorder="1" applyAlignment="1">
      <alignment horizontal="center"/>
    </xf>
    <xf numFmtId="0" fontId="8" fillId="0" borderId="29" xfId="0" applyFont="1" applyBorder="1" applyAlignment="1">
      <alignment horizontal="left" vertical="top" wrapText="1"/>
    </xf>
    <xf numFmtId="0" fontId="8" fillId="0" borderId="50" xfId="0" applyFont="1" applyBorder="1" applyAlignment="1">
      <alignment horizontal="left" vertical="top" wrapText="1"/>
    </xf>
    <xf numFmtId="0" fontId="8" fillId="0" borderId="30" xfId="0" applyFont="1" applyBorder="1" applyAlignment="1">
      <alignment horizontal="left" vertical="top" wrapText="1"/>
    </xf>
    <xf numFmtId="0" fontId="8" fillId="0" borderId="31" xfId="0" applyFont="1" applyBorder="1" applyAlignment="1">
      <alignment horizontal="left" vertical="top" wrapText="1"/>
    </xf>
    <xf numFmtId="0" fontId="8" fillId="0" borderId="23" xfId="0" applyFont="1" applyBorder="1" applyAlignment="1">
      <alignment horizontal="left" vertical="top" wrapText="1"/>
    </xf>
    <xf numFmtId="0" fontId="8" fillId="0" borderId="32" xfId="0" applyFont="1" applyBorder="1" applyAlignment="1">
      <alignment horizontal="left" vertical="top" wrapText="1"/>
    </xf>
    <xf numFmtId="0" fontId="8" fillId="0" borderId="33" xfId="0" applyFont="1" applyBorder="1" applyAlignment="1">
      <alignment horizontal="left" vertical="top" wrapText="1"/>
    </xf>
    <xf numFmtId="0" fontId="8" fillId="0" borderId="51" xfId="0" applyFont="1" applyBorder="1" applyAlignment="1">
      <alignment horizontal="left" vertical="top" wrapText="1"/>
    </xf>
    <xf numFmtId="0" fontId="8" fillId="0" borderId="34" xfId="0" applyFont="1" applyBorder="1" applyAlignment="1">
      <alignment horizontal="left" vertical="top" wrapText="1"/>
    </xf>
    <xf numFmtId="0" fontId="5" fillId="0" borderId="63" xfId="0" applyFont="1" applyBorder="1" applyAlignment="1">
      <alignment horizontal="left" vertical="center"/>
    </xf>
    <xf numFmtId="0" fontId="5" fillId="0" borderId="86" xfId="0" applyFont="1" applyBorder="1" applyAlignment="1">
      <alignment horizontal="left" vertical="center"/>
    </xf>
    <xf numFmtId="0" fontId="13" fillId="0" borderId="19" xfId="0" applyFont="1" applyBorder="1" applyAlignment="1">
      <alignment horizontal="center" vertical="center"/>
    </xf>
    <xf numFmtId="0" fontId="8" fillId="0" borderId="33" xfId="0" applyFont="1" applyBorder="1" applyAlignment="1">
      <alignment horizontal="left" vertical="top"/>
    </xf>
    <xf numFmtId="0" fontId="8" fillId="0" borderId="34" xfId="0" applyFont="1" applyBorder="1" applyAlignment="1">
      <alignment horizontal="left" vertical="top"/>
    </xf>
    <xf numFmtId="0" fontId="8" fillId="0" borderId="29" xfId="0" applyFont="1" applyBorder="1" applyAlignment="1">
      <alignment vertical="top"/>
    </xf>
    <xf numFmtId="0" fontId="8" fillId="0" borderId="102" xfId="0" applyFont="1" applyBorder="1" applyAlignment="1">
      <alignment vertical="top"/>
    </xf>
    <xf numFmtId="0" fontId="8" fillId="0" borderId="33" xfId="0" applyFont="1" applyBorder="1" applyAlignment="1">
      <alignment vertical="top"/>
    </xf>
    <xf numFmtId="0" fontId="8" fillId="0" borderId="101" xfId="0" applyFont="1" applyBorder="1" applyAlignment="1">
      <alignment vertical="top"/>
    </xf>
    <xf numFmtId="0" fontId="8" fillId="0" borderId="35" xfId="0" applyFont="1" applyBorder="1" applyAlignment="1">
      <alignment vertical="top"/>
    </xf>
    <xf numFmtId="0" fontId="8" fillId="0" borderId="100" xfId="0" applyFont="1" applyBorder="1" applyAlignment="1">
      <alignment vertical="top"/>
    </xf>
    <xf numFmtId="0" fontId="8" fillId="0" borderId="34" xfId="0" applyFont="1" applyBorder="1" applyAlignment="1">
      <alignment vertical="top"/>
    </xf>
    <xf numFmtId="0" fontId="5" fillId="0" borderId="23" xfId="0" applyFont="1" applyBorder="1" applyAlignment="1"/>
    <xf numFmtId="0" fontId="12" fillId="0" borderId="26" xfId="0" applyFont="1" applyBorder="1"/>
    <xf numFmtId="49" fontId="5" fillId="0" borderId="4" xfId="0" applyNumberFormat="1" applyFont="1" applyBorder="1" applyAlignment="1">
      <alignment horizontal="center"/>
    </xf>
    <xf numFmtId="0" fontId="12" fillId="0" borderId="55" xfId="0" applyFont="1" applyBorder="1"/>
    <xf numFmtId="0" fontId="12" fillId="0" borderId="21" xfId="0" applyFont="1" applyBorder="1"/>
    <xf numFmtId="0" fontId="12" fillId="0" borderId="7" xfId="0" applyFont="1" applyBorder="1"/>
    <xf numFmtId="0" fontId="5" fillId="0" borderId="50" xfId="0" applyFont="1" applyBorder="1" applyAlignment="1"/>
    <xf numFmtId="0" fontId="12" fillId="0" borderId="23" xfId="0" applyFont="1" applyBorder="1"/>
    <xf numFmtId="0" fontId="12" fillId="0" borderId="66" xfId="0" applyFont="1" applyBorder="1"/>
    <xf numFmtId="0" fontId="5" fillId="0" borderId="51" xfId="0" applyFont="1" applyBorder="1" applyAlignment="1"/>
    <xf numFmtId="0" fontId="8" fillId="0" borderId="54" xfId="0" applyFont="1" applyBorder="1" applyAlignment="1">
      <alignment horizontal="left"/>
    </xf>
    <xf numFmtId="0" fontId="11" fillId="0" borderId="31" xfId="0" applyFont="1" applyBorder="1" applyAlignment="1">
      <alignment horizontal="left"/>
    </xf>
    <xf numFmtId="0" fontId="11" fillId="0" borderId="23" xfId="0" applyFont="1" applyBorder="1" applyAlignment="1">
      <alignment horizontal="left"/>
    </xf>
    <xf numFmtId="0" fontId="12" fillId="0" borderId="70" xfId="0" applyFont="1" applyBorder="1"/>
    <xf numFmtId="0" fontId="12" fillId="0" borderId="53" xfId="0" applyFont="1" applyBorder="1"/>
    <xf numFmtId="0" fontId="12" fillId="0" borderId="50" xfId="0" applyFont="1" applyBorder="1"/>
    <xf numFmtId="0" fontId="12" fillId="0" borderId="19" xfId="0" applyFont="1" applyBorder="1"/>
    <xf numFmtId="0" fontId="11" fillId="0" borderId="48" xfId="0" applyFont="1" applyBorder="1" applyAlignment="1">
      <alignment horizontal="center" vertical="center"/>
    </xf>
    <xf numFmtId="0" fontId="11" fillId="0" borderId="49" xfId="0" applyFont="1" applyBorder="1" applyAlignment="1">
      <alignment horizontal="center" vertical="center"/>
    </xf>
    <xf numFmtId="0" fontId="14" fillId="0" borderId="0" xfId="0" applyFont="1" applyAlignment="1">
      <alignment horizontal="left" vertical="center"/>
    </xf>
    <xf numFmtId="0" fontId="12" fillId="0" borderId="51" xfId="0" applyFont="1" applyBorder="1"/>
    <xf numFmtId="0" fontId="5" fillId="0" borderId="70" xfId="0" applyFont="1" applyBorder="1" applyAlignment="1"/>
    <xf numFmtId="167" fontId="8" fillId="3" borderId="71" xfId="0" applyNumberFormat="1" applyFont="1" applyFill="1" applyBorder="1" applyAlignment="1">
      <alignment horizontal="center" vertical="center"/>
    </xf>
    <xf numFmtId="0" fontId="8" fillId="0" borderId="23" xfId="0" applyFont="1" applyBorder="1" applyAlignment="1">
      <alignment horizontal="left"/>
    </xf>
    <xf numFmtId="170" fontId="8" fillId="0" borderId="72" xfId="0" applyNumberFormat="1" applyFont="1" applyBorder="1" applyAlignment="1">
      <alignment horizontal="center" vertical="center"/>
    </xf>
    <xf numFmtId="0" fontId="12" fillId="0" borderId="73" xfId="0" applyFont="1" applyBorder="1"/>
    <xf numFmtId="0" fontId="12" fillId="0" borderId="17" xfId="0" applyFont="1" applyBorder="1"/>
    <xf numFmtId="0" fontId="5" fillId="0" borderId="29" xfId="0" applyFont="1" applyBorder="1" applyAlignment="1">
      <alignment horizontal="center"/>
    </xf>
    <xf numFmtId="0" fontId="5" fillId="0" borderId="50" xfId="0" applyFont="1" applyBorder="1" applyAlignment="1">
      <alignment horizontal="center"/>
    </xf>
    <xf numFmtId="0" fontId="5" fillId="0" borderId="29" xfId="0" applyFont="1" applyBorder="1" applyAlignment="1">
      <alignment horizontal="left" vertical="top" wrapText="1"/>
    </xf>
    <xf numFmtId="0" fontId="5" fillId="0" borderId="50" xfId="0" applyFont="1" applyBorder="1" applyAlignment="1">
      <alignment horizontal="left" vertical="top" wrapText="1"/>
    </xf>
    <xf numFmtId="0" fontId="5" fillId="0" borderId="30" xfId="0" applyFont="1" applyBorder="1" applyAlignment="1">
      <alignment horizontal="left" vertical="top" wrapText="1"/>
    </xf>
    <xf numFmtId="0" fontId="5" fillId="0" borderId="31" xfId="0" applyFont="1" applyBorder="1" applyAlignment="1">
      <alignment horizontal="left" vertical="top" wrapText="1"/>
    </xf>
    <xf numFmtId="0" fontId="5" fillId="0" borderId="23" xfId="0" applyFont="1" applyBorder="1" applyAlignment="1">
      <alignment horizontal="left" vertical="top" wrapText="1"/>
    </xf>
    <xf numFmtId="0" fontId="5" fillId="0" borderId="32" xfId="0" applyFont="1" applyBorder="1" applyAlignment="1">
      <alignment horizontal="left" vertical="top" wrapText="1"/>
    </xf>
    <xf numFmtId="0" fontId="5" fillId="0" borderId="33" xfId="0" applyFont="1" applyBorder="1" applyAlignment="1">
      <alignment horizontal="left" vertical="top" wrapText="1"/>
    </xf>
    <xf numFmtId="0" fontId="5" fillId="0" borderId="51" xfId="0" applyFont="1" applyBorder="1" applyAlignment="1">
      <alignment horizontal="left" vertical="top" wrapText="1"/>
    </xf>
    <xf numFmtId="0" fontId="5" fillId="0" borderId="34" xfId="0" applyFont="1" applyBorder="1" applyAlignment="1">
      <alignment horizontal="left" vertical="top" wrapText="1"/>
    </xf>
    <xf numFmtId="0" fontId="12" fillId="0" borderId="75" xfId="0" applyFont="1" applyBorder="1"/>
    <xf numFmtId="0" fontId="8" fillId="0" borderId="2" xfId="0" applyFont="1" applyBorder="1" applyAlignment="1">
      <alignment horizontal="center"/>
    </xf>
    <xf numFmtId="0" fontId="12" fillId="0" borderId="3" xfId="0" applyFont="1" applyBorder="1"/>
    <xf numFmtId="164" fontId="8" fillId="3" borderId="27" xfId="1" applyFont="1" applyFill="1" applyBorder="1" applyAlignment="1">
      <alignment horizontal="center" vertical="center"/>
    </xf>
    <xf numFmtId="164" fontId="12" fillId="0" borderId="8" xfId="1" applyFont="1" applyBorder="1"/>
    <xf numFmtId="0" fontId="12" fillId="0" borderId="60" xfId="0" applyFont="1" applyBorder="1"/>
    <xf numFmtId="9" fontId="3" fillId="2" borderId="14" xfId="3" applyFont="1" applyFill="1" applyBorder="1" applyAlignment="1">
      <alignment horizontal="center"/>
    </xf>
    <xf numFmtId="169" fontId="1" fillId="4" borderId="31" xfId="0" applyNumberFormat="1" applyFont="1" applyFill="1" applyBorder="1" applyAlignment="1">
      <alignment horizontal="center"/>
    </xf>
    <xf numFmtId="166" fontId="1" fillId="2" borderId="13" xfId="0" applyNumberFormat="1" applyFont="1" applyFill="1" applyBorder="1" applyAlignment="1">
      <alignment horizontal="center"/>
    </xf>
  </cellXfs>
  <cellStyles count="4">
    <cellStyle name="Milliers" xfId="1" builtinId="3"/>
    <cellStyle name="Monétaire" xfId="2" builtinId="4"/>
    <cellStyle name="Normal" xfId="0" builtinId="0"/>
    <cellStyle name="Pourcentage"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D9904F-79CC-C34E-A4AA-70ABE97091DA}">
  <dimension ref="A1:O25"/>
  <sheetViews>
    <sheetView workbookViewId="0">
      <selection activeCell="I24" sqref="I24"/>
    </sheetView>
  </sheetViews>
  <sheetFormatPr baseColWidth="10" defaultRowHeight="14"/>
  <sheetData>
    <row r="1" spans="1:15">
      <c r="A1" s="380" t="s">
        <v>135</v>
      </c>
      <c r="B1" s="380"/>
      <c r="C1" s="380"/>
      <c r="D1" s="380"/>
      <c r="E1" s="380"/>
      <c r="F1" s="380"/>
      <c r="G1" s="380"/>
    </row>
    <row r="2" spans="1:15">
      <c r="A2" s="380"/>
      <c r="B2" s="380"/>
      <c r="C2" s="380"/>
      <c r="D2" s="380"/>
      <c r="E2" s="380"/>
      <c r="F2" s="380"/>
      <c r="G2" s="380"/>
    </row>
    <row r="4" spans="1:15">
      <c r="A4" s="1" t="s">
        <v>136</v>
      </c>
    </row>
    <row r="5" spans="1:15">
      <c r="A5" s="1" t="s">
        <v>137</v>
      </c>
    </row>
    <row r="6" spans="1:15">
      <c r="A6" s="1" t="s">
        <v>151</v>
      </c>
    </row>
    <row r="7" spans="1:15" ht="14" customHeight="1">
      <c r="A7" s="381" t="s">
        <v>138</v>
      </c>
      <c r="B7" s="385" t="s">
        <v>153</v>
      </c>
      <c r="C7" s="385"/>
      <c r="D7" s="385"/>
      <c r="E7" s="385"/>
      <c r="F7" s="385"/>
      <c r="G7" s="382" t="s">
        <v>139</v>
      </c>
      <c r="H7" s="382"/>
      <c r="I7" s="382"/>
      <c r="J7" s="382"/>
    </row>
    <row r="8" spans="1:15" ht="14" customHeight="1">
      <c r="A8" s="381"/>
      <c r="B8" s="385"/>
      <c r="C8" s="385"/>
      <c r="D8" s="385"/>
      <c r="E8" s="385"/>
      <c r="F8" s="385"/>
      <c r="G8" s="382"/>
      <c r="H8" s="382"/>
      <c r="I8" s="382"/>
      <c r="J8" s="382"/>
    </row>
    <row r="9" spans="1:15">
      <c r="A9" s="383" t="s">
        <v>140</v>
      </c>
      <c r="B9" s="383"/>
      <c r="C9" s="383"/>
      <c r="D9" s="383"/>
      <c r="E9" s="383"/>
      <c r="F9" s="383"/>
      <c r="G9" s="383"/>
      <c r="H9" s="383"/>
      <c r="I9" s="383"/>
      <c r="J9" s="383"/>
      <c r="K9" s="383"/>
      <c r="L9" s="383"/>
      <c r="M9" s="383"/>
      <c r="N9" s="383"/>
      <c r="O9" s="383"/>
    </row>
    <row r="10" spans="1:15">
      <c r="A10" s="383"/>
      <c r="B10" s="383"/>
      <c r="C10" s="383"/>
      <c r="D10" s="383"/>
      <c r="E10" s="383"/>
      <c r="F10" s="383"/>
      <c r="G10" s="383"/>
      <c r="H10" s="383"/>
      <c r="I10" s="383"/>
      <c r="J10" s="383"/>
      <c r="K10" s="383"/>
      <c r="L10" s="383"/>
      <c r="M10" s="383"/>
      <c r="N10" s="383"/>
      <c r="O10" s="383"/>
    </row>
    <row r="12" spans="1:15">
      <c r="A12" s="1" t="s">
        <v>141</v>
      </c>
    </row>
    <row r="13" spans="1:15">
      <c r="A13" s="336" t="s">
        <v>142</v>
      </c>
    </row>
    <row r="14" spans="1:15">
      <c r="A14" s="336" t="s">
        <v>147</v>
      </c>
      <c r="F14" s="337"/>
    </row>
    <row r="15" spans="1:15">
      <c r="A15" s="336" t="s">
        <v>148</v>
      </c>
      <c r="F15" s="337"/>
    </row>
    <row r="16" spans="1:15">
      <c r="A16" s="336" t="s">
        <v>150</v>
      </c>
    </row>
    <row r="17" spans="1:6">
      <c r="A17" s="336" t="s">
        <v>143</v>
      </c>
    </row>
    <row r="18" spans="1:6">
      <c r="A18" s="336" t="s">
        <v>152</v>
      </c>
    </row>
    <row r="19" spans="1:6">
      <c r="A19" s="336" t="s">
        <v>149</v>
      </c>
    </row>
    <row r="20" spans="1:6">
      <c r="A20" s="1"/>
    </row>
    <row r="21" spans="1:6">
      <c r="A21" s="1" t="s">
        <v>144</v>
      </c>
    </row>
    <row r="22" spans="1:6">
      <c r="A22" s="1"/>
    </row>
    <row r="23" spans="1:6">
      <c r="A23" s="384" t="s">
        <v>145</v>
      </c>
      <c r="B23" s="384"/>
      <c r="C23" s="384"/>
      <c r="D23" s="384"/>
      <c r="E23" s="384"/>
      <c r="F23" s="384"/>
    </row>
    <row r="25" spans="1:6">
      <c r="A25" s="1" t="s">
        <v>146</v>
      </c>
    </row>
  </sheetData>
  <mergeCells count="6">
    <mergeCell ref="A1:G2"/>
    <mergeCell ref="A7:A8"/>
    <mergeCell ref="G7:J8"/>
    <mergeCell ref="A9:O10"/>
    <mergeCell ref="A23:F23"/>
    <mergeCell ref="B7:F8"/>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969D01-7089-D84C-BEFD-4A2CC3A41F3F}">
  <dimension ref="B1:AN111"/>
  <sheetViews>
    <sheetView tabSelected="1" topLeftCell="W1" zoomScale="84" zoomScaleNormal="66" workbookViewId="0">
      <selection activeCell="AG54" sqref="AG54"/>
    </sheetView>
  </sheetViews>
  <sheetFormatPr baseColWidth="10" defaultRowHeight="16"/>
  <cols>
    <col min="1" max="2" width="10.83203125" style="8"/>
    <col min="3" max="3" width="11" style="8" bestFit="1" customWidth="1"/>
    <col min="4" max="4" width="12.33203125" style="8" customWidth="1"/>
    <col min="5" max="5" width="11" style="8" bestFit="1" customWidth="1"/>
    <col min="6" max="6" width="11.83203125" style="8" customWidth="1"/>
    <col min="7" max="7" width="10.83203125" style="8"/>
    <col min="8" max="8" width="12.5" style="8" customWidth="1"/>
    <col min="9" max="10" width="10.83203125" style="8"/>
    <col min="11" max="11" width="17.6640625" style="8" customWidth="1"/>
    <col min="12" max="12" width="13.5" style="8" bestFit="1" customWidth="1"/>
    <col min="13" max="13" width="21" style="8" customWidth="1"/>
    <col min="14" max="14" width="13.6640625" style="8" customWidth="1"/>
    <col min="15" max="15" width="12.33203125" style="8" customWidth="1"/>
    <col min="16" max="16" width="15" style="8" bestFit="1" customWidth="1"/>
    <col min="17" max="17" width="12.83203125" style="8" customWidth="1"/>
    <col min="18" max="18" width="15.33203125" style="8" bestFit="1" customWidth="1"/>
    <col min="19" max="19" width="13" style="8" bestFit="1" customWidth="1"/>
    <col min="20" max="20" width="12.33203125" style="8" customWidth="1"/>
    <col min="21" max="21" width="12.5" style="8" customWidth="1"/>
    <col min="22" max="22" width="12.5" style="8" bestFit="1" customWidth="1"/>
    <col min="23" max="23" width="11" style="8" bestFit="1" customWidth="1"/>
    <col min="24" max="24" width="10.83203125" style="8"/>
    <col min="25" max="25" width="4" style="8" customWidth="1"/>
    <col min="26" max="27" width="10.83203125" style="8"/>
    <col min="28" max="28" width="24.6640625" style="8" customWidth="1"/>
    <col min="29" max="29" width="13.5" style="8" bestFit="1" customWidth="1"/>
    <col min="30" max="30" width="13.1640625" style="8" bestFit="1" customWidth="1"/>
    <col min="31" max="31" width="11.6640625" style="8" bestFit="1" customWidth="1"/>
    <col min="32" max="37" width="11.5" style="8" bestFit="1" customWidth="1"/>
    <col min="38" max="38" width="12.5" style="8" bestFit="1" customWidth="1"/>
    <col min="39" max="16384" width="10.83203125" style="8"/>
  </cols>
  <sheetData>
    <row r="1" spans="2:40">
      <c r="B1" s="9" t="s">
        <v>0</v>
      </c>
      <c r="C1" s="10" t="s">
        <v>155</v>
      </c>
      <c r="D1" s="11" t="s">
        <v>4</v>
      </c>
      <c r="E1" s="413" t="s">
        <v>156</v>
      </c>
      <c r="F1" s="414"/>
      <c r="G1" s="12" t="s">
        <v>5</v>
      </c>
      <c r="H1" s="13">
        <v>1888593</v>
      </c>
      <c r="I1" s="14" t="s">
        <v>6</v>
      </c>
      <c r="J1" s="14">
        <v>5</v>
      </c>
      <c r="Y1" s="15"/>
    </row>
    <row r="2" spans="2:40">
      <c r="B2" s="482" t="s">
        <v>154</v>
      </c>
      <c r="C2" s="482"/>
      <c r="D2" s="482"/>
      <c r="E2" s="482"/>
      <c r="F2" s="482"/>
      <c r="G2" s="482" t="s">
        <v>121</v>
      </c>
      <c r="H2" s="482"/>
      <c r="I2" s="16"/>
      <c r="K2" s="7" t="s">
        <v>89</v>
      </c>
      <c r="Y2" s="15"/>
      <c r="AA2" s="7" t="s">
        <v>90</v>
      </c>
    </row>
    <row r="3" spans="2:40" ht="16" customHeight="1">
      <c r="B3" s="398" t="s">
        <v>157</v>
      </c>
      <c r="C3" s="398"/>
      <c r="D3" s="398"/>
      <c r="E3" s="398"/>
      <c r="F3" s="398"/>
      <c r="G3" s="398"/>
      <c r="H3" s="398"/>
      <c r="Y3" s="15"/>
    </row>
    <row r="4" spans="2:40" ht="14" customHeight="1" thickBot="1">
      <c r="B4" s="398"/>
      <c r="C4" s="398"/>
      <c r="D4" s="398"/>
      <c r="E4" s="398"/>
      <c r="F4" s="398"/>
      <c r="G4" s="398"/>
      <c r="H4" s="398"/>
      <c r="K4" s="7" t="s">
        <v>8</v>
      </c>
      <c r="R4" s="18"/>
      <c r="Y4" s="15"/>
      <c r="AA4" s="7" t="s">
        <v>8</v>
      </c>
    </row>
    <row r="5" spans="2:40" ht="14" customHeight="1" thickBot="1">
      <c r="B5" s="398"/>
      <c r="C5" s="398"/>
      <c r="D5" s="398"/>
      <c r="E5" s="398"/>
      <c r="F5" s="398"/>
      <c r="G5" s="398"/>
      <c r="H5" s="398"/>
      <c r="K5" s="339" t="s">
        <v>164</v>
      </c>
      <c r="L5" s="247">
        <v>546000</v>
      </c>
      <c r="M5" s="342" t="s">
        <v>169</v>
      </c>
      <c r="N5" s="344">
        <f>L13*P5</f>
        <v>806932.5418439114</v>
      </c>
      <c r="O5" s="247" t="s">
        <v>171</v>
      </c>
      <c r="P5" s="247">
        <f>(1+0.03)^8</f>
        <v>1.2667700813876159</v>
      </c>
      <c r="Q5" s="248"/>
      <c r="Y5" s="15"/>
      <c r="AA5" s="431" t="s">
        <v>1</v>
      </c>
      <c r="AB5" s="432"/>
      <c r="AC5" s="22" t="s">
        <v>3</v>
      </c>
      <c r="AD5" s="23">
        <v>0</v>
      </c>
      <c r="AE5" s="24">
        <v>1</v>
      </c>
      <c r="AF5" s="24">
        <v>2</v>
      </c>
      <c r="AG5" s="24">
        <v>3</v>
      </c>
      <c r="AH5" s="24">
        <v>4</v>
      </c>
      <c r="AI5" s="24">
        <v>5</v>
      </c>
      <c r="AJ5" s="24">
        <v>6</v>
      </c>
      <c r="AK5" s="24">
        <v>7</v>
      </c>
      <c r="AL5" s="25">
        <v>8</v>
      </c>
      <c r="AM5" s="26"/>
      <c r="AN5" s="26"/>
    </row>
    <row r="6" spans="2:40" ht="14" customHeight="1" thickBot="1">
      <c r="B6" s="398"/>
      <c r="C6" s="398"/>
      <c r="D6" s="398"/>
      <c r="E6" s="398"/>
      <c r="F6" s="398"/>
      <c r="G6" s="398"/>
      <c r="H6" s="398"/>
      <c r="K6" s="340" t="s">
        <v>165</v>
      </c>
      <c r="L6" s="250">
        <v>294000</v>
      </c>
      <c r="M6" s="343" t="s">
        <v>170</v>
      </c>
      <c r="N6" s="251">
        <f>120000</f>
        <v>120000</v>
      </c>
      <c r="O6" s="343"/>
      <c r="P6" s="250"/>
      <c r="Q6" s="252"/>
      <c r="Y6" s="15"/>
      <c r="AA6" s="433" t="s">
        <v>7</v>
      </c>
      <c r="AB6" s="434"/>
      <c r="AC6" s="34"/>
      <c r="AD6" s="35">
        <v>0</v>
      </c>
      <c r="AE6" s="36">
        <f>O25</f>
        <v>15300</v>
      </c>
      <c r="AF6" s="36">
        <f t="shared" ref="AF6:AL6" si="0">P25</f>
        <v>15300</v>
      </c>
      <c r="AG6" s="36">
        <f t="shared" si="0"/>
        <v>15300</v>
      </c>
      <c r="AH6" s="36">
        <f t="shared" si="0"/>
        <v>15300</v>
      </c>
      <c r="AI6" s="36">
        <f t="shared" si="0"/>
        <v>26000</v>
      </c>
      <c r="AJ6" s="36">
        <f t="shared" si="0"/>
        <v>26000</v>
      </c>
      <c r="AK6" s="36">
        <f t="shared" si="0"/>
        <v>26000</v>
      </c>
      <c r="AL6" s="37">
        <f t="shared" si="0"/>
        <v>26000</v>
      </c>
      <c r="AM6" s="38"/>
      <c r="AN6" s="38"/>
    </row>
    <row r="7" spans="2:40" ht="14" customHeight="1">
      <c r="B7" s="398"/>
      <c r="C7" s="398"/>
      <c r="D7" s="398"/>
      <c r="E7" s="398"/>
      <c r="F7" s="398"/>
      <c r="G7" s="398"/>
      <c r="H7" s="398"/>
      <c r="K7" s="340" t="s">
        <v>166</v>
      </c>
      <c r="L7" s="250">
        <f>954000+L8+L9</f>
        <v>980000</v>
      </c>
      <c r="M7" s="343"/>
      <c r="N7" s="251"/>
      <c r="O7" s="251"/>
      <c r="P7" s="250"/>
      <c r="Q7" s="252"/>
      <c r="Y7" s="15"/>
      <c r="AA7" s="435" t="s">
        <v>9</v>
      </c>
      <c r="AB7" s="436"/>
      <c r="AC7" s="44"/>
      <c r="AD7" s="45">
        <v>0</v>
      </c>
      <c r="AE7" s="46">
        <f>O27</f>
        <v>-123000</v>
      </c>
      <c r="AF7" s="46">
        <f t="shared" ref="AF7:AL7" si="1">P27</f>
        <v>-123000</v>
      </c>
      <c r="AG7" s="46">
        <f t="shared" si="1"/>
        <v>-123000</v>
      </c>
      <c r="AH7" s="46">
        <f t="shared" si="1"/>
        <v>-123000</v>
      </c>
      <c r="AI7" s="46">
        <f t="shared" si="1"/>
        <v>-242000</v>
      </c>
      <c r="AJ7" s="46">
        <f t="shared" si="1"/>
        <v>-242000</v>
      </c>
      <c r="AK7" s="46">
        <f t="shared" si="1"/>
        <v>-242000</v>
      </c>
      <c r="AL7" s="47">
        <f t="shared" si="1"/>
        <v>-242000</v>
      </c>
      <c r="AM7" s="48"/>
      <c r="AN7" s="48"/>
    </row>
    <row r="8" spans="2:40" ht="14" customHeight="1">
      <c r="B8" s="398"/>
      <c r="C8" s="398"/>
      <c r="D8" s="398"/>
      <c r="E8" s="398"/>
      <c r="F8" s="398"/>
      <c r="G8" s="398"/>
      <c r="H8" s="398"/>
      <c r="K8" s="340" t="s">
        <v>167</v>
      </c>
      <c r="L8" s="250">
        <v>4550</v>
      </c>
      <c r="M8" s="251"/>
      <c r="N8" s="251"/>
      <c r="O8" s="253"/>
      <c r="P8" s="251"/>
      <c r="Q8" s="254"/>
      <c r="Y8" s="15"/>
      <c r="AA8" s="437" t="s">
        <v>10</v>
      </c>
      <c r="AB8" s="438"/>
      <c r="AC8" s="538">
        <f>25</f>
        <v>25</v>
      </c>
      <c r="AD8" s="45">
        <v>0</v>
      </c>
      <c r="AE8" s="54">
        <f>$AC$8</f>
        <v>25</v>
      </c>
      <c r="AF8" s="54">
        <f t="shared" ref="AF8:AL8" si="2">$AC$8</f>
        <v>25</v>
      </c>
      <c r="AG8" s="54">
        <f t="shared" si="2"/>
        <v>25</v>
      </c>
      <c r="AH8" s="54">
        <f t="shared" si="2"/>
        <v>25</v>
      </c>
      <c r="AI8" s="54">
        <f t="shared" si="2"/>
        <v>25</v>
      </c>
      <c r="AJ8" s="54">
        <f t="shared" si="2"/>
        <v>25</v>
      </c>
      <c r="AK8" s="54">
        <f t="shared" si="2"/>
        <v>25</v>
      </c>
      <c r="AL8" s="55">
        <f t="shared" si="2"/>
        <v>25</v>
      </c>
      <c r="AM8" s="56"/>
      <c r="AN8" s="56"/>
    </row>
    <row r="9" spans="2:40" ht="17" thickBot="1">
      <c r="B9" s="398"/>
      <c r="C9" s="398"/>
      <c r="D9" s="398"/>
      <c r="E9" s="398"/>
      <c r="F9" s="398"/>
      <c r="G9" s="398"/>
      <c r="H9" s="398"/>
      <c r="K9" s="341" t="s">
        <v>168</v>
      </c>
      <c r="L9" s="251">
        <v>21450</v>
      </c>
      <c r="M9" s="251"/>
      <c r="N9" s="251"/>
      <c r="O9" s="251"/>
      <c r="P9" s="251"/>
      <c r="Q9" s="254"/>
      <c r="Y9" s="15"/>
      <c r="AA9" s="439" t="s">
        <v>202</v>
      </c>
      <c r="AB9" s="440"/>
      <c r="AC9" s="44"/>
      <c r="AD9" s="45">
        <v>0</v>
      </c>
      <c r="AE9" s="54">
        <f>AE6*AE8</f>
        <v>382500</v>
      </c>
      <c r="AF9" s="54">
        <f t="shared" ref="AF9:AL9" si="3">AF6*AF8</f>
        <v>382500</v>
      </c>
      <c r="AG9" s="54">
        <f t="shared" si="3"/>
        <v>382500</v>
      </c>
      <c r="AH9" s="54">
        <f t="shared" si="3"/>
        <v>382500</v>
      </c>
      <c r="AI9" s="54">
        <f t="shared" si="3"/>
        <v>650000</v>
      </c>
      <c r="AJ9" s="54">
        <f t="shared" si="3"/>
        <v>650000</v>
      </c>
      <c r="AK9" s="54">
        <f t="shared" si="3"/>
        <v>650000</v>
      </c>
      <c r="AL9" s="55">
        <f t="shared" si="3"/>
        <v>650000</v>
      </c>
      <c r="AM9" s="56"/>
      <c r="AN9" s="56"/>
    </row>
    <row r="10" spans="2:40" ht="17" thickBot="1">
      <c r="B10" s="398"/>
      <c r="C10" s="398"/>
      <c r="D10" s="398"/>
      <c r="E10" s="398"/>
      <c r="F10" s="398"/>
      <c r="G10" s="398"/>
      <c r="H10" s="398"/>
      <c r="K10" s="340" t="s">
        <v>24</v>
      </c>
      <c r="L10" s="251">
        <v>327000</v>
      </c>
      <c r="M10" s="343" t="s">
        <v>172</v>
      </c>
      <c r="N10" s="251">
        <f>35000</f>
        <v>35000</v>
      </c>
      <c r="O10" s="251"/>
      <c r="P10" s="251"/>
      <c r="Q10" s="254"/>
      <c r="Y10" s="15"/>
      <c r="AA10" s="433" t="s">
        <v>13</v>
      </c>
      <c r="AB10" s="434"/>
      <c r="AC10" s="59"/>
      <c r="AD10" s="60">
        <v>0</v>
      </c>
      <c r="AE10" s="61">
        <f>AE7+AE9</f>
        <v>259500</v>
      </c>
      <c r="AF10" s="61">
        <f t="shared" ref="AF10:AL10" si="4">AF7+AF9</f>
        <v>259500</v>
      </c>
      <c r="AG10" s="61">
        <f t="shared" si="4"/>
        <v>259500</v>
      </c>
      <c r="AH10" s="61">
        <f t="shared" si="4"/>
        <v>259500</v>
      </c>
      <c r="AI10" s="61">
        <f t="shared" si="4"/>
        <v>408000</v>
      </c>
      <c r="AJ10" s="61">
        <f t="shared" si="4"/>
        <v>408000</v>
      </c>
      <c r="AK10" s="61">
        <f t="shared" si="4"/>
        <v>408000</v>
      </c>
      <c r="AL10" s="62">
        <f t="shared" si="4"/>
        <v>408000</v>
      </c>
      <c r="AM10" s="63"/>
      <c r="AN10" s="63"/>
    </row>
    <row r="11" spans="2:40" ht="16" customHeight="1">
      <c r="B11" s="398" t="s">
        <v>158</v>
      </c>
      <c r="C11" s="398"/>
      <c r="D11" s="398"/>
      <c r="E11" s="398"/>
      <c r="F11" s="398"/>
      <c r="G11" s="398"/>
      <c r="H11" s="398"/>
      <c r="K11" s="249"/>
      <c r="L11" s="251"/>
      <c r="M11" s="343" t="s">
        <v>173</v>
      </c>
      <c r="N11" s="251">
        <f>(L10-(((L10-N10)/25)*8))</f>
        <v>233560</v>
      </c>
      <c r="O11" s="251"/>
      <c r="P11" s="251"/>
      <c r="Q11" s="254"/>
      <c r="Y11" s="15"/>
      <c r="AA11" s="435" t="s">
        <v>190</v>
      </c>
      <c r="AB11" s="436"/>
      <c r="AC11" s="263"/>
      <c r="AD11" s="363" t="s">
        <v>185</v>
      </c>
      <c r="AE11" s="63">
        <f>-(AE10)*0.226</f>
        <v>-58647</v>
      </c>
      <c r="AF11" s="63">
        <f t="shared" ref="AF11:AL11" si="5">-(AF10)*0.226</f>
        <v>-58647</v>
      </c>
      <c r="AG11" s="63">
        <f t="shared" si="5"/>
        <v>-58647</v>
      </c>
      <c r="AH11" s="63">
        <f t="shared" si="5"/>
        <v>-58647</v>
      </c>
      <c r="AI11" s="63">
        <f t="shared" si="5"/>
        <v>-92208</v>
      </c>
      <c r="AJ11" s="63">
        <f t="shared" si="5"/>
        <v>-92208</v>
      </c>
      <c r="AK11" s="63">
        <f t="shared" si="5"/>
        <v>-92208</v>
      </c>
      <c r="AL11" s="264">
        <f t="shared" si="5"/>
        <v>-92208</v>
      </c>
      <c r="AM11" s="63"/>
      <c r="AN11" s="63"/>
    </row>
    <row r="12" spans="2:40">
      <c r="B12" s="398"/>
      <c r="C12" s="398"/>
      <c r="D12" s="398"/>
      <c r="E12" s="398"/>
      <c r="F12" s="398"/>
      <c r="G12" s="398"/>
      <c r="H12" s="398"/>
      <c r="K12" s="340" t="s">
        <v>178</v>
      </c>
      <c r="L12" s="251">
        <f>L5+L6</f>
        <v>840000</v>
      </c>
      <c r="M12" s="250"/>
      <c r="N12" s="251"/>
      <c r="O12" s="251"/>
      <c r="P12" s="251"/>
      <c r="Q12" s="254"/>
      <c r="Y12" s="15"/>
      <c r="AA12" s="437" t="s">
        <v>194</v>
      </c>
      <c r="AB12" s="438"/>
      <c r="AC12" s="263"/>
      <c r="AD12" s="363" t="s">
        <v>185</v>
      </c>
      <c r="AE12" s="63">
        <f>-0.2*AD18*0.5*0.226</f>
        <v>7390.2</v>
      </c>
      <c r="AF12" s="63">
        <f>-0.2*AD18*(1-(0.2/2))*(1-0.2)^(2-2)*0.226</f>
        <v>13302.36</v>
      </c>
      <c r="AG12" s="63">
        <f>-0.2*AD18*(1-(0.2/2))*(1-0.2)^(3-2)*0.226</f>
        <v>10641.888000000001</v>
      </c>
      <c r="AH12" s="63">
        <f>-0.2*AD18*(1-(0.2/2))*(1-0.2)^(4-2)*0.226</f>
        <v>8513.5104000000028</v>
      </c>
      <c r="AI12" s="63">
        <f>-0.2*AD18*(1-(0.2/2))*(1-0.2)^(5-2)*0.226</f>
        <v>6810.8083200000019</v>
      </c>
      <c r="AJ12" s="63">
        <f>-0.2*AD18*(1-(0.2/2))*(1-0.2)^(6-2)*0.226</f>
        <v>5448.6466560000026</v>
      </c>
      <c r="AK12" s="63">
        <f>-0.2*AD18*(1-(0.2/2))*(1-0.2)^(7-2)*0.226</f>
        <v>4358.9173248000025</v>
      </c>
      <c r="AL12" s="264">
        <f>-0.2*AD18*(1-(0.2/2))*(1-0.2)^(8-2)*0.226</f>
        <v>3487.1338598400025</v>
      </c>
      <c r="AM12" s="63"/>
      <c r="AN12" s="63"/>
    </row>
    <row r="13" spans="2:40">
      <c r="B13" s="398"/>
      <c r="C13" s="398"/>
      <c r="D13" s="398"/>
      <c r="E13" s="398"/>
      <c r="F13" s="398"/>
      <c r="G13" s="398"/>
      <c r="H13" s="398"/>
      <c r="K13" s="340" t="s">
        <v>176</v>
      </c>
      <c r="L13" s="250">
        <f>L7*(L5/L12)</f>
        <v>637000</v>
      </c>
      <c r="M13" s="251"/>
      <c r="N13" s="251"/>
      <c r="O13" s="251"/>
      <c r="P13" s="251"/>
      <c r="Q13" s="254"/>
      <c r="Y13" s="15"/>
      <c r="AA13" s="437" t="s">
        <v>195</v>
      </c>
      <c r="AB13" s="438"/>
      <c r="AC13" s="261"/>
      <c r="AD13" s="363" t="s">
        <v>185</v>
      </c>
      <c r="AE13" s="75">
        <f>-0.04*AD19*0.5*0.226</f>
        <v>1550.3600000000001</v>
      </c>
      <c r="AF13" s="75">
        <f>-0.04*$AD$19*(1-(0.04/2))*(1-0.04)^(2-2)*0.226</f>
        <v>3038.7056000000002</v>
      </c>
      <c r="AG13" s="75">
        <f>-0.04*$AD$19*(1-(0.04/2))*(1-0.04)^(3-2)*0.226</f>
        <v>2917.1573760000001</v>
      </c>
      <c r="AH13" s="75">
        <f>-0.04*$AD$19*(1-(0.04/2))*(1-0.04)^(4-2)*0.226</f>
        <v>2800.4710809600001</v>
      </c>
      <c r="AI13" s="75">
        <f>-0.04*$AD$19*(1-(0.04/2))*(1-0.04)^(5-2)*0.226</f>
        <v>2688.4522377215999</v>
      </c>
      <c r="AJ13" s="75">
        <f>-0.04*$AD$19*(1-(0.04/2))*(1-0.04)^(6-2)*0.226</f>
        <v>2580.9141482127361</v>
      </c>
      <c r="AK13" s="75">
        <f>-0.04*$AD$19*(1-(0.04/2))*(1-0.04)^(7-2)*0.226</f>
        <v>2477.6775822842264</v>
      </c>
      <c r="AL13" s="76">
        <f>-0.04*$AD$19*(1-(0.04/2))*(1-0.04)^(8-2)*0.226</f>
        <v>2378.5704789928573</v>
      </c>
      <c r="AM13" s="63"/>
      <c r="AN13" s="63"/>
    </row>
    <row r="14" spans="2:40">
      <c r="B14" s="398"/>
      <c r="C14" s="398"/>
      <c r="D14" s="398"/>
      <c r="E14" s="398"/>
      <c r="F14" s="398"/>
      <c r="G14" s="398"/>
      <c r="H14" s="398"/>
      <c r="K14" s="340" t="s">
        <v>177</v>
      </c>
      <c r="L14" s="251">
        <f>(L7*(L6/L12))</f>
        <v>343000</v>
      </c>
      <c r="M14" s="251"/>
      <c r="N14" s="251"/>
      <c r="O14" s="251"/>
      <c r="P14" s="251"/>
      <c r="Q14" s="254"/>
      <c r="Y14" s="15"/>
      <c r="AA14" s="437"/>
      <c r="AB14" s="438"/>
      <c r="AC14" s="262"/>
      <c r="AD14" s="54"/>
      <c r="AE14" s="75"/>
      <c r="AF14" s="75"/>
      <c r="AG14" s="75"/>
      <c r="AH14" s="75"/>
      <c r="AI14" s="75"/>
      <c r="AJ14" s="75"/>
      <c r="AK14" s="75"/>
      <c r="AL14" s="76"/>
      <c r="AM14" s="63"/>
      <c r="AN14" s="63"/>
    </row>
    <row r="15" spans="2:40" ht="17" thickBot="1">
      <c r="B15" s="398"/>
      <c r="C15" s="398"/>
      <c r="D15" s="398"/>
      <c r="E15" s="398"/>
      <c r="F15" s="398"/>
      <c r="G15" s="398"/>
      <c r="H15" s="398"/>
      <c r="K15" s="249"/>
      <c r="L15" s="251"/>
      <c r="M15" s="251"/>
      <c r="N15" s="251"/>
      <c r="O15" s="251"/>
      <c r="P15" s="251"/>
      <c r="Q15" s="254"/>
      <c r="Y15" s="15"/>
      <c r="AA15" s="439"/>
      <c r="AB15" s="440"/>
      <c r="AC15" s="74"/>
      <c r="AD15" s="54"/>
      <c r="AE15" s="75"/>
      <c r="AF15" s="75"/>
      <c r="AG15" s="75"/>
      <c r="AH15" s="75"/>
      <c r="AI15" s="75"/>
      <c r="AJ15" s="75"/>
      <c r="AK15" s="75"/>
      <c r="AL15" s="76"/>
      <c r="AM15" s="63"/>
      <c r="AN15" s="63"/>
    </row>
    <row r="16" spans="2:40" ht="17" thickBot="1">
      <c r="B16" s="398"/>
      <c r="C16" s="398"/>
      <c r="D16" s="398"/>
      <c r="E16" s="398"/>
      <c r="F16" s="398"/>
      <c r="G16" s="398"/>
      <c r="H16" s="398"/>
      <c r="K16" s="249"/>
      <c r="L16" s="251"/>
      <c r="M16" s="251"/>
      <c r="N16" s="251"/>
      <c r="O16" s="251"/>
      <c r="P16" s="251"/>
      <c r="Q16" s="254"/>
      <c r="Y16" s="15"/>
      <c r="AA16" s="433" t="s">
        <v>103</v>
      </c>
      <c r="AB16" s="434"/>
      <c r="AC16" s="79"/>
      <c r="AD16" s="80">
        <v>0</v>
      </c>
      <c r="AE16" s="61">
        <f>AE10+AE11+AE12+AE13</f>
        <v>209793.56</v>
      </c>
      <c r="AF16" s="61">
        <f t="shared" ref="AF16:AL16" si="6">AF10+AF11+AF12+AF13</f>
        <v>217194.06559999997</v>
      </c>
      <c r="AG16" s="61">
        <f t="shared" si="6"/>
        <v>214412.04537599999</v>
      </c>
      <c r="AH16" s="61">
        <f t="shared" si="6"/>
        <v>212166.98148096001</v>
      </c>
      <c r="AI16" s="61">
        <f t="shared" si="6"/>
        <v>325291.2605577216</v>
      </c>
      <c r="AJ16" s="61">
        <f t="shared" si="6"/>
        <v>323821.56080421276</v>
      </c>
      <c r="AK16" s="61">
        <f t="shared" si="6"/>
        <v>322628.59490708419</v>
      </c>
      <c r="AL16" s="62">
        <f t="shared" si="6"/>
        <v>321657.70433883287</v>
      </c>
      <c r="AM16" s="63"/>
      <c r="AN16" s="63"/>
    </row>
    <row r="17" spans="2:40" ht="16" customHeight="1" thickBot="1">
      <c r="B17" s="417" t="s">
        <v>159</v>
      </c>
      <c r="C17" s="417"/>
      <c r="D17" s="417"/>
      <c r="E17" s="417"/>
      <c r="F17" s="417"/>
      <c r="G17" s="417"/>
      <c r="H17" s="417"/>
      <c r="K17" s="249"/>
      <c r="L17" s="343" t="s">
        <v>174</v>
      </c>
      <c r="M17" s="343" t="s">
        <v>175</v>
      </c>
      <c r="N17" s="251"/>
      <c r="O17" s="251"/>
      <c r="P17" s="251"/>
      <c r="Q17" s="254"/>
      <c r="Y17" s="15"/>
      <c r="AA17" s="435" t="s">
        <v>17</v>
      </c>
      <c r="AB17" s="436"/>
      <c r="AC17" s="82"/>
      <c r="AD17" s="45"/>
      <c r="AE17" s="54"/>
      <c r="AF17" s="54"/>
      <c r="AG17" s="54"/>
      <c r="AH17" s="54"/>
      <c r="AI17" s="54"/>
      <c r="AJ17" s="54"/>
      <c r="AK17" s="54"/>
      <c r="AL17" s="83"/>
      <c r="AM17" s="84"/>
      <c r="AN17" s="84"/>
    </row>
    <row r="18" spans="2:40" ht="16" customHeight="1" thickBot="1">
      <c r="B18" s="417"/>
      <c r="C18" s="417"/>
      <c r="D18" s="417"/>
      <c r="E18" s="417"/>
      <c r="F18" s="417"/>
      <c r="G18" s="417"/>
      <c r="H18" s="417"/>
      <c r="K18" s="30"/>
      <c r="L18" s="85" t="s">
        <v>81</v>
      </c>
      <c r="M18" s="86" t="s">
        <v>58</v>
      </c>
      <c r="N18" s="43"/>
      <c r="O18" s="43"/>
      <c r="P18" s="43"/>
      <c r="Q18" s="53"/>
      <c r="T18" s="26"/>
      <c r="Y18" s="15"/>
      <c r="AA18" s="390" t="s">
        <v>24</v>
      </c>
      <c r="AB18" s="392"/>
      <c r="AC18" s="82"/>
      <c r="AD18" s="87">
        <f>N31</f>
        <v>-327000</v>
      </c>
      <c r="AE18" s="54"/>
      <c r="AF18" s="54"/>
      <c r="AG18" s="54"/>
      <c r="AH18" s="54"/>
      <c r="AI18" s="54"/>
      <c r="AJ18" s="54"/>
      <c r="AK18" s="54"/>
      <c r="AL18" s="83"/>
      <c r="AM18" s="84"/>
      <c r="AN18" s="84"/>
    </row>
    <row r="19" spans="2:40" ht="14" customHeight="1">
      <c r="B19" s="417"/>
      <c r="C19" s="417"/>
      <c r="D19" s="417"/>
      <c r="E19" s="417"/>
      <c r="F19" s="417"/>
      <c r="G19" s="417"/>
      <c r="H19" s="417"/>
      <c r="K19" s="88" t="s">
        <v>19</v>
      </c>
      <c r="L19" s="373">
        <f>L10</f>
        <v>327000</v>
      </c>
      <c r="M19" s="374">
        <f>N11</f>
        <v>233560</v>
      </c>
      <c r="N19" s="43"/>
      <c r="O19" s="43"/>
      <c r="P19" s="43"/>
      <c r="Q19" s="53"/>
      <c r="T19" s="91"/>
      <c r="Y19" s="15"/>
      <c r="AA19" s="390" t="s">
        <v>25</v>
      </c>
      <c r="AB19" s="392"/>
      <c r="AC19" s="82"/>
      <c r="AD19" s="87">
        <f>N32</f>
        <v>-343000</v>
      </c>
      <c r="AE19" s="54"/>
      <c r="AF19" s="54"/>
      <c r="AG19" s="54"/>
      <c r="AH19" s="54"/>
      <c r="AI19" s="54"/>
      <c r="AJ19" s="54"/>
      <c r="AK19" s="54"/>
      <c r="AL19" s="83"/>
      <c r="AM19" s="84"/>
      <c r="AN19" s="84"/>
    </row>
    <row r="20" spans="2:40" ht="16" customHeight="1">
      <c r="B20" s="398" t="s">
        <v>160</v>
      </c>
      <c r="C20" s="398"/>
      <c r="D20" s="398"/>
      <c r="E20" s="398"/>
      <c r="F20" s="398"/>
      <c r="G20" s="398"/>
      <c r="H20" s="398"/>
      <c r="K20" s="71" t="s">
        <v>20</v>
      </c>
      <c r="L20" s="375">
        <f>L14</f>
        <v>343000</v>
      </c>
      <c r="M20" s="376">
        <f>N6</f>
        <v>120000</v>
      </c>
      <c r="N20" s="43"/>
      <c r="O20" s="43"/>
      <c r="P20" s="43"/>
      <c r="Q20" s="53"/>
      <c r="Y20" s="15"/>
      <c r="AA20" s="390" t="s">
        <v>26</v>
      </c>
      <c r="AB20" s="392"/>
      <c r="AC20" s="82"/>
      <c r="AD20" s="87">
        <f t="shared" ref="AD20:AD21" si="7">N33</f>
        <v>-637000</v>
      </c>
      <c r="AE20" s="54"/>
      <c r="AF20" s="54"/>
      <c r="AG20" s="54"/>
      <c r="AH20" s="54"/>
      <c r="AI20" s="54"/>
      <c r="AJ20" s="54"/>
      <c r="AK20" s="54"/>
      <c r="AL20" s="83"/>
      <c r="AM20" s="84"/>
      <c r="AN20" s="84"/>
    </row>
    <row r="21" spans="2:40" ht="17" thickBot="1">
      <c r="B21" s="398"/>
      <c r="C21" s="398"/>
      <c r="D21" s="398"/>
      <c r="E21" s="398"/>
      <c r="F21" s="398"/>
      <c r="G21" s="398"/>
      <c r="H21" s="398"/>
      <c r="K21" s="94" t="s">
        <v>21</v>
      </c>
      <c r="L21" s="377">
        <f>L13</f>
        <v>637000</v>
      </c>
      <c r="M21" s="378">
        <f>N5</f>
        <v>806932.5418439114</v>
      </c>
      <c r="N21" s="129"/>
      <c r="O21" s="129"/>
      <c r="P21" s="129"/>
      <c r="Q21" s="98"/>
      <c r="Y21" s="15"/>
      <c r="AA21" s="390" t="s">
        <v>22</v>
      </c>
      <c r="AB21" s="392"/>
      <c r="AC21" s="82"/>
      <c r="AD21" s="87">
        <f t="shared" si="7"/>
        <v>-20000</v>
      </c>
      <c r="AE21" s="54"/>
      <c r="AF21" s="54"/>
      <c r="AG21" s="54"/>
      <c r="AH21" s="54">
        <f>R34</f>
        <v>-30000</v>
      </c>
      <c r="AI21" s="54"/>
      <c r="AJ21" s="54"/>
      <c r="AK21" s="54"/>
      <c r="AL21" s="83"/>
      <c r="AM21" s="84"/>
      <c r="AN21" s="84"/>
    </row>
    <row r="22" spans="2:40">
      <c r="B22" s="398"/>
      <c r="C22" s="398"/>
      <c r="D22" s="398"/>
      <c r="E22" s="398"/>
      <c r="F22" s="398"/>
      <c r="G22" s="398"/>
      <c r="H22" s="398"/>
      <c r="Y22" s="15"/>
      <c r="AA22" s="489"/>
      <c r="AB22" s="490"/>
      <c r="AC22" s="82"/>
      <c r="AD22" s="379"/>
      <c r="AE22" s="379"/>
      <c r="AF22" s="379"/>
      <c r="AG22" s="379"/>
      <c r="AH22" s="379"/>
      <c r="AI22" s="54"/>
      <c r="AJ22" s="54"/>
      <c r="AK22" s="54"/>
      <c r="AL22" s="83"/>
      <c r="AM22" s="84"/>
      <c r="AN22" s="84"/>
    </row>
    <row r="23" spans="2:40" ht="17" thickBot="1">
      <c r="B23" s="398"/>
      <c r="C23" s="398"/>
      <c r="D23" s="398"/>
      <c r="E23" s="398"/>
      <c r="F23" s="398"/>
      <c r="G23" s="398"/>
      <c r="H23" s="398"/>
      <c r="K23" s="99" t="s">
        <v>31</v>
      </c>
      <c r="L23" s="99"/>
      <c r="M23" s="99"/>
      <c r="N23" s="100"/>
      <c r="O23" s="101"/>
      <c r="P23" s="100"/>
      <c r="Q23" s="100"/>
      <c r="R23" s="100"/>
      <c r="S23" s="100"/>
      <c r="T23" s="100"/>
      <c r="U23" s="100"/>
      <c r="Y23" s="15"/>
      <c r="AA23" s="445" t="s">
        <v>23</v>
      </c>
      <c r="AB23" s="446"/>
      <c r="AC23" s="102"/>
      <c r="AD23" s="103"/>
      <c r="AE23" s="104"/>
      <c r="AF23" s="104"/>
      <c r="AG23" s="104"/>
      <c r="AH23" s="104"/>
      <c r="AI23" s="104"/>
      <c r="AJ23" s="104"/>
      <c r="AK23" s="104"/>
      <c r="AL23" s="105"/>
      <c r="AM23" s="84"/>
      <c r="AN23" s="84"/>
    </row>
    <row r="24" spans="2:40" ht="16" customHeight="1" thickBot="1">
      <c r="B24" s="398" t="s">
        <v>161</v>
      </c>
      <c r="C24" s="398"/>
      <c r="D24" s="398"/>
      <c r="E24" s="398"/>
      <c r="F24" s="398"/>
      <c r="G24" s="398"/>
      <c r="H24" s="398"/>
      <c r="K24" s="386" t="s">
        <v>1</v>
      </c>
      <c r="L24" s="387"/>
      <c r="M24" s="107" t="s">
        <v>3</v>
      </c>
      <c r="N24" s="108">
        <v>0</v>
      </c>
      <c r="O24" s="24">
        <v>1</v>
      </c>
      <c r="P24" s="24">
        <v>2</v>
      </c>
      <c r="Q24" s="24">
        <v>3</v>
      </c>
      <c r="R24" s="24">
        <v>4</v>
      </c>
      <c r="S24" s="24">
        <v>5</v>
      </c>
      <c r="T24" s="24">
        <v>6</v>
      </c>
      <c r="U24" s="24">
        <v>7</v>
      </c>
      <c r="V24" s="25">
        <v>8</v>
      </c>
      <c r="W24" s="26"/>
      <c r="X24" s="26"/>
      <c r="Y24" s="15"/>
      <c r="AA24" s="390" t="s">
        <v>24</v>
      </c>
      <c r="AB24" s="392"/>
      <c r="AC24" s="109"/>
      <c r="AD24" s="46"/>
      <c r="AE24" s="54"/>
      <c r="AF24" s="54"/>
      <c r="AG24" s="54"/>
      <c r="AH24" s="54"/>
      <c r="AI24" s="54"/>
      <c r="AJ24" s="54"/>
      <c r="AK24" s="54"/>
      <c r="AL24" s="164">
        <f t="shared" ref="AL24:AL26" si="8">V37</f>
        <v>233560</v>
      </c>
      <c r="AM24" s="84"/>
      <c r="AN24" s="110"/>
    </row>
    <row r="25" spans="2:40" ht="14" customHeight="1" thickBot="1">
      <c r="B25" s="398"/>
      <c r="C25" s="398"/>
      <c r="D25" s="398"/>
      <c r="E25" s="398"/>
      <c r="F25" s="398"/>
      <c r="G25" s="398"/>
      <c r="H25" s="398"/>
      <c r="K25" s="388" t="s">
        <v>7</v>
      </c>
      <c r="L25" s="389"/>
      <c r="M25" s="348"/>
      <c r="N25" s="346">
        <v>0</v>
      </c>
      <c r="O25" s="36">
        <f>C39*D39+C40*D40+C41*D41+C42*D42</f>
        <v>15300</v>
      </c>
      <c r="P25" s="36">
        <f>C39*D39+C40*D40+C41*D41+C42*D42</f>
        <v>15300</v>
      </c>
      <c r="Q25" s="36">
        <f>C39*D39+C40*D40+C41*D41+C42*D42</f>
        <v>15300</v>
      </c>
      <c r="R25" s="36">
        <f>C39*D39+C40*D40+C41*D41+C42*D42</f>
        <v>15300</v>
      </c>
      <c r="S25" s="36">
        <f>E39*F39+E40*F40+E41*F41+E42*F42+E43*F43</f>
        <v>26000</v>
      </c>
      <c r="T25" s="36">
        <f>E39*F39+E40*F40+E41*F41+E42*F42+E43*F43</f>
        <v>26000</v>
      </c>
      <c r="U25" s="36">
        <f>E39*F39+E40*F40+E41*F41+E42*F42+E43*F43</f>
        <v>26000</v>
      </c>
      <c r="V25" s="37">
        <f>E39*F39+E40*F40+E41*F41+E42*F42+E43*F43</f>
        <v>26000</v>
      </c>
      <c r="W25" s="38"/>
      <c r="X25" s="38"/>
      <c r="Y25" s="15"/>
      <c r="AA25" s="390" t="s">
        <v>25</v>
      </c>
      <c r="AB25" s="392"/>
      <c r="AC25" s="109"/>
      <c r="AD25" s="46"/>
      <c r="AE25" s="54"/>
      <c r="AF25" s="54"/>
      <c r="AG25" s="54"/>
      <c r="AH25" s="54"/>
      <c r="AI25" s="54"/>
      <c r="AJ25" s="54"/>
      <c r="AK25" s="54"/>
      <c r="AL25" s="164">
        <f t="shared" si="8"/>
        <v>120000</v>
      </c>
      <c r="AM25" s="84"/>
      <c r="AN25" s="110"/>
    </row>
    <row r="26" spans="2:40" ht="14" customHeight="1">
      <c r="B26" s="398"/>
      <c r="C26" s="398"/>
      <c r="D26" s="398"/>
      <c r="E26" s="398"/>
      <c r="F26" s="398"/>
      <c r="G26" s="398"/>
      <c r="H26" s="398"/>
      <c r="K26" s="390" t="s">
        <v>181</v>
      </c>
      <c r="L26" s="391"/>
      <c r="M26" s="347"/>
      <c r="N26" s="114">
        <v>0</v>
      </c>
      <c r="O26" s="48">
        <f>O25*25</f>
        <v>382500</v>
      </c>
      <c r="P26" s="48">
        <f t="shared" ref="P26:U26" si="9">P25*25</f>
        <v>382500</v>
      </c>
      <c r="Q26" s="48">
        <f t="shared" si="9"/>
        <v>382500</v>
      </c>
      <c r="R26" s="48">
        <f t="shared" si="9"/>
        <v>382500</v>
      </c>
      <c r="S26" s="48">
        <f t="shared" si="9"/>
        <v>650000</v>
      </c>
      <c r="T26" s="48">
        <f t="shared" si="9"/>
        <v>650000</v>
      </c>
      <c r="U26" s="48">
        <f t="shared" si="9"/>
        <v>650000</v>
      </c>
      <c r="V26" s="255">
        <f>V25*25</f>
        <v>650000</v>
      </c>
      <c r="W26" s="48"/>
      <c r="X26" s="48"/>
      <c r="Y26" s="15"/>
      <c r="AA26" s="390" t="s">
        <v>26</v>
      </c>
      <c r="AB26" s="392"/>
      <c r="AC26" s="109"/>
      <c r="AD26" s="46"/>
      <c r="AE26" s="54"/>
      <c r="AF26" s="54"/>
      <c r="AG26" s="54"/>
      <c r="AH26" s="54"/>
      <c r="AI26" s="54"/>
      <c r="AJ26" s="54"/>
      <c r="AK26" s="54"/>
      <c r="AL26" s="164">
        <f t="shared" si="8"/>
        <v>806932.5418439114</v>
      </c>
      <c r="AM26" s="84"/>
      <c r="AN26" s="110"/>
    </row>
    <row r="27" spans="2:40" ht="14" customHeight="1">
      <c r="B27" s="398"/>
      <c r="C27" s="398"/>
      <c r="D27" s="398"/>
      <c r="E27" s="398"/>
      <c r="F27" s="398"/>
      <c r="G27" s="398"/>
      <c r="H27" s="398"/>
      <c r="K27" s="390" t="s">
        <v>180</v>
      </c>
      <c r="L27" s="392"/>
      <c r="M27" s="113"/>
      <c r="N27" s="114">
        <v>0</v>
      </c>
      <c r="O27" s="56">
        <v>-123000</v>
      </c>
      <c r="P27" s="48">
        <v>-123000</v>
      </c>
      <c r="Q27" s="48">
        <v>-123000</v>
      </c>
      <c r="R27" s="48">
        <v>-123000</v>
      </c>
      <c r="S27" s="48">
        <f>-242000</f>
        <v>-242000</v>
      </c>
      <c r="T27" s="48">
        <f>-242000</f>
        <v>-242000</v>
      </c>
      <c r="U27" s="48">
        <f>-242000</f>
        <v>-242000</v>
      </c>
      <c r="V27" s="255">
        <f>-242000</f>
        <v>-242000</v>
      </c>
      <c r="W27" s="56"/>
      <c r="X27" s="56"/>
      <c r="Y27" s="15"/>
      <c r="AA27" s="390" t="s">
        <v>22</v>
      </c>
      <c r="AB27" s="392"/>
      <c r="AC27" s="117"/>
      <c r="AD27" s="46"/>
      <c r="AE27" s="54"/>
      <c r="AF27" s="54"/>
      <c r="AG27" s="54"/>
      <c r="AH27" s="54"/>
      <c r="AI27" s="54"/>
      <c r="AJ27" s="54"/>
      <c r="AK27" s="118"/>
      <c r="AL27" s="164">
        <f>V40</f>
        <v>50000</v>
      </c>
      <c r="AM27" s="84"/>
      <c r="AN27" s="110"/>
    </row>
    <row r="28" spans="2:40" ht="17" thickBot="1">
      <c r="B28" s="398"/>
      <c r="C28" s="398"/>
      <c r="D28" s="398"/>
      <c r="E28" s="398"/>
      <c r="F28" s="398"/>
      <c r="G28" s="398"/>
      <c r="H28" s="398"/>
      <c r="K28" s="393"/>
      <c r="L28" s="394"/>
      <c r="M28" s="113"/>
      <c r="N28" s="357"/>
      <c r="O28" s="56"/>
      <c r="P28" s="56"/>
      <c r="Q28" s="56"/>
      <c r="R28" s="56"/>
      <c r="S28" s="56"/>
      <c r="T28" s="56"/>
      <c r="U28" s="56"/>
      <c r="V28" s="164"/>
      <c r="W28" s="56"/>
      <c r="X28" s="56"/>
      <c r="Y28" s="15"/>
      <c r="AA28" s="487"/>
      <c r="AB28" s="491"/>
      <c r="AC28" s="117"/>
      <c r="AD28" s="379"/>
      <c r="AE28" s="379"/>
      <c r="AF28" s="379"/>
      <c r="AG28" s="379"/>
      <c r="AH28" s="379"/>
      <c r="AI28" s="379"/>
      <c r="AJ28" s="379"/>
      <c r="AK28" s="379"/>
      <c r="AL28" s="260"/>
      <c r="AM28" s="84"/>
      <c r="AN28" s="110"/>
    </row>
    <row r="29" spans="2:40" ht="16" customHeight="1" thickBot="1">
      <c r="B29" s="398" t="s">
        <v>60</v>
      </c>
      <c r="C29" s="398"/>
      <c r="D29" s="398"/>
      <c r="E29" s="398"/>
      <c r="F29" s="398"/>
      <c r="G29" s="398"/>
      <c r="H29" s="398"/>
      <c r="K29" s="395" t="s">
        <v>13</v>
      </c>
      <c r="L29" s="396"/>
      <c r="M29" s="397"/>
      <c r="N29" s="119"/>
      <c r="O29" s="61">
        <f>O26+O27</f>
        <v>259500</v>
      </c>
      <c r="P29" s="61">
        <f t="shared" ref="P29:U29" si="10">P26+P27</f>
        <v>259500</v>
      </c>
      <c r="Q29" s="61">
        <f t="shared" si="10"/>
        <v>259500</v>
      </c>
      <c r="R29" s="61">
        <f t="shared" si="10"/>
        <v>259500</v>
      </c>
      <c r="S29" s="61">
        <f t="shared" si="10"/>
        <v>408000</v>
      </c>
      <c r="T29" s="61">
        <f t="shared" si="10"/>
        <v>408000</v>
      </c>
      <c r="U29" s="61">
        <f t="shared" si="10"/>
        <v>408000</v>
      </c>
      <c r="V29" s="62">
        <f>V26+V27</f>
        <v>408000</v>
      </c>
      <c r="W29" s="63"/>
      <c r="X29" s="63"/>
      <c r="Y29" s="15"/>
      <c r="AA29" s="441" t="s">
        <v>91</v>
      </c>
      <c r="AB29" s="442"/>
      <c r="AC29" s="120"/>
      <c r="AD29" s="121"/>
      <c r="AE29" s="122"/>
      <c r="AF29" s="122"/>
      <c r="AG29" s="122"/>
      <c r="AH29" s="122"/>
      <c r="AI29" s="122"/>
      <c r="AJ29" s="122"/>
      <c r="AK29" s="123"/>
      <c r="AL29" s="124"/>
      <c r="AM29" s="84"/>
      <c r="AN29" s="110"/>
    </row>
    <row r="30" spans="2:40" ht="14" customHeight="1">
      <c r="B30" s="398"/>
      <c r="C30" s="398"/>
      <c r="D30" s="398"/>
      <c r="E30" s="398"/>
      <c r="F30" s="398"/>
      <c r="G30" s="398"/>
      <c r="H30" s="398"/>
      <c r="K30" s="409" t="s">
        <v>17</v>
      </c>
      <c r="L30" s="410"/>
      <c r="M30" s="126"/>
      <c r="N30" s="114"/>
      <c r="O30" s="54"/>
      <c r="P30" s="54"/>
      <c r="Q30" s="54"/>
      <c r="R30" s="54"/>
      <c r="S30" s="54"/>
      <c r="T30" s="54"/>
      <c r="U30" s="54"/>
      <c r="V30" s="83"/>
      <c r="W30" s="84"/>
      <c r="X30" s="84"/>
      <c r="Y30" s="15"/>
      <c r="AA30" s="390" t="s">
        <v>203</v>
      </c>
      <c r="AB30" s="392"/>
      <c r="AC30" s="117"/>
      <c r="AD30" s="379"/>
      <c r="AE30" s="54"/>
      <c r="AF30" s="54"/>
      <c r="AG30" s="54"/>
      <c r="AH30" s="54"/>
      <c r="AI30" s="54"/>
      <c r="AJ30" s="54"/>
      <c r="AK30" s="118"/>
      <c r="AL30" s="164">
        <f>((-AD18*(1-(0.2/2))*(1-0.2)^(8-1))-AL24)*0.226</f>
        <v>-38836.024560639991</v>
      </c>
      <c r="AM30" s="84"/>
      <c r="AN30" s="110"/>
    </row>
    <row r="31" spans="2:40" ht="14" customHeight="1">
      <c r="B31" s="398"/>
      <c r="C31" s="398"/>
      <c r="D31" s="398"/>
      <c r="E31" s="398"/>
      <c r="F31" s="398"/>
      <c r="G31" s="398"/>
      <c r="H31" s="398"/>
      <c r="K31" s="390" t="s">
        <v>24</v>
      </c>
      <c r="L31" s="392"/>
      <c r="M31" s="126"/>
      <c r="N31" s="256">
        <f>-L19</f>
        <v>-327000</v>
      </c>
      <c r="O31" s="54"/>
      <c r="P31" s="54"/>
      <c r="Q31" s="54"/>
      <c r="R31" s="54"/>
      <c r="S31" s="54"/>
      <c r="T31" s="54"/>
      <c r="U31" s="54"/>
      <c r="V31" s="83"/>
      <c r="W31" s="84"/>
      <c r="X31" s="84"/>
      <c r="Y31" s="15"/>
      <c r="AA31" s="390" t="s">
        <v>204</v>
      </c>
      <c r="AB31" s="392"/>
      <c r="AC31" s="117"/>
      <c r="AD31" s="379"/>
      <c r="AE31" s="379"/>
      <c r="AF31" s="379"/>
      <c r="AG31" s="379"/>
      <c r="AH31" s="379"/>
      <c r="AI31" s="379"/>
      <c r="AJ31" s="379"/>
      <c r="AK31" s="379"/>
      <c r="AL31" s="164">
        <f>((-AD19*(1-(0.04/2))*(1-0.04)^(8-1))-AL25)*((0.226*0.04)/(0.085+0.04))</f>
        <v>9589.0212786651464</v>
      </c>
      <c r="AM31" s="84"/>
      <c r="AN31" s="110"/>
    </row>
    <row r="32" spans="2:40" ht="14" customHeight="1">
      <c r="B32" s="398"/>
      <c r="C32" s="398"/>
      <c r="D32" s="398"/>
      <c r="E32" s="398"/>
      <c r="F32" s="398"/>
      <c r="G32" s="398"/>
      <c r="H32" s="398"/>
      <c r="K32" s="390" t="s">
        <v>25</v>
      </c>
      <c r="L32" s="392"/>
      <c r="M32" s="126"/>
      <c r="N32" s="256">
        <f>-L20</f>
        <v>-343000</v>
      </c>
      <c r="O32" s="54"/>
      <c r="P32" s="54"/>
      <c r="Q32" s="54"/>
      <c r="R32" s="54"/>
      <c r="S32" s="54"/>
      <c r="T32" s="54"/>
      <c r="U32" s="54"/>
      <c r="V32" s="83"/>
      <c r="W32" s="84"/>
      <c r="X32" s="84"/>
      <c r="Y32" s="15"/>
      <c r="AA32" s="390" t="s">
        <v>196</v>
      </c>
      <c r="AB32" s="392"/>
      <c r="AC32" s="117"/>
      <c r="AD32" s="379"/>
      <c r="AE32" s="54"/>
      <c r="AF32" s="54"/>
      <c r="AG32" s="54"/>
      <c r="AH32" s="54"/>
      <c r="AI32" s="54"/>
      <c r="AJ32" s="54"/>
      <c r="AK32" s="118"/>
      <c r="AL32" s="164">
        <f>-(AL26+AD20)*0.5*0.226</f>
        <v>-19202.377228361987</v>
      </c>
      <c r="AM32" s="84"/>
      <c r="AN32" s="110"/>
    </row>
    <row r="33" spans="2:40" ht="14" customHeight="1">
      <c r="B33" s="398"/>
      <c r="C33" s="398"/>
      <c r="D33" s="398"/>
      <c r="E33" s="398"/>
      <c r="F33" s="398"/>
      <c r="G33" s="398"/>
      <c r="H33" s="398"/>
      <c r="K33" s="390" t="s">
        <v>26</v>
      </c>
      <c r="L33" s="392"/>
      <c r="M33" s="126"/>
      <c r="N33" s="256">
        <f>-L21</f>
        <v>-637000</v>
      </c>
      <c r="O33" s="54"/>
      <c r="P33" s="54"/>
      <c r="Q33" s="54"/>
      <c r="R33" s="54"/>
      <c r="S33" s="54"/>
      <c r="T33" s="54"/>
      <c r="U33" s="54"/>
      <c r="V33" s="83"/>
      <c r="W33" s="84"/>
      <c r="X33" s="84"/>
      <c r="Y33" s="15"/>
      <c r="AA33" s="443"/>
      <c r="AB33" s="444"/>
      <c r="AC33" s="117"/>
      <c r="AD33" s="46"/>
      <c r="AE33" s="54"/>
      <c r="AF33" s="54"/>
      <c r="AG33" s="54"/>
      <c r="AH33" s="54"/>
      <c r="AI33" s="54"/>
      <c r="AJ33" s="54"/>
      <c r="AK33" s="118"/>
      <c r="AL33" s="53"/>
      <c r="AM33" s="84"/>
      <c r="AN33" s="110"/>
    </row>
    <row r="34" spans="2:40" ht="17" thickBot="1">
      <c r="K34" s="390" t="s">
        <v>22</v>
      </c>
      <c r="L34" s="392"/>
      <c r="M34" s="126"/>
      <c r="N34" s="256">
        <v>-20000</v>
      </c>
      <c r="O34" s="54"/>
      <c r="P34" s="54"/>
      <c r="Q34" s="54"/>
      <c r="R34" s="56">
        <v>-30000</v>
      </c>
      <c r="S34" s="54"/>
      <c r="T34" s="54"/>
      <c r="U34" s="54"/>
      <c r="V34" s="83"/>
      <c r="W34" s="84"/>
      <c r="X34" s="84"/>
      <c r="Y34" s="15"/>
      <c r="AA34" s="483"/>
      <c r="AB34" s="484"/>
      <c r="AC34" s="130"/>
      <c r="AD34" s="131"/>
      <c r="AE34" s="132"/>
      <c r="AF34" s="132"/>
      <c r="AG34" s="132"/>
      <c r="AH34" s="132"/>
      <c r="AI34" s="132"/>
      <c r="AJ34" s="132"/>
      <c r="AK34" s="133"/>
      <c r="AL34" s="98"/>
      <c r="AM34" s="134"/>
      <c r="AN34" s="110"/>
    </row>
    <row r="35" spans="2:40">
      <c r="C35" s="415" t="s">
        <v>75</v>
      </c>
      <c r="D35" s="416"/>
      <c r="E35" s="415" t="s">
        <v>76</v>
      </c>
      <c r="F35" s="416"/>
      <c r="K35" s="480"/>
      <c r="L35" s="481"/>
      <c r="M35" s="126"/>
      <c r="N35" s="30"/>
      <c r="O35" s="338"/>
      <c r="P35" s="338"/>
      <c r="Q35" s="338"/>
      <c r="R35" s="338"/>
      <c r="S35" s="135"/>
      <c r="T35" s="338"/>
      <c r="U35" s="135"/>
      <c r="V35" s="136"/>
      <c r="W35" s="84"/>
      <c r="X35" s="84"/>
      <c r="Y35" s="15"/>
      <c r="AA35" s="485" t="s">
        <v>12</v>
      </c>
      <c r="AB35" s="486"/>
      <c r="AC35" s="137"/>
      <c r="AD35" s="138">
        <f>SUM(AD18:AD21)</f>
        <v>-1327000</v>
      </c>
      <c r="AE35" s="138">
        <f>AE16</f>
        <v>209793.56</v>
      </c>
      <c r="AF35" s="138">
        <f>AF16</f>
        <v>217194.06559999997</v>
      </c>
      <c r="AG35" s="138">
        <f>AG16</f>
        <v>214412.04537599999</v>
      </c>
      <c r="AH35" s="138">
        <f>AH16+AH21</f>
        <v>182166.98148096001</v>
      </c>
      <c r="AI35" s="138">
        <f>AI16</f>
        <v>325291.2605577216</v>
      </c>
      <c r="AJ35" s="138">
        <f>AJ16</f>
        <v>323821.56080421276</v>
      </c>
      <c r="AK35" s="138">
        <f>AK16</f>
        <v>322628.59490708419</v>
      </c>
      <c r="AL35" s="139">
        <f>SUM(AL16:AL32)</f>
        <v>1483700.8656724074</v>
      </c>
      <c r="AM35" s="140"/>
      <c r="AN35" s="110"/>
    </row>
    <row r="36" spans="2:40" ht="16" customHeight="1">
      <c r="C36" s="401" t="s">
        <v>61</v>
      </c>
      <c r="D36" s="404" t="s">
        <v>62</v>
      </c>
      <c r="E36" s="401" t="s">
        <v>61</v>
      </c>
      <c r="F36" s="404" t="s">
        <v>62</v>
      </c>
      <c r="K36" s="411" t="s">
        <v>23</v>
      </c>
      <c r="L36" s="412"/>
      <c r="M36" s="145"/>
      <c r="N36" s="146"/>
      <c r="O36" s="147"/>
      <c r="P36" s="147"/>
      <c r="Q36" s="147"/>
      <c r="R36" s="147"/>
      <c r="S36" s="147"/>
      <c r="T36" s="147"/>
      <c r="U36" s="147"/>
      <c r="V36" s="83"/>
      <c r="W36" s="84"/>
      <c r="X36" s="84"/>
      <c r="Y36" s="15"/>
      <c r="AA36" s="437" t="s">
        <v>28</v>
      </c>
      <c r="AB36" s="438"/>
      <c r="AC36" s="265">
        <v>8.5000000000000006E-2</v>
      </c>
      <c r="AD36" s="149">
        <f>(1+AC36)^0</f>
        <v>1</v>
      </c>
      <c r="AE36" s="149">
        <f>(1+AC36)^-1</f>
        <v>0.92165898617511521</v>
      </c>
      <c r="AF36" s="149">
        <f>(1+AC36)^-2</f>
        <v>0.84945528679734128</v>
      </c>
      <c r="AG36" s="149">
        <f>(1+AC36)^-3</f>
        <v>0.78290809843072917</v>
      </c>
      <c r="AH36" s="149">
        <f>(1+AC36)^-4</f>
        <v>0.72157428426795334</v>
      </c>
      <c r="AI36" s="149">
        <f>(1+AC36)^-5</f>
        <v>0.66504542328843619</v>
      </c>
      <c r="AJ36" s="149">
        <f>(1+AC36)^-6</f>
        <v>0.6129450905884205</v>
      </c>
      <c r="AK36" s="149">
        <f>(1+AC36)^-7</f>
        <v>0.56492635077273778</v>
      </c>
      <c r="AL36" s="150">
        <f>(1+AC36)^-8</f>
        <v>0.52066944771680901</v>
      </c>
      <c r="AM36" s="134"/>
      <c r="AN36" s="110"/>
    </row>
    <row r="37" spans="2:40" ht="14" customHeight="1" thickBot="1">
      <c r="C37" s="402"/>
      <c r="D37" s="405"/>
      <c r="E37" s="402"/>
      <c r="F37" s="405"/>
      <c r="K37" s="390" t="s">
        <v>24</v>
      </c>
      <c r="L37" s="392"/>
      <c r="M37" s="153"/>
      <c r="N37" s="114"/>
      <c r="O37" s="54"/>
      <c r="P37" s="54"/>
      <c r="Q37" s="54"/>
      <c r="R37" s="54"/>
      <c r="S37" s="54"/>
      <c r="T37" s="54"/>
      <c r="U37" s="54"/>
      <c r="V37" s="55">
        <f>M19</f>
        <v>233560</v>
      </c>
      <c r="W37" s="84"/>
      <c r="X37" s="110"/>
      <c r="Y37" s="15"/>
      <c r="AA37" s="487" t="s">
        <v>29</v>
      </c>
      <c r="AB37" s="488"/>
      <c r="AC37" s="154"/>
      <c r="AD37" s="155">
        <f>AD35*AD36</f>
        <v>-1327000</v>
      </c>
      <c r="AE37" s="155">
        <f t="shared" ref="AE37:AL37" si="11">AE35*AE36</f>
        <v>193358.11981566821</v>
      </c>
      <c r="AF37" s="155">
        <f t="shared" si="11"/>
        <v>184496.64728492853</v>
      </c>
      <c r="AG37" s="155">
        <f t="shared" si="11"/>
        <v>167864.92672596738</v>
      </c>
      <c r="AH37" s="155">
        <f t="shared" si="11"/>
        <v>131447.00927937723</v>
      </c>
      <c r="AI37" s="155">
        <f t="shared" si="11"/>
        <v>216333.46406963895</v>
      </c>
      <c r="AJ37" s="155">
        <f t="shared" si="11"/>
        <v>198484.83592162191</v>
      </c>
      <c r="AK37" s="155">
        <f t="shared" si="11"/>
        <v>182261.39477579496</v>
      </c>
      <c r="AL37" s="156">
        <f t="shared" si="11"/>
        <v>772517.71030660381</v>
      </c>
    </row>
    <row r="38" spans="2:40" ht="17" thickBot="1">
      <c r="C38" s="403"/>
      <c r="D38" s="406"/>
      <c r="E38" s="403"/>
      <c r="F38" s="406"/>
      <c r="K38" s="390" t="s">
        <v>25</v>
      </c>
      <c r="L38" s="392"/>
      <c r="M38" s="153"/>
      <c r="N38" s="114"/>
      <c r="O38" s="54"/>
      <c r="P38" s="54"/>
      <c r="Q38" s="54"/>
      <c r="R38" s="54"/>
      <c r="S38" s="54"/>
      <c r="T38" s="54"/>
      <c r="U38" s="54"/>
      <c r="V38" s="55">
        <f>M20</f>
        <v>120000</v>
      </c>
      <c r="W38" s="84"/>
      <c r="X38" s="110"/>
      <c r="Y38" s="15"/>
    </row>
    <row r="39" spans="2:40" ht="17" thickBot="1">
      <c r="C39" s="4">
        <v>12000</v>
      </c>
      <c r="D39" s="159">
        <v>0.3</v>
      </c>
      <c r="E39" s="4">
        <v>18000</v>
      </c>
      <c r="F39" s="159">
        <v>0.1</v>
      </c>
      <c r="K39" s="390" t="s">
        <v>26</v>
      </c>
      <c r="L39" s="392"/>
      <c r="M39" s="153"/>
      <c r="N39" s="114"/>
      <c r="O39" s="54"/>
      <c r="P39" s="54"/>
      <c r="Q39" s="54"/>
      <c r="R39" s="54"/>
      <c r="S39" s="54"/>
      <c r="T39" s="54"/>
      <c r="U39" s="54"/>
      <c r="V39" s="55">
        <f>M21</f>
        <v>806932.5418439114</v>
      </c>
      <c r="W39" s="84"/>
      <c r="X39" s="110"/>
      <c r="Y39" s="15"/>
      <c r="AB39" s="266" t="s">
        <v>33</v>
      </c>
      <c r="AC39" s="267">
        <f>SUM(AD37:AL37)</f>
        <v>719764.10817960091</v>
      </c>
    </row>
    <row r="40" spans="2:40">
      <c r="C40" s="4">
        <v>15000</v>
      </c>
      <c r="D40" s="159">
        <v>0.4</v>
      </c>
      <c r="E40" s="4">
        <v>23000</v>
      </c>
      <c r="F40" s="159">
        <v>0.35</v>
      </c>
      <c r="K40" s="390" t="s">
        <v>22</v>
      </c>
      <c r="L40" s="392"/>
      <c r="M40" s="153"/>
      <c r="N40" s="114"/>
      <c r="O40" s="54"/>
      <c r="P40" s="54"/>
      <c r="Q40" s="54"/>
      <c r="R40" s="54"/>
      <c r="S40" s="54"/>
      <c r="T40" s="54"/>
      <c r="U40" s="118"/>
      <c r="V40" s="164">
        <v>50000</v>
      </c>
      <c r="W40" s="84"/>
      <c r="X40" s="110"/>
      <c r="Y40" s="15"/>
      <c r="AC40" s="18"/>
    </row>
    <row r="41" spans="2:40">
      <c r="C41" s="4">
        <v>18000</v>
      </c>
      <c r="D41" s="159">
        <v>0.2</v>
      </c>
      <c r="E41" s="4">
        <v>27000</v>
      </c>
      <c r="F41" s="159">
        <v>0.3</v>
      </c>
      <c r="K41" s="407"/>
      <c r="L41" s="408"/>
      <c r="M41" s="153"/>
      <c r="N41" s="114"/>
      <c r="O41" s="54"/>
      <c r="P41" s="54"/>
      <c r="Q41" s="54"/>
      <c r="R41" s="54"/>
      <c r="S41" s="54"/>
      <c r="T41" s="54"/>
      <c r="U41" s="118"/>
      <c r="V41" s="83"/>
      <c r="W41" s="84"/>
      <c r="X41" s="84"/>
      <c r="Y41" s="15"/>
    </row>
    <row r="42" spans="2:40">
      <c r="C42" s="4">
        <v>21000</v>
      </c>
      <c r="D42" s="159">
        <v>0.1</v>
      </c>
      <c r="E42" s="4">
        <v>31000</v>
      </c>
      <c r="F42" s="159">
        <v>0.15</v>
      </c>
      <c r="K42" s="411" t="s">
        <v>12</v>
      </c>
      <c r="L42" s="424"/>
      <c r="M42" s="258"/>
      <c r="N42" s="167">
        <f>N31+N32+N33+N34</f>
        <v>-1327000</v>
      </c>
      <c r="O42" s="168">
        <f>O29</f>
        <v>259500</v>
      </c>
      <c r="P42" s="168">
        <f>P29</f>
        <v>259500</v>
      </c>
      <c r="Q42" s="168">
        <f t="shared" ref="Q42" si="12">Q29</f>
        <v>259500</v>
      </c>
      <c r="R42" s="168">
        <f>R29+R34</f>
        <v>229500</v>
      </c>
      <c r="S42" s="168">
        <f>S29</f>
        <v>408000</v>
      </c>
      <c r="T42" s="168">
        <f t="shared" ref="T42:U42" si="13">T29</f>
        <v>408000</v>
      </c>
      <c r="U42" s="168">
        <f t="shared" si="13"/>
        <v>408000</v>
      </c>
      <c r="V42" s="169">
        <f>V29+V37+V38+V39+V40</f>
        <v>1618492.5418439114</v>
      </c>
      <c r="W42" s="170"/>
      <c r="X42" s="170"/>
      <c r="Y42" s="15"/>
      <c r="AA42" s="452"/>
      <c r="AB42" s="452"/>
      <c r="AC42" s="268"/>
      <c r="AD42" s="268"/>
    </row>
    <row r="43" spans="2:40" ht="17" thickBot="1">
      <c r="C43" s="172"/>
      <c r="D43" s="173"/>
      <c r="E43" s="5">
        <v>34000</v>
      </c>
      <c r="F43" s="174">
        <v>0.1</v>
      </c>
      <c r="K43" s="390" t="s">
        <v>28</v>
      </c>
      <c r="L43" s="392"/>
      <c r="M43" s="536">
        <v>0.11</v>
      </c>
      <c r="N43" s="537">
        <f>(1+$M$43)^0</f>
        <v>1</v>
      </c>
      <c r="O43" s="149">
        <f>(1+$M$43)^-1</f>
        <v>0.9009009009009008</v>
      </c>
      <c r="P43" s="149">
        <f>(1+$M$43)^-2</f>
        <v>0.8116224332440547</v>
      </c>
      <c r="Q43" s="149">
        <f>(1+$M$43)^-3</f>
        <v>0.73119138130095018</v>
      </c>
      <c r="R43" s="149">
        <f>(1+$M$43)^-4</f>
        <v>0.65873097414500015</v>
      </c>
      <c r="S43" s="149">
        <f>(1+$M$43)^-5</f>
        <v>0.5934513280585586</v>
      </c>
      <c r="T43" s="149">
        <f>(1+$M$43)^-6</f>
        <v>0.53464083608879154</v>
      </c>
      <c r="U43" s="149">
        <f>(1+$M$43)^-7</f>
        <v>0.48165841089080319</v>
      </c>
      <c r="V43" s="150">
        <f>(1+$M$43)^-8</f>
        <v>0.43392649629802077</v>
      </c>
      <c r="W43" s="175"/>
      <c r="X43" s="175"/>
      <c r="Y43" s="15"/>
      <c r="AA43" s="269"/>
      <c r="AB43" s="270"/>
      <c r="AC43" s="271"/>
      <c r="AD43" s="272"/>
    </row>
    <row r="44" spans="2:40" ht="17" thickBot="1">
      <c r="F44" s="17"/>
      <c r="K44" s="425" t="s">
        <v>29</v>
      </c>
      <c r="L44" s="426"/>
      <c r="M44" s="257"/>
      <c r="N44" s="158">
        <f t="shared" ref="N44:U44" si="14">N42*N43</f>
        <v>-1327000</v>
      </c>
      <c r="O44" s="155">
        <f>O42*O43</f>
        <v>233783.78378378376</v>
      </c>
      <c r="P44" s="155">
        <f t="shared" si="14"/>
        <v>210616.02142683219</v>
      </c>
      <c r="Q44" s="155">
        <f t="shared" si="14"/>
        <v>189744.16344759657</v>
      </c>
      <c r="R44" s="155">
        <f t="shared" si="14"/>
        <v>151178.75856627754</v>
      </c>
      <c r="S44" s="155">
        <f t="shared" si="14"/>
        <v>242128.14184789191</v>
      </c>
      <c r="T44" s="155">
        <f t="shared" si="14"/>
        <v>218133.46112422695</v>
      </c>
      <c r="U44" s="155">
        <f t="shared" si="14"/>
        <v>196516.6316434477</v>
      </c>
      <c r="V44" s="156">
        <f>V42*V43</f>
        <v>702306.79796680622</v>
      </c>
      <c r="W44" s="134"/>
      <c r="X44" s="134"/>
      <c r="Y44" s="15"/>
      <c r="AA44" s="270"/>
      <c r="AB44" s="270"/>
      <c r="AC44" s="273"/>
      <c r="AD44" s="273"/>
    </row>
    <row r="45" spans="2:40" ht="16" customHeight="1" thickBot="1">
      <c r="B45" s="398" t="s">
        <v>162</v>
      </c>
      <c r="C45" s="398"/>
      <c r="D45" s="398"/>
      <c r="E45" s="398"/>
      <c r="F45" s="398"/>
      <c r="G45" s="398"/>
      <c r="H45" s="398"/>
      <c r="K45" s="388" t="s">
        <v>30</v>
      </c>
      <c r="L45" s="427"/>
      <c r="M45" s="428">
        <f>SUM(N44:V44)</f>
        <v>817407.7598068628</v>
      </c>
      <c r="N45" s="429"/>
      <c r="O45" s="110"/>
      <c r="P45" s="182"/>
      <c r="Q45" s="182"/>
      <c r="R45" s="182"/>
      <c r="S45" s="182"/>
      <c r="T45" s="182"/>
      <c r="U45" s="182"/>
      <c r="V45" s="182"/>
      <c r="W45" s="100"/>
      <c r="X45" s="100"/>
      <c r="Y45" s="15"/>
      <c r="AA45" s="270"/>
      <c r="AB45" s="270"/>
      <c r="AC45" s="274"/>
      <c r="AD45" s="274"/>
    </row>
    <row r="46" spans="2:40" ht="14" customHeight="1">
      <c r="B46" s="398"/>
      <c r="C46" s="398"/>
      <c r="D46" s="398"/>
      <c r="E46" s="398"/>
      <c r="F46" s="398"/>
      <c r="G46" s="398"/>
      <c r="H46" s="398"/>
      <c r="U46" s="100"/>
      <c r="V46" s="100"/>
      <c r="W46" s="100"/>
      <c r="X46" s="100"/>
      <c r="Y46" s="15"/>
      <c r="AA46" s="270"/>
      <c r="AB46" s="270"/>
      <c r="AC46" s="274"/>
      <c r="AD46" s="274"/>
    </row>
    <row r="47" spans="2:40" ht="14" customHeight="1" thickBot="1">
      <c r="B47" s="398"/>
      <c r="C47" s="398"/>
      <c r="D47" s="398"/>
      <c r="E47" s="398"/>
      <c r="F47" s="398"/>
      <c r="G47" s="398"/>
      <c r="H47" s="398"/>
      <c r="K47" s="430" t="s">
        <v>32</v>
      </c>
      <c r="L47" s="430"/>
      <c r="M47" s="184"/>
      <c r="N47" s="184"/>
      <c r="O47" s="100"/>
      <c r="Q47" s="99" t="s">
        <v>39</v>
      </c>
      <c r="U47" s="100"/>
      <c r="V47" s="100"/>
      <c r="W47" s="100"/>
      <c r="X47" s="100"/>
      <c r="Y47" s="15"/>
      <c r="AA47" s="270"/>
      <c r="AB47" s="270"/>
      <c r="AC47" s="271"/>
      <c r="AD47" s="271"/>
    </row>
    <row r="48" spans="2:40">
      <c r="B48" s="398"/>
      <c r="C48" s="398"/>
      <c r="D48" s="398"/>
      <c r="E48" s="398"/>
      <c r="F48" s="398"/>
      <c r="G48" s="398"/>
      <c r="H48" s="398"/>
      <c r="K48" s="463" t="s">
        <v>179</v>
      </c>
      <c r="L48" s="464"/>
      <c r="M48" s="465">
        <v>0.19431999999999999</v>
      </c>
      <c r="N48" s="466"/>
      <c r="O48" s="100"/>
      <c r="Q48" s="185" t="s">
        <v>40</v>
      </c>
      <c r="R48" s="186" t="s">
        <v>183</v>
      </c>
      <c r="S48" s="187" t="s">
        <v>186</v>
      </c>
      <c r="T48" s="100"/>
      <c r="U48" s="100"/>
      <c r="Y48" s="15"/>
      <c r="AA48" s="270"/>
      <c r="AB48" s="270"/>
      <c r="AC48" s="271"/>
      <c r="AD48" s="271"/>
    </row>
    <row r="49" spans="2:31" ht="16" customHeight="1" thickBot="1">
      <c r="B49" s="398" t="s">
        <v>163</v>
      </c>
      <c r="C49" s="398"/>
      <c r="D49" s="398"/>
      <c r="E49" s="398"/>
      <c r="F49" s="398"/>
      <c r="G49" s="398"/>
      <c r="H49" s="398"/>
      <c r="K49" s="467" t="s">
        <v>34</v>
      </c>
      <c r="L49" s="468"/>
      <c r="M49" s="418">
        <f>M45*M48</f>
        <v>158838.67588566957</v>
      </c>
      <c r="N49" s="419"/>
      <c r="O49" s="188"/>
      <c r="Q49" s="189">
        <v>0</v>
      </c>
      <c r="R49" s="190">
        <v>0</v>
      </c>
      <c r="S49" s="191">
        <f>-N44</f>
        <v>1327000</v>
      </c>
      <c r="T49" s="100"/>
      <c r="U49" s="100"/>
      <c r="Y49" s="15"/>
      <c r="AA49" s="270"/>
      <c r="AB49" s="270"/>
      <c r="AC49" s="271"/>
      <c r="AD49" s="271"/>
    </row>
    <row r="50" spans="2:31" ht="14" customHeight="1">
      <c r="B50" s="398"/>
      <c r="C50" s="398"/>
      <c r="D50" s="398"/>
      <c r="E50" s="398"/>
      <c r="F50" s="398"/>
      <c r="G50" s="398"/>
      <c r="H50" s="398"/>
      <c r="K50" s="192"/>
      <c r="L50" s="26"/>
      <c r="M50" s="193"/>
      <c r="N50" s="194"/>
      <c r="Q50" s="189">
        <v>1</v>
      </c>
      <c r="R50" s="190">
        <f>O44</f>
        <v>233783.78378378376</v>
      </c>
      <c r="S50" s="191">
        <f>S49-R50</f>
        <v>1093216.2162162163</v>
      </c>
      <c r="T50" s="100"/>
      <c r="Y50" s="15"/>
      <c r="AA50" s="270"/>
      <c r="AB50" s="270"/>
      <c r="AC50" s="271"/>
      <c r="AD50" s="271"/>
    </row>
    <row r="51" spans="2:31" ht="14" customHeight="1" thickBot="1">
      <c r="B51" s="398"/>
      <c r="C51" s="398"/>
      <c r="D51" s="398"/>
      <c r="E51" s="398"/>
      <c r="F51" s="398"/>
      <c r="G51" s="398"/>
      <c r="H51" s="398"/>
      <c r="K51" s="99" t="s">
        <v>37</v>
      </c>
      <c r="L51" s="99"/>
      <c r="M51" s="194"/>
      <c r="N51" s="194"/>
      <c r="O51" s="100"/>
      <c r="Q51" s="189">
        <v>2</v>
      </c>
      <c r="R51" s="190">
        <f>P44</f>
        <v>210616.02142683219</v>
      </c>
      <c r="S51" s="191">
        <f t="shared" ref="S51:S57" si="15">S50-R51</f>
        <v>882600.19478938414</v>
      </c>
      <c r="T51" s="100"/>
      <c r="Y51" s="15"/>
      <c r="AA51" s="270"/>
      <c r="AB51" s="270"/>
      <c r="AC51" s="271"/>
      <c r="AD51" s="271"/>
    </row>
    <row r="52" spans="2:31" ht="14" customHeight="1">
      <c r="B52" s="398"/>
      <c r="C52" s="398"/>
      <c r="D52" s="398"/>
      <c r="E52" s="398"/>
      <c r="F52" s="398"/>
      <c r="G52" s="398"/>
      <c r="H52" s="398"/>
      <c r="K52" s="197" t="s">
        <v>33</v>
      </c>
      <c r="L52" s="349">
        <f>M45</f>
        <v>817407.7598068628</v>
      </c>
      <c r="M52" s="350"/>
      <c r="N52" s="200"/>
      <c r="O52" s="100"/>
      <c r="Q52" s="189">
        <v>3</v>
      </c>
      <c r="R52" s="190">
        <f>Q44</f>
        <v>189744.16344759657</v>
      </c>
      <c r="S52" s="191">
        <f t="shared" si="15"/>
        <v>692856.03134178754</v>
      </c>
      <c r="T52" s="100"/>
      <c r="Y52" s="15"/>
    </row>
    <row r="53" spans="2:31" ht="17" thickBot="1">
      <c r="B53" s="398"/>
      <c r="C53" s="398"/>
      <c r="D53" s="398"/>
      <c r="E53" s="398"/>
      <c r="F53" s="398"/>
      <c r="G53" s="398"/>
      <c r="H53" s="398"/>
      <c r="K53" s="201" t="s">
        <v>35</v>
      </c>
      <c r="L53" s="345">
        <f>N31+N32+N33+N34+R34*R43</f>
        <v>-1346761.92922435</v>
      </c>
      <c r="M53" s="194"/>
      <c r="N53" s="202"/>
      <c r="O53" s="358"/>
      <c r="Q53" s="189">
        <v>4</v>
      </c>
      <c r="R53" s="190">
        <f>R44</f>
        <v>151178.75856627754</v>
      </c>
      <c r="S53" s="191">
        <f t="shared" si="15"/>
        <v>541677.27277550998</v>
      </c>
      <c r="T53" s="100"/>
      <c r="Y53" s="15"/>
    </row>
    <row r="54" spans="2:31" ht="17" thickBot="1">
      <c r="B54" s="398"/>
      <c r="C54" s="398"/>
      <c r="D54" s="398"/>
      <c r="E54" s="398"/>
      <c r="F54" s="398"/>
      <c r="G54" s="398"/>
      <c r="H54" s="398"/>
      <c r="K54" s="420" t="s">
        <v>36</v>
      </c>
      <c r="L54" s="421"/>
      <c r="M54" s="422">
        <f>(L52/-L53)+1</f>
        <v>1.6069430253924968</v>
      </c>
      <c r="N54" s="423"/>
      <c r="O54" s="188"/>
      <c r="Q54" s="189">
        <v>5</v>
      </c>
      <c r="R54" s="190">
        <f>S44</f>
        <v>242128.14184789191</v>
      </c>
      <c r="S54" s="191">
        <f t="shared" si="15"/>
        <v>299549.13092761807</v>
      </c>
      <c r="T54" s="100"/>
      <c r="Y54" s="15"/>
      <c r="AA54" s="203" t="s">
        <v>31</v>
      </c>
    </row>
    <row r="55" spans="2:31">
      <c r="Q55" s="189">
        <v>6</v>
      </c>
      <c r="R55" s="190">
        <f>T44</f>
        <v>218133.46112422695</v>
      </c>
      <c r="S55" s="191">
        <f t="shared" si="15"/>
        <v>81415.669803391123</v>
      </c>
      <c r="T55" s="100"/>
      <c r="Y55" s="15"/>
      <c r="AA55" s="204" t="s">
        <v>128</v>
      </c>
      <c r="AB55" s="205"/>
      <c r="AC55" s="365"/>
      <c r="AD55" s="366"/>
      <c r="AE55" s="207"/>
    </row>
    <row r="56" spans="2:31" ht="17" thickBot="1">
      <c r="B56" s="399" t="s">
        <v>86</v>
      </c>
      <c r="C56" s="400"/>
      <c r="D56" s="400"/>
      <c r="E56" s="400"/>
      <c r="F56" s="400"/>
      <c r="G56" s="400"/>
      <c r="H56" s="400"/>
      <c r="K56" s="208" t="s">
        <v>38</v>
      </c>
      <c r="L56" s="208"/>
      <c r="M56" s="209"/>
      <c r="N56" s="209"/>
      <c r="O56" s="100"/>
      <c r="Q56" s="189">
        <v>7</v>
      </c>
      <c r="R56" s="190">
        <f>U44</f>
        <v>196516.6316434477</v>
      </c>
      <c r="S56" s="191">
        <f t="shared" si="15"/>
        <v>-115100.96184005658</v>
      </c>
      <c r="T56" s="100"/>
      <c r="Y56" s="15"/>
      <c r="AA56" s="210">
        <v>25</v>
      </c>
      <c r="AB56" s="211" t="s">
        <v>33</v>
      </c>
      <c r="AC56" s="212">
        <v>719764.10817960091</v>
      </c>
      <c r="AD56" s="213"/>
      <c r="AE56" s="368"/>
    </row>
    <row r="57" spans="2:31" ht="17" thickBot="1">
      <c r="K57" s="204"/>
      <c r="L57" s="205" t="s">
        <v>33</v>
      </c>
      <c r="M57" s="355" t="s">
        <v>182</v>
      </c>
      <c r="N57" s="369"/>
      <c r="O57" s="207"/>
      <c r="P57" s="100"/>
      <c r="Q57" s="215">
        <v>8</v>
      </c>
      <c r="R57" s="216">
        <f>V44</f>
        <v>702306.79796680622</v>
      </c>
      <c r="S57" s="217">
        <f t="shared" si="15"/>
        <v>-817407.7598068628</v>
      </c>
      <c r="T57" s="100"/>
      <c r="Y57" s="15"/>
      <c r="AA57" s="210">
        <f>25*1.1</f>
        <v>27.500000000000004</v>
      </c>
      <c r="AB57" s="211" t="s">
        <v>33</v>
      </c>
      <c r="AC57" s="212">
        <v>935651.81234422699</v>
      </c>
      <c r="AD57" s="213"/>
      <c r="AE57" s="367"/>
    </row>
    <row r="58" spans="2:31">
      <c r="B58" s="7" t="s">
        <v>63</v>
      </c>
      <c r="K58" s="210" t="s">
        <v>43</v>
      </c>
      <c r="L58" s="352">
        <v>12464.912752459932</v>
      </c>
      <c r="M58" s="218">
        <v>0.22</v>
      </c>
      <c r="N58" s="213"/>
      <c r="O58" s="214"/>
      <c r="P58" s="218"/>
      <c r="Q58" s="356" t="s">
        <v>69</v>
      </c>
      <c r="R58" s="139" t="s">
        <v>70</v>
      </c>
      <c r="S58" s="54"/>
      <c r="T58" s="100"/>
      <c r="Y58" s="15"/>
      <c r="AA58" s="210"/>
      <c r="AB58" s="208"/>
      <c r="AC58" s="100"/>
      <c r="AD58" s="100"/>
      <c r="AE58" s="220"/>
    </row>
    <row r="59" spans="2:31" ht="17" thickBot="1">
      <c r="K59" s="210" t="s">
        <v>45</v>
      </c>
      <c r="L59" s="352">
        <v>-37307.617119209142</v>
      </c>
      <c r="M59" s="218">
        <v>0.23</v>
      </c>
      <c r="N59" s="213"/>
      <c r="O59" s="353"/>
      <c r="P59" s="218"/>
      <c r="Q59" s="221">
        <v>6</v>
      </c>
      <c r="R59" s="222">
        <f>S55/(R56)*365</f>
        <v>151.21732562643678</v>
      </c>
      <c r="S59" s="54"/>
      <c r="T59" s="188"/>
      <c r="Y59" s="15"/>
      <c r="AA59" s="210"/>
      <c r="AB59" s="208"/>
      <c r="AC59" s="100"/>
      <c r="AD59" s="209"/>
      <c r="AE59" s="220"/>
    </row>
    <row r="60" spans="2:31" ht="17" thickBot="1">
      <c r="B60" s="7" t="s">
        <v>109</v>
      </c>
      <c r="K60" s="210"/>
      <c r="L60" s="352"/>
      <c r="M60" s="218"/>
      <c r="N60" s="100"/>
      <c r="O60" s="370"/>
      <c r="P60" s="223"/>
      <c r="S60" s="224"/>
      <c r="Y60" s="15"/>
      <c r="AA60" s="225"/>
      <c r="AB60" s="182"/>
      <c r="AC60" s="469" t="s">
        <v>116</v>
      </c>
      <c r="AD60" s="470"/>
      <c r="AE60" s="226">
        <f>(AC57/AC56)-1</f>
        <v>0.2999423029173276</v>
      </c>
    </row>
    <row r="61" spans="2:31" ht="17" customHeight="1" thickBot="1">
      <c r="K61" s="210"/>
      <c r="L61" s="352"/>
      <c r="M61" s="218"/>
      <c r="N61" s="209"/>
      <c r="O61" s="354"/>
      <c r="P61" s="227"/>
      <c r="Y61" s="15"/>
      <c r="AA61" s="471" t="s">
        <v>200</v>
      </c>
      <c r="AB61" s="472"/>
      <c r="AC61" s="472"/>
      <c r="AD61" s="472"/>
      <c r="AE61" s="473"/>
    </row>
    <row r="62" spans="2:31" ht="17" thickBot="1">
      <c r="B62" s="453" t="s">
        <v>85</v>
      </c>
      <c r="C62" s="453"/>
      <c r="D62" s="453"/>
      <c r="E62" s="453"/>
      <c r="F62" s="453"/>
      <c r="G62" s="453"/>
      <c r="H62" s="453"/>
      <c r="K62" s="351"/>
      <c r="L62" s="229"/>
      <c r="M62" s="229"/>
      <c r="N62" s="230" t="s">
        <v>47</v>
      </c>
      <c r="O62" s="231">
        <f>M59+(L59/(L59-L58))*(M58-M59)</f>
        <v>0.22250437596493464</v>
      </c>
      <c r="P62" s="188"/>
      <c r="Y62" s="15"/>
      <c r="AA62" s="474"/>
      <c r="AB62" s="475"/>
      <c r="AC62" s="475"/>
      <c r="AD62" s="475"/>
      <c r="AE62" s="476"/>
    </row>
    <row r="63" spans="2:31" ht="17" thickBot="1">
      <c r="B63" s="453" t="s">
        <v>82</v>
      </c>
      <c r="C63" s="453"/>
      <c r="D63" s="453"/>
      <c r="E63" s="453"/>
      <c r="F63" s="453"/>
      <c r="G63" s="453"/>
      <c r="H63" s="453"/>
      <c r="K63" s="100"/>
      <c r="L63" s="100"/>
      <c r="M63" s="100"/>
      <c r="N63" s="209"/>
      <c r="O63" s="232"/>
      <c r="P63" s="100"/>
      <c r="Y63" s="15"/>
      <c r="AA63" s="477"/>
      <c r="AB63" s="478"/>
      <c r="AC63" s="478"/>
      <c r="AD63" s="478"/>
      <c r="AE63" s="479"/>
    </row>
    <row r="64" spans="2:31">
      <c r="B64" s="453" t="s">
        <v>118</v>
      </c>
      <c r="C64" s="453"/>
      <c r="D64" s="453"/>
      <c r="E64" s="453"/>
      <c r="F64" s="453"/>
      <c r="G64" s="453"/>
      <c r="H64" s="453"/>
      <c r="Y64" s="15"/>
    </row>
    <row r="65" spans="2:25" ht="17" thickBot="1">
      <c r="B65" s="453" t="s">
        <v>83</v>
      </c>
      <c r="C65" s="453"/>
      <c r="D65" s="453"/>
      <c r="E65" s="453"/>
      <c r="F65" s="453"/>
      <c r="G65" s="453"/>
      <c r="H65" s="453"/>
      <c r="K65" s="99" t="s">
        <v>184</v>
      </c>
      <c r="L65" s="100"/>
      <c r="M65" s="100"/>
      <c r="N65" s="100"/>
      <c r="O65" s="100"/>
      <c r="P65" s="100"/>
      <c r="Q65" s="100"/>
      <c r="R65" s="100"/>
      <c r="S65" s="100"/>
      <c r="T65" s="100"/>
      <c r="U65" s="100"/>
      <c r="Y65" s="15"/>
    </row>
    <row r="66" spans="2:25" ht="16" customHeight="1">
      <c r="B66" s="449" t="s">
        <v>119</v>
      </c>
      <c r="C66" s="449"/>
      <c r="D66" s="449"/>
      <c r="E66" s="449"/>
      <c r="F66" s="449"/>
      <c r="G66" s="449"/>
      <c r="H66" s="449"/>
      <c r="K66" s="197" t="s">
        <v>48</v>
      </c>
      <c r="L66" s="206"/>
      <c r="M66" s="233">
        <v>0.1</v>
      </c>
      <c r="N66" s="198"/>
      <c r="O66" s="198"/>
      <c r="P66" s="198"/>
      <c r="Q66" s="198"/>
      <c r="R66" s="198"/>
      <c r="S66" s="198"/>
      <c r="T66" s="198"/>
      <c r="U66" s="198"/>
      <c r="V66" s="198"/>
      <c r="W66" s="207"/>
      <c r="Y66" s="15"/>
    </row>
    <row r="67" spans="2:25">
      <c r="B67" s="449"/>
      <c r="C67" s="449"/>
      <c r="D67" s="449"/>
      <c r="E67" s="449"/>
      <c r="F67" s="449"/>
      <c r="G67" s="449"/>
      <c r="H67" s="449"/>
      <c r="K67" s="201" t="s">
        <v>2</v>
      </c>
      <c r="L67" s="209"/>
      <c r="M67" s="234">
        <v>0.11</v>
      </c>
      <c r="N67" s="100"/>
      <c r="O67" s="100"/>
      <c r="P67" s="100"/>
      <c r="Q67" s="100"/>
      <c r="R67" s="100"/>
      <c r="S67" s="100"/>
      <c r="T67" s="100"/>
      <c r="U67" s="100"/>
      <c r="V67" s="100"/>
      <c r="W67" s="220"/>
      <c r="Y67" s="15"/>
    </row>
    <row r="68" spans="2:25">
      <c r="B68" s="453" t="s">
        <v>84</v>
      </c>
      <c r="C68" s="453"/>
      <c r="D68" s="453"/>
      <c r="E68" s="453"/>
      <c r="F68" s="453"/>
      <c r="G68" s="453"/>
      <c r="H68" s="453"/>
      <c r="K68" s="201"/>
      <c r="L68" s="209"/>
      <c r="M68" s="235">
        <v>0</v>
      </c>
      <c r="N68" s="99">
        <v>1</v>
      </c>
      <c r="O68" s="99">
        <v>2</v>
      </c>
      <c r="P68" s="99">
        <v>3</v>
      </c>
      <c r="Q68" s="99">
        <v>4</v>
      </c>
      <c r="R68" s="99">
        <v>5</v>
      </c>
      <c r="S68" s="99">
        <v>6</v>
      </c>
      <c r="T68" s="99">
        <v>7</v>
      </c>
      <c r="U68" s="99">
        <v>8</v>
      </c>
      <c r="V68" s="99"/>
      <c r="W68" s="236"/>
      <c r="Y68" s="15"/>
    </row>
    <row r="69" spans="2:25">
      <c r="B69" s="453" t="s">
        <v>87</v>
      </c>
      <c r="C69" s="453"/>
      <c r="D69" s="453"/>
      <c r="E69" s="453"/>
      <c r="F69" s="453"/>
      <c r="G69" s="453"/>
      <c r="H69" s="453"/>
      <c r="K69" s="237"/>
      <c r="L69" s="359" t="s">
        <v>187</v>
      </c>
      <c r="M69" s="227">
        <v>0</v>
      </c>
      <c r="N69" s="238">
        <f t="shared" ref="N69:U69" si="16">O29</f>
        <v>259500</v>
      </c>
      <c r="O69" s="238">
        <f t="shared" si="16"/>
        <v>259500</v>
      </c>
      <c r="P69" s="238">
        <f t="shared" si="16"/>
        <v>259500</v>
      </c>
      <c r="Q69" s="238">
        <f t="shared" si="16"/>
        <v>259500</v>
      </c>
      <c r="R69" s="238">
        <f t="shared" si="16"/>
        <v>408000</v>
      </c>
      <c r="S69" s="238">
        <f t="shared" si="16"/>
        <v>408000</v>
      </c>
      <c r="T69" s="238">
        <f t="shared" si="16"/>
        <v>408000</v>
      </c>
      <c r="U69" s="238">
        <f t="shared" si="16"/>
        <v>408000</v>
      </c>
      <c r="V69" s="238"/>
      <c r="W69" s="239"/>
      <c r="Y69" s="15"/>
    </row>
    <row r="70" spans="2:25">
      <c r="B70" s="453" t="s">
        <v>56</v>
      </c>
      <c r="C70" s="453"/>
      <c r="D70" s="453"/>
      <c r="E70" s="453"/>
      <c r="F70" s="453"/>
      <c r="G70" s="453"/>
      <c r="H70" s="453"/>
      <c r="K70" s="237"/>
      <c r="L70" s="359" t="s">
        <v>188</v>
      </c>
      <c r="M70" s="227">
        <f>N42</f>
        <v>-1327000</v>
      </c>
      <c r="N70" s="227">
        <v>0</v>
      </c>
      <c r="O70" s="227">
        <v>0</v>
      </c>
      <c r="P70" s="227">
        <v>0</v>
      </c>
      <c r="Q70" s="227">
        <f>R34</f>
        <v>-30000</v>
      </c>
      <c r="R70" s="227">
        <v>0</v>
      </c>
      <c r="S70" s="227">
        <v>0</v>
      </c>
      <c r="T70" s="227">
        <v>0</v>
      </c>
      <c r="U70" s="227">
        <f>V37+V38+V39+V40</f>
        <v>1210492.5418439114</v>
      </c>
      <c r="V70" s="227"/>
      <c r="W70" s="214"/>
      <c r="Y70" s="15"/>
    </row>
    <row r="71" spans="2:25">
      <c r="K71" s="237"/>
      <c r="L71" s="360" t="s">
        <v>189</v>
      </c>
      <c r="M71" s="259">
        <f>SUM(M69:M70)</f>
        <v>-1327000</v>
      </c>
      <c r="N71" s="259">
        <f t="shared" ref="N71:U71" si="17">SUM(N69:N70)</f>
        <v>259500</v>
      </c>
      <c r="O71" s="259">
        <f t="shared" si="17"/>
        <v>259500</v>
      </c>
      <c r="P71" s="259">
        <f t="shared" si="17"/>
        <v>259500</v>
      </c>
      <c r="Q71" s="259">
        <f t="shared" si="17"/>
        <v>229500</v>
      </c>
      <c r="R71" s="259">
        <f t="shared" si="17"/>
        <v>408000</v>
      </c>
      <c r="S71" s="259">
        <f t="shared" si="17"/>
        <v>408000</v>
      </c>
      <c r="T71" s="259">
        <f t="shared" si="17"/>
        <v>408000</v>
      </c>
      <c r="U71" s="259">
        <f t="shared" si="17"/>
        <v>1618492.5418439114</v>
      </c>
      <c r="V71" s="100"/>
      <c r="W71" s="220"/>
      <c r="Y71" s="15"/>
    </row>
    <row r="72" spans="2:25">
      <c r="B72" s="7" t="s">
        <v>107</v>
      </c>
      <c r="K72" s="237"/>
      <c r="L72" s="362"/>
      <c r="M72" s="100"/>
      <c r="N72" s="100"/>
      <c r="O72" s="100"/>
      <c r="P72" s="100"/>
      <c r="Q72" s="100"/>
      <c r="R72" s="209"/>
      <c r="S72" s="209"/>
      <c r="T72" s="209"/>
      <c r="U72" s="100"/>
      <c r="V72" s="100"/>
      <c r="W72" s="220"/>
      <c r="Y72" s="15"/>
    </row>
    <row r="73" spans="2:25">
      <c r="B73" s="8" t="s">
        <v>8</v>
      </c>
      <c r="K73" s="237"/>
      <c r="L73" s="371" t="s">
        <v>197</v>
      </c>
      <c r="M73" s="358">
        <v>2.48685</v>
      </c>
      <c r="N73" s="361"/>
      <c r="O73" s="100"/>
      <c r="P73" s="361" t="s">
        <v>51</v>
      </c>
      <c r="Q73" s="227">
        <f>-M71</f>
        <v>1327000</v>
      </c>
      <c r="R73" s="100"/>
      <c r="S73" s="100"/>
      <c r="T73" s="100"/>
      <c r="U73" s="100"/>
      <c r="V73" s="100"/>
      <c r="W73" s="220"/>
      <c r="Y73" s="15"/>
    </row>
    <row r="74" spans="2:25" ht="17" thickBot="1">
      <c r="B74" s="8" t="s">
        <v>110</v>
      </c>
      <c r="K74" s="237"/>
      <c r="L74" s="371" t="s">
        <v>198</v>
      </c>
      <c r="M74" s="358">
        <v>2.1435900000000001</v>
      </c>
      <c r="N74" s="361"/>
      <c r="O74" s="100"/>
      <c r="P74" s="361" t="s">
        <v>50</v>
      </c>
      <c r="Q74" s="227">
        <f>N71*M73*M74+(Q71)*M75+R71*M73*M75+U71</f>
        <v>4823369.4749181615</v>
      </c>
      <c r="R74" s="100"/>
      <c r="S74" s="100"/>
      <c r="T74" s="100"/>
      <c r="U74" s="100"/>
      <c r="V74" s="100"/>
      <c r="W74" s="220"/>
      <c r="Y74" s="15"/>
    </row>
    <row r="75" spans="2:25" ht="17" customHeight="1" thickBot="1">
      <c r="B75" s="448" t="s">
        <v>111</v>
      </c>
      <c r="C75" s="449"/>
      <c r="D75" s="449"/>
      <c r="E75" s="449"/>
      <c r="F75" s="449"/>
      <c r="G75" s="449"/>
      <c r="H75" s="449"/>
      <c r="K75" s="228"/>
      <c r="L75" s="372" t="s">
        <v>199</v>
      </c>
      <c r="M75" s="229">
        <v>1.4641</v>
      </c>
      <c r="N75" s="229"/>
      <c r="O75" s="229"/>
      <c r="P75" s="229"/>
      <c r="Q75" s="229"/>
      <c r="R75" s="229"/>
      <c r="S75" s="229"/>
      <c r="T75" s="229"/>
      <c r="U75" s="229"/>
      <c r="V75" s="241" t="s">
        <v>52</v>
      </c>
      <c r="W75" s="231">
        <f>((Q74/Q73)^(1/8))-1</f>
        <v>0.17505975157644227</v>
      </c>
      <c r="X75" s="188"/>
      <c r="Y75" s="15"/>
    </row>
    <row r="76" spans="2:25">
      <c r="B76" s="449"/>
      <c r="C76" s="449"/>
      <c r="D76" s="449"/>
      <c r="E76" s="449"/>
      <c r="F76" s="449"/>
      <c r="G76" s="449"/>
      <c r="H76" s="449"/>
      <c r="W76" s="242"/>
      <c r="Y76" s="15"/>
    </row>
    <row r="77" spans="2:25">
      <c r="B77" s="364" t="s">
        <v>191</v>
      </c>
      <c r="Y77" s="15"/>
    </row>
    <row r="78" spans="2:25" ht="17" thickBot="1">
      <c r="B78" s="450" t="s">
        <v>192</v>
      </c>
      <c r="C78" s="451"/>
      <c r="D78" s="451"/>
      <c r="E78" s="451"/>
      <c r="F78" s="451"/>
      <c r="G78" s="451"/>
      <c r="H78" s="451"/>
      <c r="K78" s="208" t="s">
        <v>88</v>
      </c>
      <c r="L78" s="208"/>
      <c r="M78" s="209"/>
      <c r="N78" s="209"/>
      <c r="O78" s="100"/>
      <c r="Y78" s="15"/>
    </row>
    <row r="79" spans="2:25">
      <c r="B79" s="451"/>
      <c r="C79" s="451"/>
      <c r="D79" s="451"/>
      <c r="E79" s="451"/>
      <c r="F79" s="451"/>
      <c r="G79" s="451"/>
      <c r="H79" s="451"/>
      <c r="K79" s="454" t="s">
        <v>201</v>
      </c>
      <c r="L79" s="455"/>
      <c r="M79" s="455"/>
      <c r="N79" s="455"/>
      <c r="O79" s="455"/>
      <c r="P79" s="455"/>
      <c r="Q79" s="456"/>
      <c r="Y79" s="15"/>
    </row>
    <row r="80" spans="2:25" ht="16" customHeight="1">
      <c r="B80" s="450" t="s">
        <v>193</v>
      </c>
      <c r="C80" s="451"/>
      <c r="D80" s="451"/>
      <c r="E80" s="451"/>
      <c r="F80" s="451"/>
      <c r="G80" s="451"/>
      <c r="H80" s="451"/>
      <c r="K80" s="457"/>
      <c r="L80" s="458"/>
      <c r="M80" s="458"/>
      <c r="N80" s="458"/>
      <c r="O80" s="458"/>
      <c r="P80" s="458"/>
      <c r="Q80" s="459"/>
      <c r="Y80" s="15"/>
    </row>
    <row r="81" spans="2:25" ht="14" customHeight="1">
      <c r="B81" s="451"/>
      <c r="C81" s="451"/>
      <c r="D81" s="451"/>
      <c r="E81" s="451"/>
      <c r="F81" s="451"/>
      <c r="G81" s="451"/>
      <c r="H81" s="451"/>
      <c r="K81" s="457"/>
      <c r="L81" s="458"/>
      <c r="M81" s="458"/>
      <c r="N81" s="458"/>
      <c r="O81" s="458"/>
      <c r="P81" s="458"/>
      <c r="Q81" s="459"/>
      <c r="Y81" s="15"/>
    </row>
    <row r="82" spans="2:25" ht="15" customHeight="1" thickBot="1">
      <c r="B82" s="451"/>
      <c r="C82" s="451"/>
      <c r="D82" s="451"/>
      <c r="E82" s="451"/>
      <c r="F82" s="451"/>
      <c r="G82" s="451"/>
      <c r="H82" s="451"/>
      <c r="K82" s="460"/>
      <c r="L82" s="461"/>
      <c r="M82" s="461"/>
      <c r="N82" s="461"/>
      <c r="O82" s="461"/>
      <c r="P82" s="461"/>
      <c r="Q82" s="462"/>
      <c r="Y82" s="15"/>
    </row>
    <row r="83" spans="2:25">
      <c r="B83" s="451"/>
      <c r="C83" s="451"/>
      <c r="D83" s="451"/>
      <c r="E83" s="451"/>
      <c r="F83" s="451"/>
      <c r="G83" s="451"/>
      <c r="H83" s="451"/>
      <c r="K83" s="192"/>
      <c r="L83" s="192"/>
      <c r="M83" s="84"/>
      <c r="N83" s="243"/>
      <c r="O83" s="84"/>
      <c r="P83" s="227"/>
    </row>
    <row r="84" spans="2:25">
      <c r="K84" s="84"/>
      <c r="L84" s="84"/>
      <c r="M84" s="84"/>
      <c r="N84" s="26"/>
      <c r="O84" s="244"/>
      <c r="P84" s="188"/>
    </row>
    <row r="85" spans="2:25">
      <c r="B85" s="8" t="s">
        <v>31</v>
      </c>
      <c r="K85" s="100"/>
      <c r="L85" s="100"/>
      <c r="M85" s="100"/>
      <c r="N85" s="209"/>
      <c r="O85" s="232"/>
      <c r="P85" s="100"/>
    </row>
    <row r="86" spans="2:25">
      <c r="B86" s="447" t="s">
        <v>115</v>
      </c>
      <c r="C86" s="447"/>
      <c r="D86" s="447"/>
      <c r="E86" s="447"/>
      <c r="F86" s="447"/>
      <c r="G86" s="447"/>
      <c r="H86" s="447"/>
      <c r="I86" s="447"/>
    </row>
    <row r="87" spans="2:25">
      <c r="B87" s="447"/>
      <c r="C87" s="447"/>
      <c r="D87" s="447"/>
      <c r="E87" s="447"/>
      <c r="F87" s="447"/>
      <c r="G87" s="447"/>
      <c r="H87" s="447"/>
      <c r="I87" s="447"/>
    </row>
    <row r="88" spans="2:25">
      <c r="X88" s="100"/>
    </row>
    <row r="89" spans="2:25">
      <c r="S89" s="100"/>
      <c r="T89" s="100"/>
      <c r="U89" s="100"/>
    </row>
    <row r="90" spans="2:25">
      <c r="S90" s="100"/>
      <c r="T90" s="100"/>
      <c r="U90" s="100"/>
    </row>
    <row r="91" spans="2:25">
      <c r="S91" s="100"/>
      <c r="T91" s="100"/>
      <c r="U91" s="100"/>
    </row>
    <row r="92" spans="2:25">
      <c r="S92" s="100"/>
      <c r="T92" s="100"/>
      <c r="U92" s="100"/>
    </row>
    <row r="93" spans="2:25">
      <c r="S93" s="100"/>
      <c r="T93" s="100"/>
      <c r="U93" s="100"/>
    </row>
    <row r="94" spans="2:25">
      <c r="S94" s="100"/>
      <c r="T94" s="100"/>
      <c r="U94" s="100"/>
    </row>
    <row r="95" spans="2:25">
      <c r="Q95" s="100"/>
      <c r="R95" s="100"/>
      <c r="S95" s="100"/>
      <c r="T95" s="100"/>
      <c r="U95" s="100"/>
    </row>
    <row r="111" spans="2:2">
      <c r="B111" s="7"/>
    </row>
  </sheetData>
  <mergeCells count="97">
    <mergeCell ref="AC60:AD60"/>
    <mergeCell ref="AA61:AE63"/>
    <mergeCell ref="B66:H67"/>
    <mergeCell ref="K35:L35"/>
    <mergeCell ref="B2:F2"/>
    <mergeCell ref="G2:H2"/>
    <mergeCell ref="AA30:AB30"/>
    <mergeCell ref="AA31:AB31"/>
    <mergeCell ref="AA32:AB32"/>
    <mergeCell ref="AA34:AB34"/>
    <mergeCell ref="AA35:AB35"/>
    <mergeCell ref="AA36:AB36"/>
    <mergeCell ref="AA37:AB37"/>
    <mergeCell ref="AA22:AB22"/>
    <mergeCell ref="AA28:AB28"/>
    <mergeCell ref="AA27:AB27"/>
    <mergeCell ref="B86:I87"/>
    <mergeCell ref="B75:H76"/>
    <mergeCell ref="B78:H79"/>
    <mergeCell ref="B80:H83"/>
    <mergeCell ref="AA42:AB42"/>
    <mergeCell ref="B62:H62"/>
    <mergeCell ref="B64:H64"/>
    <mergeCell ref="B65:H65"/>
    <mergeCell ref="B68:H68"/>
    <mergeCell ref="K79:Q82"/>
    <mergeCell ref="B69:H69"/>
    <mergeCell ref="B70:H70"/>
    <mergeCell ref="B63:H63"/>
    <mergeCell ref="K48:L48"/>
    <mergeCell ref="M48:N48"/>
    <mergeCell ref="K49:L49"/>
    <mergeCell ref="AA29:AB29"/>
    <mergeCell ref="AA33:AB33"/>
    <mergeCell ref="AA20:AB20"/>
    <mergeCell ref="AA21:AB21"/>
    <mergeCell ref="AA23:AB23"/>
    <mergeCell ref="AA24:AB24"/>
    <mergeCell ref="AA25:AB25"/>
    <mergeCell ref="AA26:AB26"/>
    <mergeCell ref="AA16:AB16"/>
    <mergeCell ref="AA17:AB17"/>
    <mergeCell ref="AA18:AB18"/>
    <mergeCell ref="AA19:AB19"/>
    <mergeCell ref="AA10:AB10"/>
    <mergeCell ref="AA11:AB11"/>
    <mergeCell ref="AA12:AB12"/>
    <mergeCell ref="AA13:AB13"/>
    <mergeCell ref="AA14:AB14"/>
    <mergeCell ref="AA15:AB15"/>
    <mergeCell ref="AA5:AB5"/>
    <mergeCell ref="AA6:AB6"/>
    <mergeCell ref="AA7:AB7"/>
    <mergeCell ref="AA8:AB8"/>
    <mergeCell ref="AA9:AB9"/>
    <mergeCell ref="K38:L38"/>
    <mergeCell ref="K39:L39"/>
    <mergeCell ref="K40:L40"/>
    <mergeCell ref="M49:N49"/>
    <mergeCell ref="K54:L54"/>
    <mergeCell ref="M54:N54"/>
    <mergeCell ref="K42:L42"/>
    <mergeCell ref="K43:L43"/>
    <mergeCell ref="K44:L44"/>
    <mergeCell ref="K45:L45"/>
    <mergeCell ref="M45:N45"/>
    <mergeCell ref="K47:L47"/>
    <mergeCell ref="E1:F1"/>
    <mergeCell ref="C35:D35"/>
    <mergeCell ref="E35:F35"/>
    <mergeCell ref="B24:H28"/>
    <mergeCell ref="B17:H19"/>
    <mergeCell ref="B29:H33"/>
    <mergeCell ref="B3:H10"/>
    <mergeCell ref="B11:H16"/>
    <mergeCell ref="B20:H23"/>
    <mergeCell ref="K29:M29"/>
    <mergeCell ref="B45:H48"/>
    <mergeCell ref="B49:H54"/>
    <mergeCell ref="B56:H56"/>
    <mergeCell ref="C36:C38"/>
    <mergeCell ref="E36:E38"/>
    <mergeCell ref="D36:D38"/>
    <mergeCell ref="F36:F38"/>
    <mergeCell ref="K41:L41"/>
    <mergeCell ref="K30:L30"/>
    <mergeCell ref="K31:L31"/>
    <mergeCell ref="K32:L32"/>
    <mergeCell ref="K33:L33"/>
    <mergeCell ref="K34:L34"/>
    <mergeCell ref="K36:L36"/>
    <mergeCell ref="K37:L37"/>
    <mergeCell ref="K24:L24"/>
    <mergeCell ref="K25:L25"/>
    <mergeCell ref="K26:L26"/>
    <mergeCell ref="K27:L27"/>
    <mergeCell ref="K28:L28"/>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DAEC4-F635-254F-8F49-E804C725DCAD}">
  <dimension ref="B1:BB112"/>
  <sheetViews>
    <sheetView topLeftCell="B71" workbookViewId="0">
      <selection activeCell="T109" sqref="T109"/>
    </sheetView>
  </sheetViews>
  <sheetFormatPr baseColWidth="10" defaultRowHeight="16"/>
  <cols>
    <col min="1" max="2" width="10.83203125" style="8"/>
    <col min="3" max="3" width="11" style="8" bestFit="1" customWidth="1"/>
    <col min="4" max="4" width="12.33203125" style="8" customWidth="1"/>
    <col min="5" max="5" width="11" style="8" bestFit="1" customWidth="1"/>
    <col min="6" max="6" width="11.83203125" style="8" customWidth="1"/>
    <col min="7" max="7" width="10.83203125" style="8"/>
    <col min="8" max="8" width="12.5" style="8" customWidth="1"/>
    <col min="9" max="10" width="10.83203125" style="8"/>
    <col min="11" max="11" width="17.6640625" style="8" customWidth="1"/>
    <col min="12" max="12" width="13.5" style="8" bestFit="1" customWidth="1"/>
    <col min="13" max="13" width="21" style="8" customWidth="1"/>
    <col min="14" max="14" width="13" style="8" customWidth="1"/>
    <col min="15" max="15" width="12.33203125" style="8" bestFit="1" customWidth="1"/>
    <col min="16" max="16" width="15" style="8" bestFit="1" customWidth="1"/>
    <col min="17" max="17" width="12.33203125" style="8" bestFit="1" customWidth="1"/>
    <col min="18" max="18" width="15.33203125" style="8" bestFit="1" customWidth="1"/>
    <col min="19" max="19" width="13" style="8" bestFit="1" customWidth="1"/>
    <col min="20" max="20" width="20.5" style="8" bestFit="1" customWidth="1"/>
    <col min="21" max="21" width="12" style="8" customWidth="1"/>
    <col min="22" max="22" width="12.33203125" style="8" bestFit="1" customWidth="1"/>
    <col min="23" max="23" width="11" style="8" bestFit="1" customWidth="1"/>
    <col min="24" max="24" width="10.83203125" style="8"/>
    <col min="25" max="25" width="4" style="8" customWidth="1"/>
    <col min="26" max="27" width="10.83203125" style="8"/>
    <col min="28" max="28" width="31.1640625" style="8" customWidth="1"/>
    <col min="29" max="29" width="13.33203125" style="8" bestFit="1" customWidth="1"/>
    <col min="30" max="30" width="13" style="8" bestFit="1" customWidth="1"/>
    <col min="31" max="31" width="11" style="8" bestFit="1" customWidth="1"/>
    <col min="32" max="33" width="11.33203125" style="8" bestFit="1" customWidth="1"/>
    <col min="34" max="37" width="11" style="8" bestFit="1" customWidth="1"/>
    <col min="38" max="38" width="12.33203125" style="8" bestFit="1" customWidth="1"/>
    <col min="39" max="44" width="10.83203125" style="8"/>
    <col min="45" max="45" width="11" style="8" bestFit="1" customWidth="1"/>
    <col min="46" max="46" width="13" style="8" bestFit="1" customWidth="1"/>
    <col min="47" max="54" width="12.6640625" style="8" bestFit="1" customWidth="1"/>
    <col min="55" max="16384" width="10.83203125" style="8"/>
  </cols>
  <sheetData>
    <row r="1" spans="2:54">
      <c r="B1" s="9" t="s">
        <v>0</v>
      </c>
      <c r="C1" s="10"/>
      <c r="D1" s="11" t="s">
        <v>4</v>
      </c>
      <c r="E1" s="494"/>
      <c r="F1" s="414"/>
      <c r="G1" s="12" t="s">
        <v>5</v>
      </c>
      <c r="H1" s="13"/>
      <c r="I1" s="14" t="s">
        <v>6</v>
      </c>
      <c r="J1" s="14"/>
      <c r="Y1" s="15"/>
    </row>
    <row r="2" spans="2:54">
      <c r="B2" s="482" t="s">
        <v>120</v>
      </c>
      <c r="C2" s="482"/>
      <c r="D2" s="482"/>
      <c r="E2" s="482"/>
      <c r="F2" s="482"/>
      <c r="G2" s="482" t="s">
        <v>121</v>
      </c>
      <c r="H2" s="482"/>
      <c r="I2" s="16"/>
      <c r="K2" s="7" t="s">
        <v>89</v>
      </c>
      <c r="Y2" s="15"/>
      <c r="AA2" s="7" t="s">
        <v>90</v>
      </c>
      <c r="AE2" s="8" t="s">
        <v>128</v>
      </c>
      <c r="AF2" s="289">
        <v>25</v>
      </c>
      <c r="AQ2" s="7" t="s">
        <v>90</v>
      </c>
      <c r="AT2" s="8" t="s">
        <v>108</v>
      </c>
      <c r="AW2" s="17">
        <v>0.1</v>
      </c>
    </row>
    <row r="3" spans="2:54" ht="16" customHeight="1">
      <c r="B3" s="398" t="s">
        <v>59</v>
      </c>
      <c r="C3" s="398"/>
      <c r="D3" s="398"/>
      <c r="E3" s="398"/>
      <c r="F3" s="398"/>
      <c r="G3" s="398"/>
      <c r="H3" s="398"/>
      <c r="Y3" s="15"/>
    </row>
    <row r="4" spans="2:54" ht="14" customHeight="1" thickBot="1">
      <c r="B4" s="398"/>
      <c r="C4" s="398"/>
      <c r="D4" s="398"/>
      <c r="E4" s="398"/>
      <c r="F4" s="398"/>
      <c r="G4" s="398"/>
      <c r="H4" s="398"/>
      <c r="K4" s="7" t="s">
        <v>8</v>
      </c>
      <c r="Y4" s="15"/>
      <c r="AA4" s="7" t="s">
        <v>8</v>
      </c>
      <c r="AF4" s="8">
        <v>19</v>
      </c>
    </row>
    <row r="5" spans="2:54" ht="14" customHeight="1" thickBot="1">
      <c r="B5" s="398"/>
      <c r="C5" s="398"/>
      <c r="D5" s="398"/>
      <c r="E5" s="398"/>
      <c r="F5" s="398"/>
      <c r="G5" s="398"/>
      <c r="H5" s="398"/>
      <c r="K5" s="19"/>
      <c r="L5" s="20" t="s">
        <v>57</v>
      </c>
      <c r="M5" s="20"/>
      <c r="N5" s="20"/>
      <c r="O5" s="20"/>
      <c r="P5" s="20" t="s">
        <v>66</v>
      </c>
      <c r="Q5" s="21" t="s">
        <v>68</v>
      </c>
      <c r="Y5" s="15"/>
      <c r="AA5" s="431" t="s">
        <v>1</v>
      </c>
      <c r="AB5" s="495"/>
      <c r="AC5" s="22" t="s">
        <v>3</v>
      </c>
      <c r="AD5" s="23">
        <v>0</v>
      </c>
      <c r="AE5" s="24">
        <v>1</v>
      </c>
      <c r="AF5" s="24">
        <v>2</v>
      </c>
      <c r="AG5" s="24">
        <v>3</v>
      </c>
      <c r="AH5" s="24">
        <v>4</v>
      </c>
      <c r="AI5" s="24">
        <v>5</v>
      </c>
      <c r="AJ5" s="24">
        <v>6</v>
      </c>
      <c r="AK5" s="24">
        <v>7</v>
      </c>
      <c r="AL5" s="25">
        <v>8</v>
      </c>
      <c r="AM5" s="26"/>
      <c r="AN5" s="26"/>
      <c r="AQ5" s="431" t="s">
        <v>1</v>
      </c>
      <c r="AR5" s="495"/>
      <c r="AS5" s="22" t="s">
        <v>3</v>
      </c>
      <c r="AT5" s="27">
        <v>0</v>
      </c>
      <c r="AU5" s="28">
        <v>1</v>
      </c>
      <c r="AV5" s="28">
        <v>2</v>
      </c>
      <c r="AW5" s="28">
        <v>3</v>
      </c>
      <c r="AX5" s="28">
        <v>4</v>
      </c>
      <c r="AY5" s="28">
        <v>5</v>
      </c>
      <c r="AZ5" s="28">
        <v>6</v>
      </c>
      <c r="BA5" s="28">
        <v>7</v>
      </c>
      <c r="BB5" s="29">
        <v>8</v>
      </c>
    </row>
    <row r="6" spans="2:54" ht="14" customHeight="1" thickBot="1">
      <c r="B6" s="398"/>
      <c r="C6" s="398"/>
      <c r="D6" s="398"/>
      <c r="E6" s="398"/>
      <c r="F6" s="398"/>
      <c r="G6" s="398"/>
      <c r="H6" s="398"/>
      <c r="K6" s="30" t="s">
        <v>65</v>
      </c>
      <c r="L6" s="31">
        <f>954000</f>
        <v>954000</v>
      </c>
      <c r="M6" s="32"/>
      <c r="N6" s="32"/>
      <c r="O6" s="32" t="s">
        <v>20</v>
      </c>
      <c r="P6" s="31">
        <v>294000</v>
      </c>
      <c r="Q6" s="33">
        <f>P6/P8</f>
        <v>0.35</v>
      </c>
      <c r="Y6" s="15"/>
      <c r="AA6" s="433" t="s">
        <v>7</v>
      </c>
      <c r="AB6" s="496"/>
      <c r="AC6" s="34"/>
      <c r="AD6" s="35"/>
      <c r="AE6" s="36">
        <f>O25</f>
        <v>15300</v>
      </c>
      <c r="AF6" s="36">
        <f t="shared" ref="AF6:AL10" si="0">P25</f>
        <v>15300</v>
      </c>
      <c r="AG6" s="36">
        <f t="shared" si="0"/>
        <v>15300</v>
      </c>
      <c r="AH6" s="36">
        <f t="shared" si="0"/>
        <v>15300</v>
      </c>
      <c r="AI6" s="36">
        <f t="shared" si="0"/>
        <v>26000</v>
      </c>
      <c r="AJ6" s="36">
        <f t="shared" si="0"/>
        <v>26000</v>
      </c>
      <c r="AK6" s="36">
        <f t="shared" si="0"/>
        <v>26000</v>
      </c>
      <c r="AL6" s="37">
        <f t="shared" si="0"/>
        <v>26000</v>
      </c>
      <c r="AM6" s="38"/>
      <c r="AN6" s="38"/>
      <c r="AQ6" s="433" t="s">
        <v>7</v>
      </c>
      <c r="AR6" s="496"/>
      <c r="AS6" s="39"/>
      <c r="AT6" s="40"/>
      <c r="AU6" s="41">
        <f>AE6</f>
        <v>15300</v>
      </c>
      <c r="AV6" s="41">
        <f t="shared" ref="AV6:BB12" si="1">AF6</f>
        <v>15300</v>
      </c>
      <c r="AW6" s="41">
        <f t="shared" si="1"/>
        <v>15300</v>
      </c>
      <c r="AX6" s="41">
        <f t="shared" si="1"/>
        <v>15300</v>
      </c>
      <c r="AY6" s="41">
        <f t="shared" si="1"/>
        <v>26000</v>
      </c>
      <c r="AZ6" s="41">
        <f t="shared" si="1"/>
        <v>26000</v>
      </c>
      <c r="BA6" s="41">
        <f t="shared" si="1"/>
        <v>26000</v>
      </c>
      <c r="BB6" s="42">
        <f t="shared" si="1"/>
        <v>26000</v>
      </c>
    </row>
    <row r="7" spans="2:54" ht="14" customHeight="1">
      <c r="B7" s="398"/>
      <c r="C7" s="398"/>
      <c r="D7" s="398"/>
      <c r="E7" s="398"/>
      <c r="F7" s="398"/>
      <c r="G7" s="398"/>
      <c r="H7" s="398"/>
      <c r="K7" s="30" t="s">
        <v>71</v>
      </c>
      <c r="L7" s="31">
        <v>4550</v>
      </c>
      <c r="M7" s="32"/>
      <c r="N7" s="32"/>
      <c r="O7" s="32" t="s">
        <v>21</v>
      </c>
      <c r="P7" s="31">
        <v>546000</v>
      </c>
      <c r="Q7" s="33">
        <f>P7/P8</f>
        <v>0.65</v>
      </c>
      <c r="Y7" s="15"/>
      <c r="AA7" s="437" t="s">
        <v>9</v>
      </c>
      <c r="AB7" s="492"/>
      <c r="AC7" s="44"/>
      <c r="AD7" s="45"/>
      <c r="AE7" s="46">
        <f>O26</f>
        <v>382500</v>
      </c>
      <c r="AF7" s="46">
        <f t="shared" si="0"/>
        <v>382500</v>
      </c>
      <c r="AG7" s="46">
        <f t="shared" si="0"/>
        <v>382500</v>
      </c>
      <c r="AH7" s="46">
        <f t="shared" si="0"/>
        <v>382500</v>
      </c>
      <c r="AI7" s="46">
        <f t="shared" si="0"/>
        <v>650000</v>
      </c>
      <c r="AJ7" s="46">
        <f t="shared" si="0"/>
        <v>650000</v>
      </c>
      <c r="AK7" s="46">
        <f t="shared" si="0"/>
        <v>650000</v>
      </c>
      <c r="AL7" s="47">
        <f t="shared" si="0"/>
        <v>650000</v>
      </c>
      <c r="AM7" s="48"/>
      <c r="AN7" s="48"/>
      <c r="AQ7" s="437" t="s">
        <v>9</v>
      </c>
      <c r="AR7" s="492"/>
      <c r="AS7" s="44"/>
      <c r="AT7" s="45"/>
      <c r="AU7" s="49">
        <f t="shared" ref="AU7:AU12" si="2">AE7</f>
        <v>382500</v>
      </c>
      <c r="AV7" s="49">
        <f t="shared" si="1"/>
        <v>382500</v>
      </c>
      <c r="AW7" s="49">
        <f t="shared" si="1"/>
        <v>382500</v>
      </c>
      <c r="AX7" s="49">
        <f t="shared" si="1"/>
        <v>382500</v>
      </c>
      <c r="AY7" s="49">
        <f t="shared" si="1"/>
        <v>650000</v>
      </c>
      <c r="AZ7" s="49">
        <f t="shared" si="1"/>
        <v>650000</v>
      </c>
      <c r="BA7" s="49">
        <f t="shared" si="1"/>
        <v>650000</v>
      </c>
      <c r="BB7" s="50">
        <f t="shared" si="1"/>
        <v>650000</v>
      </c>
    </row>
    <row r="8" spans="2:54" ht="14" customHeight="1">
      <c r="B8" s="398"/>
      <c r="C8" s="398"/>
      <c r="D8" s="398"/>
      <c r="E8" s="398"/>
      <c r="F8" s="398"/>
      <c r="G8" s="398"/>
      <c r="H8" s="398"/>
      <c r="K8" s="30" t="s">
        <v>72</v>
      </c>
      <c r="L8" s="31">
        <v>21450</v>
      </c>
      <c r="M8" s="32"/>
      <c r="N8" s="32"/>
      <c r="O8" s="51" t="s">
        <v>67</v>
      </c>
      <c r="P8" s="52">
        <f>P7+P6</f>
        <v>840000</v>
      </c>
      <c r="Q8" s="53"/>
      <c r="Y8" s="15"/>
      <c r="AA8" s="437" t="s">
        <v>10</v>
      </c>
      <c r="AB8" s="492"/>
      <c r="AC8" s="44"/>
      <c r="AD8" s="45"/>
      <c r="AE8" s="54">
        <f>O27</f>
        <v>-123000</v>
      </c>
      <c r="AF8" s="54">
        <f t="shared" si="0"/>
        <v>-123000</v>
      </c>
      <c r="AG8" s="54">
        <f t="shared" si="0"/>
        <v>-123000</v>
      </c>
      <c r="AH8" s="54">
        <f t="shared" si="0"/>
        <v>-123000</v>
      </c>
      <c r="AI8" s="54">
        <f t="shared" si="0"/>
        <v>-242000</v>
      </c>
      <c r="AJ8" s="54">
        <f t="shared" si="0"/>
        <v>-242000</v>
      </c>
      <c r="AK8" s="54">
        <f t="shared" si="0"/>
        <v>-242000</v>
      </c>
      <c r="AL8" s="55">
        <f t="shared" si="0"/>
        <v>-242000</v>
      </c>
      <c r="AM8" s="56"/>
      <c r="AN8" s="56"/>
      <c r="AQ8" s="437" t="s">
        <v>10</v>
      </c>
      <c r="AR8" s="492"/>
      <c r="AS8" s="44"/>
      <c r="AT8" s="45"/>
      <c r="AU8" s="49">
        <f>$AF$2*(1+$AW$2)</f>
        <v>27.500000000000004</v>
      </c>
      <c r="AV8" s="49">
        <f t="shared" ref="AV8:BB8" si="3">$AF$2*(1+$AW$2)</f>
        <v>27.500000000000004</v>
      </c>
      <c r="AW8" s="49">
        <f t="shared" si="3"/>
        <v>27.500000000000004</v>
      </c>
      <c r="AX8" s="49">
        <f t="shared" si="3"/>
        <v>27.500000000000004</v>
      </c>
      <c r="AY8" s="49">
        <f t="shared" si="3"/>
        <v>27.500000000000004</v>
      </c>
      <c r="AZ8" s="49">
        <f t="shared" si="3"/>
        <v>27.500000000000004</v>
      </c>
      <c r="BA8" s="49">
        <f t="shared" si="3"/>
        <v>27.500000000000004</v>
      </c>
      <c r="BB8" s="49">
        <f t="shared" si="3"/>
        <v>27.500000000000004</v>
      </c>
    </row>
    <row r="9" spans="2:54" ht="17" thickBot="1">
      <c r="B9" s="398"/>
      <c r="C9" s="398"/>
      <c r="D9" s="398"/>
      <c r="E9" s="398"/>
      <c r="F9" s="398"/>
      <c r="G9" s="398"/>
      <c r="H9" s="398"/>
      <c r="K9" s="57" t="s">
        <v>67</v>
      </c>
      <c r="L9" s="52">
        <f>SUM(L6:L8)</f>
        <v>980000</v>
      </c>
      <c r="M9" s="32"/>
      <c r="N9" s="32"/>
      <c r="O9" s="32"/>
      <c r="P9" s="32"/>
      <c r="Q9" s="53"/>
      <c r="Y9" s="15"/>
      <c r="AA9" s="437" t="s">
        <v>11</v>
      </c>
      <c r="AB9" s="492"/>
      <c r="AC9" s="44"/>
      <c r="AD9" s="45"/>
      <c r="AE9" s="54">
        <f>O28</f>
        <v>0</v>
      </c>
      <c r="AF9" s="54">
        <f t="shared" si="0"/>
        <v>0</v>
      </c>
      <c r="AG9" s="54">
        <f t="shared" si="0"/>
        <v>0</v>
      </c>
      <c r="AH9" s="54">
        <f t="shared" si="0"/>
        <v>0</v>
      </c>
      <c r="AI9" s="54">
        <f t="shared" si="0"/>
        <v>0</v>
      </c>
      <c r="AJ9" s="54">
        <f t="shared" si="0"/>
        <v>0</v>
      </c>
      <c r="AK9" s="54">
        <f t="shared" si="0"/>
        <v>0</v>
      </c>
      <c r="AL9" s="55">
        <f t="shared" si="0"/>
        <v>0</v>
      </c>
      <c r="AM9" s="56"/>
      <c r="AN9" s="56"/>
      <c r="AQ9" s="437" t="s">
        <v>11</v>
      </c>
      <c r="AR9" s="492"/>
      <c r="AS9" s="44"/>
      <c r="AT9" s="45"/>
      <c r="AU9" s="49">
        <f>AU6*AU8</f>
        <v>420750.00000000006</v>
      </c>
      <c r="AV9" s="49">
        <f t="shared" ref="AV9:BB9" si="4">AV6*AV8</f>
        <v>420750.00000000006</v>
      </c>
      <c r="AW9" s="49">
        <f t="shared" si="4"/>
        <v>420750.00000000006</v>
      </c>
      <c r="AX9" s="49">
        <f t="shared" si="4"/>
        <v>420750.00000000006</v>
      </c>
      <c r="AY9" s="49">
        <f t="shared" si="4"/>
        <v>715000.00000000012</v>
      </c>
      <c r="AZ9" s="49">
        <f t="shared" si="4"/>
        <v>715000.00000000012</v>
      </c>
      <c r="BA9" s="49">
        <f t="shared" si="4"/>
        <v>715000.00000000012</v>
      </c>
      <c r="BB9" s="50">
        <f t="shared" si="4"/>
        <v>715000.00000000012</v>
      </c>
    </row>
    <row r="10" spans="2:54" ht="17" thickBot="1">
      <c r="B10" s="398"/>
      <c r="C10" s="398"/>
      <c r="D10" s="398"/>
      <c r="E10" s="398"/>
      <c r="F10" s="398"/>
      <c r="G10" s="398"/>
      <c r="H10" s="398"/>
      <c r="K10" s="30"/>
      <c r="L10" s="32"/>
      <c r="M10" s="32"/>
      <c r="N10" s="58"/>
      <c r="O10" s="58"/>
      <c r="P10" s="32"/>
      <c r="Q10" s="53"/>
      <c r="Y10" s="15"/>
      <c r="AA10" s="433" t="s">
        <v>13</v>
      </c>
      <c r="AB10" s="493"/>
      <c r="AC10" s="59"/>
      <c r="AD10" s="60"/>
      <c r="AE10" s="61">
        <f>O29</f>
        <v>259500</v>
      </c>
      <c r="AF10" s="61">
        <f t="shared" si="0"/>
        <v>259500</v>
      </c>
      <c r="AG10" s="61">
        <f t="shared" si="0"/>
        <v>259500</v>
      </c>
      <c r="AH10" s="61">
        <f t="shared" si="0"/>
        <v>259500</v>
      </c>
      <c r="AI10" s="61">
        <f t="shared" si="0"/>
        <v>408000</v>
      </c>
      <c r="AJ10" s="61">
        <f t="shared" si="0"/>
        <v>408000</v>
      </c>
      <c r="AK10" s="61">
        <f t="shared" si="0"/>
        <v>408000</v>
      </c>
      <c r="AL10" s="62">
        <f t="shared" si="0"/>
        <v>408000</v>
      </c>
      <c r="AM10" s="63"/>
      <c r="AN10" s="63"/>
      <c r="AQ10" s="433" t="s">
        <v>13</v>
      </c>
      <c r="AR10" s="493"/>
      <c r="AS10" s="64"/>
      <c r="AT10" s="65"/>
      <c r="AU10" s="66">
        <f>AU9-AU7</f>
        <v>38250.000000000058</v>
      </c>
      <c r="AV10" s="66">
        <f t="shared" ref="AV10:BB10" si="5">AV9-AV7</f>
        <v>38250.000000000058</v>
      </c>
      <c r="AW10" s="66">
        <f t="shared" si="5"/>
        <v>38250.000000000058</v>
      </c>
      <c r="AX10" s="66">
        <f t="shared" si="5"/>
        <v>38250.000000000058</v>
      </c>
      <c r="AY10" s="66">
        <f t="shared" si="5"/>
        <v>65000.000000000116</v>
      </c>
      <c r="AZ10" s="66">
        <f t="shared" si="5"/>
        <v>65000.000000000116</v>
      </c>
      <c r="BA10" s="66">
        <f t="shared" si="5"/>
        <v>65000.000000000116</v>
      </c>
      <c r="BB10" s="67">
        <f t="shared" si="5"/>
        <v>65000.000000000116</v>
      </c>
    </row>
    <row r="11" spans="2:54" ht="16" customHeight="1">
      <c r="B11" s="398" t="s">
        <v>77</v>
      </c>
      <c r="C11" s="398"/>
      <c r="D11" s="398"/>
      <c r="E11" s="398"/>
      <c r="F11" s="398"/>
      <c r="G11" s="398"/>
      <c r="H11" s="398"/>
      <c r="K11" s="30"/>
      <c r="L11" s="32" t="s">
        <v>58</v>
      </c>
      <c r="M11" s="32"/>
      <c r="N11" s="32"/>
      <c r="O11" s="32"/>
      <c r="P11" s="32"/>
      <c r="Q11" s="53"/>
      <c r="Y11" s="15"/>
      <c r="AA11" s="437" t="s">
        <v>14</v>
      </c>
      <c r="AB11" s="492"/>
      <c r="AC11" s="68">
        <v>0.2</v>
      </c>
      <c r="AD11" s="54"/>
      <c r="AE11" s="69">
        <f>AD18*AC11*0.5</f>
        <v>-32700</v>
      </c>
      <c r="AF11" s="69">
        <f>($AD$18-SUM($AE11:AE11))*$AC$11</f>
        <v>-58860</v>
      </c>
      <c r="AG11" s="69">
        <f>($AD$18-SUM($AE11:AF11))*$AC$11</f>
        <v>-47088</v>
      </c>
      <c r="AH11" s="69">
        <f>($AD$18-SUM($AE11:AG11))*$AC$11</f>
        <v>-37670.400000000001</v>
      </c>
      <c r="AI11" s="69">
        <f>($AD$18-SUM($AE11:AH11))*$AC$11</f>
        <v>-30136.320000000003</v>
      </c>
      <c r="AJ11" s="69">
        <f>($AD$18-SUM($AE11:AI11))*$AC$11</f>
        <v>-24109.056</v>
      </c>
      <c r="AK11" s="69">
        <f>($AD$18-SUM($AE11:AJ11))*$AC$11</f>
        <v>-19287.244799999997</v>
      </c>
      <c r="AL11" s="70">
        <f>($AD$18-SUM($AE11:AK11))*$AC$11</f>
        <v>-15429.795840000001</v>
      </c>
      <c r="AM11" s="63"/>
      <c r="AN11" s="63"/>
      <c r="AQ11" s="437" t="s">
        <v>14</v>
      </c>
      <c r="AR11" s="492"/>
      <c r="AS11" s="68">
        <v>0.2</v>
      </c>
      <c r="AT11" s="54"/>
      <c r="AU11" s="49">
        <f>AE11</f>
        <v>-32700</v>
      </c>
      <c r="AV11" s="49">
        <f t="shared" si="1"/>
        <v>-58860</v>
      </c>
      <c r="AW11" s="49">
        <f t="shared" si="1"/>
        <v>-47088</v>
      </c>
      <c r="AX11" s="49">
        <f t="shared" si="1"/>
        <v>-37670.400000000001</v>
      </c>
      <c r="AY11" s="49">
        <f t="shared" si="1"/>
        <v>-30136.320000000003</v>
      </c>
      <c r="AZ11" s="49">
        <f t="shared" si="1"/>
        <v>-24109.056</v>
      </c>
      <c r="BA11" s="49">
        <f t="shared" si="1"/>
        <v>-19287.244799999997</v>
      </c>
      <c r="BB11" s="50">
        <f t="shared" si="1"/>
        <v>-15429.795840000001</v>
      </c>
    </row>
    <row r="12" spans="2:54">
      <c r="B12" s="398"/>
      <c r="C12" s="398"/>
      <c r="D12" s="398"/>
      <c r="E12" s="398"/>
      <c r="F12" s="398"/>
      <c r="G12" s="398"/>
      <c r="H12" s="398"/>
      <c r="K12" s="71" t="s">
        <v>19</v>
      </c>
      <c r="L12" s="72">
        <v>25</v>
      </c>
      <c r="M12" s="31">
        <v>35000</v>
      </c>
      <c r="N12" s="32"/>
      <c r="O12" s="32"/>
      <c r="P12" s="32"/>
      <c r="Q12" s="53"/>
      <c r="Y12" s="15"/>
      <c r="AA12" s="437" t="s">
        <v>15</v>
      </c>
      <c r="AB12" s="492"/>
      <c r="AC12" s="68">
        <v>0.04</v>
      </c>
      <c r="AD12" s="54"/>
      <c r="AE12" s="69">
        <f>AD19*AC12*0.5</f>
        <v>-6860</v>
      </c>
      <c r="AF12" s="69">
        <f>($AD$19-SUM($AE12:AE12))*$AC$12</f>
        <v>-13445.6</v>
      </c>
      <c r="AG12" s="69">
        <f>($AD$19-SUM($AE12:AF12))*$AC$12</f>
        <v>-12907.776000000002</v>
      </c>
      <c r="AH12" s="69">
        <f>($AD$19-SUM($AE12:AG12))*$AC$12</f>
        <v>-12391.464960000001</v>
      </c>
      <c r="AI12" s="69">
        <f>($AD$19-SUM($AE12:AH12))*$AC$12</f>
        <v>-11895.8063616</v>
      </c>
      <c r="AJ12" s="69">
        <f>($AD$19-SUM($AE12:AI12))*$AC$12</f>
        <v>-11419.974107136</v>
      </c>
      <c r="AK12" s="69">
        <f>($AD$19-SUM($AE12:AJ12))*$AC$12</f>
        <v>-10963.175142850559</v>
      </c>
      <c r="AL12" s="70">
        <f>($AD$19-SUM($AE12:AK12))*$AC$12</f>
        <v>-10524.648137136537</v>
      </c>
      <c r="AM12" s="63"/>
      <c r="AN12" s="63"/>
      <c r="AQ12" s="437" t="s">
        <v>15</v>
      </c>
      <c r="AR12" s="492"/>
      <c r="AS12" s="68">
        <v>0.04</v>
      </c>
      <c r="AT12" s="54"/>
      <c r="AU12" s="49">
        <f t="shared" si="2"/>
        <v>-6860</v>
      </c>
      <c r="AV12" s="49">
        <f t="shared" si="1"/>
        <v>-13445.6</v>
      </c>
      <c r="AW12" s="49">
        <f t="shared" si="1"/>
        <v>-12907.776000000002</v>
      </c>
      <c r="AX12" s="49">
        <f t="shared" si="1"/>
        <v>-12391.464960000001</v>
      </c>
      <c r="AY12" s="49">
        <f t="shared" si="1"/>
        <v>-11895.8063616</v>
      </c>
      <c r="AZ12" s="49">
        <f t="shared" si="1"/>
        <v>-11419.974107136</v>
      </c>
      <c r="BA12" s="49">
        <f t="shared" si="1"/>
        <v>-10963.175142850559</v>
      </c>
      <c r="BB12" s="50">
        <f t="shared" si="1"/>
        <v>-10524.648137136537</v>
      </c>
    </row>
    <row r="13" spans="2:54">
      <c r="B13" s="398"/>
      <c r="C13" s="398"/>
      <c r="D13" s="398"/>
      <c r="E13" s="398"/>
      <c r="F13" s="398"/>
      <c r="G13" s="398"/>
      <c r="H13" s="398"/>
      <c r="K13" s="71" t="s">
        <v>20</v>
      </c>
      <c r="L13" s="73">
        <v>120000</v>
      </c>
      <c r="M13" s="32"/>
      <c r="N13" s="32"/>
      <c r="O13" s="32"/>
      <c r="P13" s="32"/>
      <c r="Q13" s="53"/>
      <c r="Y13" s="15"/>
      <c r="AA13" s="437" t="s">
        <v>16</v>
      </c>
      <c r="AB13" s="492"/>
      <c r="AC13" s="74"/>
      <c r="AD13" s="54"/>
      <c r="AE13" s="75">
        <f>AE10+AE11+AE12</f>
        <v>219940</v>
      </c>
      <c r="AF13" s="75">
        <f t="shared" ref="AF13:AL13" si="6">AF10+AF11+AF12</f>
        <v>187194.4</v>
      </c>
      <c r="AG13" s="75">
        <f t="shared" si="6"/>
        <v>199504.22399999999</v>
      </c>
      <c r="AH13" s="75">
        <f t="shared" si="6"/>
        <v>209438.13503999999</v>
      </c>
      <c r="AI13" s="75">
        <f t="shared" si="6"/>
        <v>365967.87363839999</v>
      </c>
      <c r="AJ13" s="75">
        <f t="shared" si="6"/>
        <v>372470.969892864</v>
      </c>
      <c r="AK13" s="75">
        <f t="shared" si="6"/>
        <v>377749.58005714946</v>
      </c>
      <c r="AL13" s="76">
        <f t="shared" si="6"/>
        <v>382045.55602286349</v>
      </c>
      <c r="AM13" s="63"/>
      <c r="AN13" s="63"/>
      <c r="AQ13" s="437" t="s">
        <v>16</v>
      </c>
      <c r="AR13" s="492"/>
      <c r="AS13" s="74"/>
      <c r="AT13" s="54"/>
      <c r="AU13" s="75">
        <f>AU10+AU11+AU12</f>
        <v>-1309.9999999999418</v>
      </c>
      <c r="AV13" s="75">
        <f t="shared" ref="AV13:BB13" si="7">AV10+AV11+AV12</f>
        <v>-34055.59999999994</v>
      </c>
      <c r="AW13" s="75">
        <f t="shared" si="7"/>
        <v>-21745.775999999943</v>
      </c>
      <c r="AX13" s="75">
        <f t="shared" si="7"/>
        <v>-11811.864959999944</v>
      </c>
      <c r="AY13" s="75">
        <f t="shared" si="7"/>
        <v>22967.873638400109</v>
      </c>
      <c r="AZ13" s="75">
        <f t="shared" si="7"/>
        <v>29470.969892864119</v>
      </c>
      <c r="BA13" s="75">
        <f t="shared" si="7"/>
        <v>34749.580057149557</v>
      </c>
      <c r="BB13" s="76">
        <f t="shared" si="7"/>
        <v>39045.55602286358</v>
      </c>
    </row>
    <row r="14" spans="2:54">
      <c r="B14" s="398"/>
      <c r="C14" s="398"/>
      <c r="D14" s="398"/>
      <c r="E14" s="398"/>
      <c r="F14" s="398"/>
      <c r="G14" s="398"/>
      <c r="H14" s="398"/>
      <c r="K14" s="71" t="s">
        <v>21</v>
      </c>
      <c r="L14" s="77">
        <v>0.03</v>
      </c>
      <c r="M14" s="32"/>
      <c r="N14" s="32"/>
      <c r="O14" s="32"/>
      <c r="P14" s="32"/>
      <c r="Q14" s="53"/>
      <c r="Y14" s="15"/>
      <c r="AA14" s="437" t="s">
        <v>18</v>
      </c>
      <c r="AB14" s="492"/>
      <c r="AC14" s="78">
        <v>0.22600000000000001</v>
      </c>
      <c r="AD14" s="54"/>
      <c r="AE14" s="75">
        <f>$AC$14*AE13</f>
        <v>49706.44</v>
      </c>
      <c r="AF14" s="75">
        <f t="shared" ref="AF14:AL14" si="8">$AC$14*AF13</f>
        <v>42305.934399999998</v>
      </c>
      <c r="AG14" s="75">
        <f t="shared" si="8"/>
        <v>45087.954623999998</v>
      </c>
      <c r="AH14" s="75">
        <f t="shared" si="8"/>
        <v>47333.018519040001</v>
      </c>
      <c r="AI14" s="75">
        <f t="shared" si="8"/>
        <v>82708.739442278398</v>
      </c>
      <c r="AJ14" s="75">
        <f t="shared" si="8"/>
        <v>84178.439195787272</v>
      </c>
      <c r="AK14" s="75">
        <f t="shared" si="8"/>
        <v>85371.405092915782</v>
      </c>
      <c r="AL14" s="76">
        <f t="shared" si="8"/>
        <v>86342.295661167154</v>
      </c>
      <c r="AM14" s="63"/>
      <c r="AN14" s="63"/>
      <c r="AQ14" s="437" t="s">
        <v>18</v>
      </c>
      <c r="AR14" s="492"/>
      <c r="AS14" s="78">
        <v>0.22600000000000001</v>
      </c>
      <c r="AT14" s="54"/>
      <c r="AU14" s="75">
        <f>$AC$14*AU13</f>
        <v>-296.05999999998687</v>
      </c>
      <c r="AV14" s="75">
        <f t="shared" ref="AV14:BB14" si="9">$AC$14*AV13</f>
        <v>-7696.5655999999872</v>
      </c>
      <c r="AW14" s="75">
        <f t="shared" si="9"/>
        <v>-4914.5453759999873</v>
      </c>
      <c r="AX14" s="75">
        <f t="shared" si="9"/>
        <v>-2669.4814809599875</v>
      </c>
      <c r="AY14" s="75">
        <f t="shared" si="9"/>
        <v>5190.7394422784246</v>
      </c>
      <c r="AZ14" s="75">
        <f t="shared" si="9"/>
        <v>6660.4391957872913</v>
      </c>
      <c r="BA14" s="75">
        <f t="shared" si="9"/>
        <v>7853.4050929158002</v>
      </c>
      <c r="BB14" s="76">
        <f t="shared" si="9"/>
        <v>8824.2956611671689</v>
      </c>
    </row>
    <row r="15" spans="2:54" ht="17" thickBot="1">
      <c r="B15" s="398"/>
      <c r="C15" s="398"/>
      <c r="D15" s="398"/>
      <c r="E15" s="398"/>
      <c r="F15" s="398"/>
      <c r="G15" s="398"/>
      <c r="H15" s="398"/>
      <c r="K15" s="30"/>
      <c r="L15" s="32"/>
      <c r="M15" s="32"/>
      <c r="N15" s="32"/>
      <c r="O15" s="32" t="s">
        <v>123</v>
      </c>
      <c r="P15" s="32"/>
      <c r="Q15" s="280">
        <v>20000</v>
      </c>
      <c r="Y15" s="15"/>
      <c r="AA15" s="437"/>
      <c r="AB15" s="492"/>
      <c r="AC15" s="74"/>
      <c r="AD15" s="54"/>
      <c r="AE15" s="75"/>
      <c r="AF15" s="75"/>
      <c r="AG15" s="75"/>
      <c r="AH15" s="75"/>
      <c r="AI15" s="75"/>
      <c r="AJ15" s="75"/>
      <c r="AK15" s="75"/>
      <c r="AL15" s="76"/>
      <c r="AM15" s="63"/>
      <c r="AN15" s="63"/>
      <c r="AQ15" s="437"/>
      <c r="AR15" s="492"/>
      <c r="AS15" s="74"/>
      <c r="AT15" s="54"/>
      <c r="AU15" s="75"/>
      <c r="AV15" s="75"/>
      <c r="AW15" s="75"/>
      <c r="AX15" s="75"/>
      <c r="AY15" s="75"/>
      <c r="AZ15" s="75"/>
      <c r="BA15" s="75"/>
      <c r="BB15" s="76"/>
    </row>
    <row r="16" spans="2:54" ht="17" thickBot="1">
      <c r="B16" s="398"/>
      <c r="C16" s="398"/>
      <c r="D16" s="398"/>
      <c r="E16" s="398"/>
      <c r="F16" s="398"/>
      <c r="G16" s="398"/>
      <c r="H16" s="398"/>
      <c r="K16" s="30"/>
      <c r="L16" s="32"/>
      <c r="M16" s="32"/>
      <c r="N16" s="32"/>
      <c r="O16" s="32"/>
      <c r="P16" s="32"/>
      <c r="Q16" s="280">
        <v>30000</v>
      </c>
      <c r="Y16" s="15"/>
      <c r="AA16" s="433" t="s">
        <v>103</v>
      </c>
      <c r="AB16" s="496"/>
      <c r="AC16" s="79"/>
      <c r="AD16" s="325"/>
      <c r="AE16" s="294">
        <f t="shared" ref="AE16:AL16" si="10">AE10-AE14</f>
        <v>209793.56</v>
      </c>
      <c r="AF16" s="326">
        <f t="shared" si="10"/>
        <v>217194.0656</v>
      </c>
      <c r="AG16" s="294">
        <f t="shared" si="10"/>
        <v>214412.04537599999</v>
      </c>
      <c r="AH16" s="294">
        <f t="shared" si="10"/>
        <v>212166.98148096001</v>
      </c>
      <c r="AI16" s="294">
        <f t="shared" si="10"/>
        <v>325291.2605577216</v>
      </c>
      <c r="AJ16" s="294">
        <f t="shared" si="10"/>
        <v>323821.5608042127</v>
      </c>
      <c r="AK16" s="294">
        <f t="shared" si="10"/>
        <v>322628.59490708425</v>
      </c>
      <c r="AL16" s="295">
        <f t="shared" si="10"/>
        <v>321657.70433883287</v>
      </c>
      <c r="AM16" s="63"/>
      <c r="AN16" s="63"/>
      <c r="AQ16" s="435" t="s">
        <v>103</v>
      </c>
      <c r="AR16" s="497"/>
      <c r="AS16" s="318"/>
      <c r="AT16" s="293"/>
      <c r="AU16" s="294">
        <f t="shared" ref="AU16:BB16" si="11">AU10-AU14</f>
        <v>38546.060000000049</v>
      </c>
      <c r="AV16" s="294">
        <f t="shared" si="11"/>
        <v>45946.565600000045</v>
      </c>
      <c r="AW16" s="294">
        <f t="shared" si="11"/>
        <v>43164.545376000046</v>
      </c>
      <c r="AX16" s="294">
        <f t="shared" si="11"/>
        <v>40919.481480960043</v>
      </c>
      <c r="AY16" s="294">
        <f t="shared" si="11"/>
        <v>59809.260557721689</v>
      </c>
      <c r="AZ16" s="294">
        <f t="shared" si="11"/>
        <v>58339.560804212822</v>
      </c>
      <c r="BA16" s="294">
        <f t="shared" si="11"/>
        <v>57146.59490708432</v>
      </c>
      <c r="BB16" s="295">
        <f t="shared" si="11"/>
        <v>56175.704338832948</v>
      </c>
    </row>
    <row r="17" spans="2:54" ht="16" customHeight="1" thickBot="1">
      <c r="B17" s="417" t="s">
        <v>73</v>
      </c>
      <c r="C17" s="417"/>
      <c r="D17" s="417"/>
      <c r="E17" s="417"/>
      <c r="F17" s="417"/>
      <c r="G17" s="417"/>
      <c r="H17" s="417"/>
      <c r="K17" s="30"/>
      <c r="L17" s="32"/>
      <c r="M17" s="32"/>
      <c r="N17" s="32"/>
      <c r="O17" s="32"/>
      <c r="P17" s="32"/>
      <c r="Q17" s="53"/>
      <c r="Y17" s="15"/>
      <c r="AA17" s="437" t="s">
        <v>17</v>
      </c>
      <c r="AB17" s="492"/>
      <c r="AC17" s="287"/>
      <c r="AD17" s="307"/>
      <c r="AE17" s="308"/>
      <c r="AF17" s="308"/>
      <c r="AG17" s="308"/>
      <c r="AH17" s="308"/>
      <c r="AI17" s="308"/>
      <c r="AJ17" s="308"/>
      <c r="AK17" s="308"/>
      <c r="AL17" s="309"/>
      <c r="AM17" s="84"/>
      <c r="AN17" s="84"/>
      <c r="AQ17" s="485" t="s">
        <v>17</v>
      </c>
      <c r="AR17" s="498"/>
      <c r="AS17" s="319"/>
      <c r="AT17" s="320">
        <f>AD17</f>
        <v>0</v>
      </c>
      <c r="AU17" s="320">
        <f t="shared" ref="AU17:BB28" si="12">AE17</f>
        <v>0</v>
      </c>
      <c r="AV17" s="320">
        <f t="shared" si="12"/>
        <v>0</v>
      </c>
      <c r="AW17" s="320">
        <f t="shared" si="12"/>
        <v>0</v>
      </c>
      <c r="AX17" s="320">
        <f t="shared" si="12"/>
        <v>0</v>
      </c>
      <c r="AY17" s="320">
        <f t="shared" si="12"/>
        <v>0</v>
      </c>
      <c r="AZ17" s="320">
        <f t="shared" si="12"/>
        <v>0</v>
      </c>
      <c r="BA17" s="320">
        <f t="shared" si="12"/>
        <v>0</v>
      </c>
      <c r="BB17" s="321">
        <f t="shared" si="12"/>
        <v>0</v>
      </c>
    </row>
    <row r="18" spans="2:54" ht="16" customHeight="1" thickBot="1">
      <c r="B18" s="417"/>
      <c r="C18" s="417"/>
      <c r="D18" s="417"/>
      <c r="E18" s="417"/>
      <c r="F18" s="417"/>
      <c r="G18" s="417"/>
      <c r="H18" s="417"/>
      <c r="K18" s="30"/>
      <c r="L18" s="219" t="s">
        <v>81</v>
      </c>
      <c r="M18" s="245" t="s">
        <v>58</v>
      </c>
      <c r="N18" s="32"/>
      <c r="O18" s="32"/>
      <c r="P18" s="32"/>
      <c r="Q18" s="53"/>
      <c r="Y18" s="15"/>
      <c r="AA18" s="437" t="s">
        <v>19</v>
      </c>
      <c r="AB18" s="492"/>
      <c r="AC18" s="287"/>
      <c r="AD18" s="327">
        <f>N31</f>
        <v>-327000</v>
      </c>
      <c r="AE18" s="118">
        <f t="shared" ref="AE18:AL18" si="13">O31</f>
        <v>0</v>
      </c>
      <c r="AF18" s="118">
        <f t="shared" si="13"/>
        <v>0</v>
      </c>
      <c r="AG18" s="118">
        <f t="shared" si="13"/>
        <v>0</v>
      </c>
      <c r="AH18" s="118">
        <f t="shared" si="13"/>
        <v>0</v>
      </c>
      <c r="AI18" s="118">
        <f t="shared" si="13"/>
        <v>0</v>
      </c>
      <c r="AJ18" s="118">
        <f t="shared" si="13"/>
        <v>0</v>
      </c>
      <c r="AK18" s="118">
        <f t="shared" si="13"/>
        <v>0</v>
      </c>
      <c r="AL18" s="328">
        <f t="shared" si="13"/>
        <v>0</v>
      </c>
      <c r="AM18" s="84"/>
      <c r="AN18" s="84"/>
      <c r="AQ18" s="437" t="s">
        <v>19</v>
      </c>
      <c r="AR18" s="492"/>
      <c r="AS18" s="287"/>
      <c r="AT18" s="46">
        <f t="shared" ref="AT18:AT28" si="14">AD18</f>
        <v>-327000</v>
      </c>
      <c r="AU18" s="46">
        <f t="shared" si="12"/>
        <v>0</v>
      </c>
      <c r="AV18" s="46">
        <f t="shared" si="12"/>
        <v>0</v>
      </c>
      <c r="AW18" s="46">
        <f t="shared" si="12"/>
        <v>0</v>
      </c>
      <c r="AX18" s="46">
        <f t="shared" si="12"/>
        <v>0</v>
      </c>
      <c r="AY18" s="46">
        <f t="shared" si="12"/>
        <v>0</v>
      </c>
      <c r="AZ18" s="46">
        <f t="shared" si="12"/>
        <v>0</v>
      </c>
      <c r="BA18" s="46">
        <f t="shared" si="12"/>
        <v>0</v>
      </c>
      <c r="BB18" s="47">
        <f t="shared" si="12"/>
        <v>0</v>
      </c>
    </row>
    <row r="19" spans="2:54" ht="14" customHeight="1">
      <c r="B19" s="417"/>
      <c r="C19" s="417"/>
      <c r="D19" s="417"/>
      <c r="E19" s="417"/>
      <c r="F19" s="417"/>
      <c r="G19" s="417"/>
      <c r="H19" s="417"/>
      <c r="K19" s="88" t="s">
        <v>19</v>
      </c>
      <c r="L19" s="275">
        <f>Ennoncé!L19</f>
        <v>327000</v>
      </c>
      <c r="M19" s="275">
        <f>Ennoncé!M19</f>
        <v>233560</v>
      </c>
      <c r="N19" s="32"/>
      <c r="O19" s="32"/>
      <c r="P19" s="32"/>
      <c r="Q19" s="53"/>
      <c r="Y19" s="15"/>
      <c r="AA19" s="437" t="s">
        <v>20</v>
      </c>
      <c r="AB19" s="492"/>
      <c r="AC19" s="287"/>
      <c r="AD19" s="327">
        <f>N32</f>
        <v>-343000</v>
      </c>
      <c r="AE19" s="118">
        <f t="shared" ref="AE19:AL19" si="15">O32</f>
        <v>0</v>
      </c>
      <c r="AF19" s="118">
        <f t="shared" si="15"/>
        <v>0</v>
      </c>
      <c r="AG19" s="118">
        <f t="shared" si="15"/>
        <v>0</v>
      </c>
      <c r="AH19" s="118">
        <f t="shared" si="15"/>
        <v>0</v>
      </c>
      <c r="AI19" s="118">
        <f t="shared" si="15"/>
        <v>0</v>
      </c>
      <c r="AJ19" s="118">
        <f t="shared" si="15"/>
        <v>0</v>
      </c>
      <c r="AK19" s="118">
        <f t="shared" si="15"/>
        <v>0</v>
      </c>
      <c r="AL19" s="328">
        <f t="shared" si="15"/>
        <v>0</v>
      </c>
      <c r="AM19" s="84"/>
      <c r="AN19" s="84"/>
      <c r="AQ19" s="437" t="s">
        <v>20</v>
      </c>
      <c r="AR19" s="492"/>
      <c r="AS19" s="287"/>
      <c r="AT19" s="46">
        <f t="shared" si="14"/>
        <v>-343000</v>
      </c>
      <c r="AU19" s="46">
        <f t="shared" si="12"/>
        <v>0</v>
      </c>
      <c r="AV19" s="46">
        <f t="shared" si="12"/>
        <v>0</v>
      </c>
      <c r="AW19" s="46">
        <f t="shared" si="12"/>
        <v>0</v>
      </c>
      <c r="AX19" s="46">
        <f t="shared" si="12"/>
        <v>0</v>
      </c>
      <c r="AY19" s="46">
        <f t="shared" si="12"/>
        <v>0</v>
      </c>
      <c r="AZ19" s="46">
        <f t="shared" si="12"/>
        <v>0</v>
      </c>
      <c r="BA19" s="46">
        <f t="shared" si="12"/>
        <v>0</v>
      </c>
      <c r="BB19" s="47">
        <f t="shared" si="12"/>
        <v>0</v>
      </c>
    </row>
    <row r="20" spans="2:54" ht="16" customHeight="1">
      <c r="B20" s="398" t="s">
        <v>78</v>
      </c>
      <c r="C20" s="398"/>
      <c r="D20" s="398"/>
      <c r="E20" s="398"/>
      <c r="F20" s="398"/>
      <c r="G20" s="398"/>
      <c r="H20" s="398"/>
      <c r="K20" s="71" t="s">
        <v>20</v>
      </c>
      <c r="L20" s="275">
        <f>Ennoncé!L20</f>
        <v>343000</v>
      </c>
      <c r="M20" s="275">
        <f>Ennoncé!M20</f>
        <v>120000</v>
      </c>
      <c r="N20" s="32"/>
      <c r="O20" s="32"/>
      <c r="P20" s="32"/>
      <c r="Q20" s="53"/>
      <c r="Y20" s="15"/>
      <c r="AA20" s="437" t="s">
        <v>21</v>
      </c>
      <c r="AB20" s="492"/>
      <c r="AC20" s="287"/>
      <c r="AD20" s="327">
        <f>N33</f>
        <v>-637000</v>
      </c>
      <c r="AE20" s="118">
        <f t="shared" ref="AE20:AL20" si="16">O33</f>
        <v>0</v>
      </c>
      <c r="AF20" s="118">
        <f t="shared" si="16"/>
        <v>0</v>
      </c>
      <c r="AG20" s="118">
        <f t="shared" si="16"/>
        <v>0</v>
      </c>
      <c r="AH20" s="118">
        <f t="shared" si="16"/>
        <v>0</v>
      </c>
      <c r="AI20" s="118">
        <f t="shared" si="16"/>
        <v>0</v>
      </c>
      <c r="AJ20" s="118">
        <f t="shared" si="16"/>
        <v>0</v>
      </c>
      <c r="AK20" s="118">
        <f t="shared" si="16"/>
        <v>0</v>
      </c>
      <c r="AL20" s="328">
        <f t="shared" si="16"/>
        <v>0</v>
      </c>
      <c r="AM20" s="84"/>
      <c r="AN20" s="84"/>
      <c r="AQ20" s="437" t="s">
        <v>21</v>
      </c>
      <c r="AR20" s="492"/>
      <c r="AS20" s="287"/>
      <c r="AT20" s="46">
        <f t="shared" si="14"/>
        <v>-637000</v>
      </c>
      <c r="AU20" s="46">
        <f t="shared" si="12"/>
        <v>0</v>
      </c>
      <c r="AV20" s="46">
        <f t="shared" si="12"/>
        <v>0</v>
      </c>
      <c r="AW20" s="46">
        <f t="shared" si="12"/>
        <v>0</v>
      </c>
      <c r="AX20" s="46">
        <f t="shared" si="12"/>
        <v>0</v>
      </c>
      <c r="AY20" s="46">
        <f t="shared" si="12"/>
        <v>0</v>
      </c>
      <c r="AZ20" s="46">
        <f t="shared" si="12"/>
        <v>0</v>
      </c>
      <c r="BA20" s="46">
        <f t="shared" si="12"/>
        <v>0</v>
      </c>
      <c r="BB20" s="47">
        <f t="shared" si="12"/>
        <v>0</v>
      </c>
    </row>
    <row r="21" spans="2:54" ht="17" thickBot="1">
      <c r="B21" s="398"/>
      <c r="C21" s="398"/>
      <c r="D21" s="398"/>
      <c r="E21" s="398"/>
      <c r="F21" s="398"/>
      <c r="G21" s="398"/>
      <c r="H21" s="398"/>
      <c r="K21" s="94" t="s">
        <v>21</v>
      </c>
      <c r="L21" s="275">
        <f>Ennoncé!L21</f>
        <v>637000</v>
      </c>
      <c r="M21" s="275">
        <f>Ennoncé!M21</f>
        <v>806932.5418439114</v>
      </c>
      <c r="N21" s="97"/>
      <c r="O21" s="97"/>
      <c r="P21" s="97"/>
      <c r="Q21" s="98"/>
      <c r="Y21" s="15"/>
      <c r="AA21" s="437" t="s">
        <v>22</v>
      </c>
      <c r="AB21" s="499"/>
      <c r="AC21" s="287"/>
      <c r="AD21" s="327">
        <f>N34</f>
        <v>-20000</v>
      </c>
      <c r="AE21" s="118">
        <f t="shared" ref="AE21:AL21" si="17">O34</f>
        <v>0</v>
      </c>
      <c r="AF21" s="118">
        <f t="shared" si="17"/>
        <v>0</v>
      </c>
      <c r="AG21" s="118">
        <f t="shared" si="17"/>
        <v>0</v>
      </c>
      <c r="AH21" s="118">
        <f t="shared" si="17"/>
        <v>-30000</v>
      </c>
      <c r="AI21" s="118">
        <f t="shared" si="17"/>
        <v>0</v>
      </c>
      <c r="AJ21" s="118">
        <f t="shared" si="17"/>
        <v>0</v>
      </c>
      <c r="AK21" s="118">
        <f t="shared" si="17"/>
        <v>0</v>
      </c>
      <c r="AL21" s="328">
        <f t="shared" si="17"/>
        <v>0</v>
      </c>
      <c r="AM21" s="84"/>
      <c r="AN21" s="84"/>
      <c r="AQ21" s="437" t="s">
        <v>22</v>
      </c>
      <c r="AR21" s="499"/>
      <c r="AS21" s="287"/>
      <c r="AT21" s="46">
        <f t="shared" si="14"/>
        <v>-20000</v>
      </c>
      <c r="AU21" s="46">
        <f t="shared" si="12"/>
        <v>0</v>
      </c>
      <c r="AV21" s="46">
        <f t="shared" si="12"/>
        <v>0</v>
      </c>
      <c r="AW21" s="46">
        <f t="shared" si="12"/>
        <v>0</v>
      </c>
      <c r="AX21" s="46">
        <f t="shared" si="12"/>
        <v>-30000</v>
      </c>
      <c r="AY21" s="46">
        <f t="shared" si="12"/>
        <v>0</v>
      </c>
      <c r="AZ21" s="46">
        <f t="shared" si="12"/>
        <v>0</v>
      </c>
      <c r="BA21" s="46">
        <f t="shared" si="12"/>
        <v>0</v>
      </c>
      <c r="BB21" s="47">
        <f t="shared" si="12"/>
        <v>0</v>
      </c>
    </row>
    <row r="22" spans="2:54">
      <c r="B22" s="398"/>
      <c r="C22" s="398"/>
      <c r="D22" s="398"/>
      <c r="E22" s="398"/>
      <c r="F22" s="398"/>
      <c r="G22" s="398"/>
      <c r="H22" s="398"/>
      <c r="Y22" s="15"/>
      <c r="AA22" s="437"/>
      <c r="AB22" s="499"/>
      <c r="AC22" s="287"/>
      <c r="AD22" s="327">
        <f t="shared" ref="AD22:AD28" si="18">N35</f>
        <v>0</v>
      </c>
      <c r="AE22" s="118">
        <f t="shared" ref="AE22:AE28" si="19">O35</f>
        <v>0</v>
      </c>
      <c r="AF22" s="118">
        <f t="shared" ref="AF22:AF28" si="20">P35</f>
        <v>0</v>
      </c>
      <c r="AG22" s="118">
        <f t="shared" ref="AG22:AG28" si="21">Q35</f>
        <v>0</v>
      </c>
      <c r="AH22" s="118">
        <f t="shared" ref="AH22:AH28" si="22">R35</f>
        <v>0</v>
      </c>
      <c r="AI22" s="118">
        <f t="shared" ref="AI22:AI28" si="23">S35</f>
        <v>0</v>
      </c>
      <c r="AJ22" s="118">
        <f t="shared" ref="AJ22:AJ28" si="24">T35</f>
        <v>0</v>
      </c>
      <c r="AK22" s="118">
        <f t="shared" ref="AK22:AK28" si="25">U35</f>
        <v>0</v>
      </c>
      <c r="AL22" s="328">
        <f t="shared" ref="AL22:AL28" si="26">V35</f>
        <v>0</v>
      </c>
      <c r="AM22" s="84"/>
      <c r="AN22" s="84"/>
      <c r="AQ22" s="437"/>
      <c r="AR22" s="499"/>
      <c r="AS22" s="287"/>
      <c r="AT22" s="46">
        <f t="shared" si="14"/>
        <v>0</v>
      </c>
      <c r="AU22" s="46">
        <f t="shared" si="12"/>
        <v>0</v>
      </c>
      <c r="AV22" s="46">
        <f t="shared" si="12"/>
        <v>0</v>
      </c>
      <c r="AW22" s="46">
        <f t="shared" si="12"/>
        <v>0</v>
      </c>
      <c r="AX22" s="46">
        <f t="shared" si="12"/>
        <v>0</v>
      </c>
      <c r="AY22" s="46">
        <f t="shared" si="12"/>
        <v>0</v>
      </c>
      <c r="AZ22" s="46">
        <f t="shared" si="12"/>
        <v>0</v>
      </c>
      <c r="BA22" s="46">
        <f t="shared" si="12"/>
        <v>0</v>
      </c>
      <c r="BB22" s="47">
        <f t="shared" si="12"/>
        <v>0</v>
      </c>
    </row>
    <row r="23" spans="2:54" ht="17" thickBot="1">
      <c r="B23" s="398"/>
      <c r="C23" s="398"/>
      <c r="D23" s="398"/>
      <c r="E23" s="398"/>
      <c r="F23" s="398"/>
      <c r="G23" s="398"/>
      <c r="H23" s="398"/>
      <c r="K23" s="99" t="s">
        <v>31</v>
      </c>
      <c r="L23" s="99"/>
      <c r="M23" s="99"/>
      <c r="N23" s="100"/>
      <c r="O23" s="101">
        <v>8</v>
      </c>
      <c r="P23" s="100"/>
      <c r="Q23" s="100"/>
      <c r="R23" s="100"/>
      <c r="S23" s="100">
        <v>9</v>
      </c>
      <c r="T23" s="100"/>
      <c r="U23" s="100"/>
      <c r="Y23" s="15"/>
      <c r="AA23" s="445" t="s">
        <v>23</v>
      </c>
      <c r="AB23" s="500"/>
      <c r="AC23" s="290"/>
      <c r="AD23" s="329">
        <f t="shared" si="18"/>
        <v>0</v>
      </c>
      <c r="AE23" s="324">
        <f t="shared" si="19"/>
        <v>0</v>
      </c>
      <c r="AF23" s="324">
        <f t="shared" si="20"/>
        <v>0</v>
      </c>
      <c r="AG23" s="324">
        <f t="shared" si="21"/>
        <v>0</v>
      </c>
      <c r="AH23" s="324">
        <f t="shared" si="22"/>
        <v>0</v>
      </c>
      <c r="AI23" s="324">
        <f t="shared" si="23"/>
        <v>0</v>
      </c>
      <c r="AJ23" s="324">
        <f t="shared" si="24"/>
        <v>0</v>
      </c>
      <c r="AK23" s="324">
        <f t="shared" si="25"/>
        <v>0</v>
      </c>
      <c r="AL23" s="330">
        <f t="shared" si="26"/>
        <v>0</v>
      </c>
      <c r="AM23" s="84"/>
      <c r="AN23" s="84"/>
      <c r="AQ23" s="445" t="s">
        <v>23</v>
      </c>
      <c r="AR23" s="500"/>
      <c r="AS23" s="290"/>
      <c r="AT23" s="103">
        <f t="shared" si="14"/>
        <v>0</v>
      </c>
      <c r="AU23" s="103">
        <f t="shared" si="12"/>
        <v>0</v>
      </c>
      <c r="AV23" s="103">
        <f t="shared" si="12"/>
        <v>0</v>
      </c>
      <c r="AW23" s="103">
        <f t="shared" si="12"/>
        <v>0</v>
      </c>
      <c r="AX23" s="103">
        <f t="shared" si="12"/>
        <v>0</v>
      </c>
      <c r="AY23" s="103">
        <f t="shared" si="12"/>
        <v>0</v>
      </c>
      <c r="AZ23" s="103">
        <f t="shared" si="12"/>
        <v>0</v>
      </c>
      <c r="BA23" s="103">
        <f t="shared" si="12"/>
        <v>0</v>
      </c>
      <c r="BB23" s="106">
        <f t="shared" si="12"/>
        <v>0</v>
      </c>
    </row>
    <row r="24" spans="2:54" ht="16" customHeight="1" thickBot="1">
      <c r="B24" s="398" t="s">
        <v>74</v>
      </c>
      <c r="C24" s="398"/>
      <c r="D24" s="398"/>
      <c r="E24" s="398"/>
      <c r="F24" s="398"/>
      <c r="G24" s="398"/>
      <c r="H24" s="398"/>
      <c r="K24" s="502" t="s">
        <v>1</v>
      </c>
      <c r="L24" s="495"/>
      <c r="M24" s="107" t="s">
        <v>3</v>
      </c>
      <c r="N24" s="108">
        <v>0</v>
      </c>
      <c r="O24" s="24">
        <v>1</v>
      </c>
      <c r="P24" s="24">
        <v>2</v>
      </c>
      <c r="Q24" s="24">
        <v>3</v>
      </c>
      <c r="R24" s="24">
        <v>4</v>
      </c>
      <c r="S24" s="24">
        <v>5</v>
      </c>
      <c r="T24" s="24">
        <v>6</v>
      </c>
      <c r="U24" s="24">
        <v>7</v>
      </c>
      <c r="V24" s="25">
        <v>8</v>
      </c>
      <c r="W24" s="26"/>
      <c r="X24" s="26"/>
      <c r="Y24" s="15"/>
      <c r="AA24" s="437" t="s">
        <v>24</v>
      </c>
      <c r="AB24" s="492"/>
      <c r="AC24" s="291"/>
      <c r="AD24" s="327">
        <f t="shared" si="18"/>
        <v>0</v>
      </c>
      <c r="AE24" s="118">
        <f t="shared" si="19"/>
        <v>0</v>
      </c>
      <c r="AF24" s="118">
        <f t="shared" si="20"/>
        <v>0</v>
      </c>
      <c r="AG24" s="118">
        <f t="shared" si="21"/>
        <v>0</v>
      </c>
      <c r="AH24" s="118">
        <f t="shared" si="22"/>
        <v>0</v>
      </c>
      <c r="AI24" s="118">
        <f t="shared" si="23"/>
        <v>0</v>
      </c>
      <c r="AJ24" s="118">
        <f t="shared" si="24"/>
        <v>0</v>
      </c>
      <c r="AK24" s="118">
        <f t="shared" si="25"/>
        <v>0</v>
      </c>
      <c r="AL24" s="328">
        <f t="shared" si="26"/>
        <v>233560</v>
      </c>
      <c r="AM24" s="84"/>
      <c r="AN24" s="110"/>
      <c r="AQ24" s="437" t="s">
        <v>24</v>
      </c>
      <c r="AR24" s="492"/>
      <c r="AS24" s="291"/>
      <c r="AT24" s="46">
        <f t="shared" si="14"/>
        <v>0</v>
      </c>
      <c r="AU24" s="46">
        <f t="shared" si="12"/>
        <v>0</v>
      </c>
      <c r="AV24" s="46">
        <f t="shared" si="12"/>
        <v>0</v>
      </c>
      <c r="AW24" s="46">
        <f t="shared" si="12"/>
        <v>0</v>
      </c>
      <c r="AX24" s="46">
        <f t="shared" si="12"/>
        <v>0</v>
      </c>
      <c r="AY24" s="46">
        <f t="shared" si="12"/>
        <v>0</v>
      </c>
      <c r="AZ24" s="46">
        <f t="shared" si="12"/>
        <v>0</v>
      </c>
      <c r="BA24" s="46">
        <f t="shared" si="12"/>
        <v>0</v>
      </c>
      <c r="BB24" s="47">
        <f t="shared" si="12"/>
        <v>233560</v>
      </c>
    </row>
    <row r="25" spans="2:54" ht="14" customHeight="1" thickBot="1">
      <c r="B25" s="398"/>
      <c r="C25" s="398"/>
      <c r="D25" s="398"/>
      <c r="E25" s="398"/>
      <c r="F25" s="398"/>
      <c r="G25" s="398"/>
      <c r="H25" s="398"/>
      <c r="K25" s="395" t="s">
        <v>7</v>
      </c>
      <c r="L25" s="496"/>
      <c r="M25" s="111"/>
      <c r="N25" s="112"/>
      <c r="O25" s="276">
        <f>Ennoncé!O25</f>
        <v>15300</v>
      </c>
      <c r="P25" s="277">
        <f>Ennoncé!P25</f>
        <v>15300</v>
      </c>
      <c r="Q25" s="277">
        <f>Ennoncé!Q25</f>
        <v>15300</v>
      </c>
      <c r="R25" s="277">
        <f>Ennoncé!R25</f>
        <v>15300</v>
      </c>
      <c r="S25" s="276">
        <f>Ennoncé!S25</f>
        <v>26000</v>
      </c>
      <c r="T25" s="277">
        <f>Ennoncé!T25</f>
        <v>26000</v>
      </c>
      <c r="U25" s="277">
        <f>Ennoncé!U25</f>
        <v>26000</v>
      </c>
      <c r="V25" s="315">
        <f>Ennoncé!V25</f>
        <v>26000</v>
      </c>
      <c r="W25" s="38"/>
      <c r="X25" s="38"/>
      <c r="Y25" s="15"/>
      <c r="AA25" s="437" t="s">
        <v>25</v>
      </c>
      <c r="AB25" s="492"/>
      <c r="AC25" s="291"/>
      <c r="AD25" s="327">
        <f t="shared" si="18"/>
        <v>0</v>
      </c>
      <c r="AE25" s="118">
        <f t="shared" si="19"/>
        <v>0</v>
      </c>
      <c r="AF25" s="118">
        <f t="shared" si="20"/>
        <v>0</v>
      </c>
      <c r="AG25" s="118">
        <f t="shared" si="21"/>
        <v>0</v>
      </c>
      <c r="AH25" s="118">
        <f t="shared" si="22"/>
        <v>0</v>
      </c>
      <c r="AI25" s="118">
        <f t="shared" si="23"/>
        <v>0</v>
      </c>
      <c r="AJ25" s="118">
        <f t="shared" si="24"/>
        <v>0</v>
      </c>
      <c r="AK25" s="118">
        <f t="shared" si="25"/>
        <v>0</v>
      </c>
      <c r="AL25" s="328">
        <f t="shared" si="26"/>
        <v>120000</v>
      </c>
      <c r="AM25" s="84"/>
      <c r="AN25" s="110"/>
      <c r="AQ25" s="437" t="s">
        <v>25</v>
      </c>
      <c r="AR25" s="492"/>
      <c r="AS25" s="291"/>
      <c r="AT25" s="46">
        <f t="shared" si="14"/>
        <v>0</v>
      </c>
      <c r="AU25" s="46">
        <f t="shared" si="12"/>
        <v>0</v>
      </c>
      <c r="AV25" s="46">
        <f t="shared" si="12"/>
        <v>0</v>
      </c>
      <c r="AW25" s="46">
        <f t="shared" si="12"/>
        <v>0</v>
      </c>
      <c r="AX25" s="46">
        <f t="shared" si="12"/>
        <v>0</v>
      </c>
      <c r="AY25" s="46">
        <f t="shared" si="12"/>
        <v>0</v>
      </c>
      <c r="AZ25" s="46">
        <f t="shared" si="12"/>
        <v>0</v>
      </c>
      <c r="BA25" s="46">
        <f t="shared" si="12"/>
        <v>0</v>
      </c>
      <c r="BB25" s="47">
        <f t="shared" si="12"/>
        <v>120000</v>
      </c>
    </row>
    <row r="26" spans="2:54" ht="14" customHeight="1">
      <c r="B26" s="398"/>
      <c r="C26" s="398"/>
      <c r="D26" s="398"/>
      <c r="E26" s="398"/>
      <c r="F26" s="398"/>
      <c r="G26" s="398"/>
      <c r="H26" s="398"/>
      <c r="K26" s="390" t="s">
        <v>9</v>
      </c>
      <c r="L26" s="492"/>
      <c r="M26" s="113"/>
      <c r="N26" s="114"/>
      <c r="O26" s="48">
        <f>Ennoncé!O26</f>
        <v>382500</v>
      </c>
      <c r="P26" s="48">
        <f>Ennoncé!P26</f>
        <v>382500</v>
      </c>
      <c r="Q26" s="48">
        <f>Ennoncé!Q26</f>
        <v>382500</v>
      </c>
      <c r="R26" s="48">
        <f>Ennoncé!R26</f>
        <v>382500</v>
      </c>
      <c r="S26" s="48">
        <f>Ennoncé!S26</f>
        <v>650000</v>
      </c>
      <c r="T26" s="48">
        <f>Ennoncé!T26</f>
        <v>650000</v>
      </c>
      <c r="U26" s="48">
        <f>Ennoncé!U26</f>
        <v>650000</v>
      </c>
      <c r="V26" s="255">
        <f>Ennoncé!V26</f>
        <v>650000</v>
      </c>
      <c r="W26" s="48"/>
      <c r="X26" s="48"/>
      <c r="Y26" s="15"/>
      <c r="AA26" s="437" t="s">
        <v>26</v>
      </c>
      <c r="AB26" s="492"/>
      <c r="AC26" s="291">
        <f>M39</f>
        <v>7.0000000000000007E-2</v>
      </c>
      <c r="AD26" s="327">
        <f t="shared" si="18"/>
        <v>0</v>
      </c>
      <c r="AE26" s="118">
        <f t="shared" si="19"/>
        <v>0</v>
      </c>
      <c r="AF26" s="118">
        <f t="shared" si="20"/>
        <v>0</v>
      </c>
      <c r="AG26" s="118">
        <f t="shared" si="21"/>
        <v>0</v>
      </c>
      <c r="AH26" s="118">
        <f t="shared" si="22"/>
        <v>0</v>
      </c>
      <c r="AI26" s="118">
        <f t="shared" si="23"/>
        <v>0</v>
      </c>
      <c r="AJ26" s="118">
        <f t="shared" si="24"/>
        <v>0</v>
      </c>
      <c r="AK26" s="118">
        <f t="shared" si="25"/>
        <v>0</v>
      </c>
      <c r="AL26" s="328">
        <f t="shared" si="26"/>
        <v>806932.5418439114</v>
      </c>
      <c r="AM26" s="84"/>
      <c r="AN26" s="110"/>
      <c r="AQ26" s="437" t="s">
        <v>26</v>
      </c>
      <c r="AR26" s="492"/>
      <c r="AS26" s="291">
        <f>AC26</f>
        <v>7.0000000000000007E-2</v>
      </c>
      <c r="AT26" s="46">
        <f t="shared" si="14"/>
        <v>0</v>
      </c>
      <c r="AU26" s="46">
        <f t="shared" si="12"/>
        <v>0</v>
      </c>
      <c r="AV26" s="46">
        <f t="shared" si="12"/>
        <v>0</v>
      </c>
      <c r="AW26" s="46">
        <f t="shared" si="12"/>
        <v>0</v>
      </c>
      <c r="AX26" s="46">
        <f t="shared" si="12"/>
        <v>0</v>
      </c>
      <c r="AY26" s="46">
        <f t="shared" si="12"/>
        <v>0</v>
      </c>
      <c r="AZ26" s="46">
        <f t="shared" si="12"/>
        <v>0</v>
      </c>
      <c r="BA26" s="46">
        <f t="shared" si="12"/>
        <v>0</v>
      </c>
      <c r="BB26" s="47">
        <f t="shared" si="12"/>
        <v>806932.5418439114</v>
      </c>
    </row>
    <row r="27" spans="2:54" ht="14" customHeight="1">
      <c r="B27" s="398"/>
      <c r="C27" s="398"/>
      <c r="D27" s="398"/>
      <c r="E27" s="398"/>
      <c r="F27" s="398"/>
      <c r="G27" s="398"/>
      <c r="H27" s="398"/>
      <c r="K27" s="390" t="s">
        <v>10</v>
      </c>
      <c r="L27" s="492"/>
      <c r="M27" s="113"/>
      <c r="N27" s="114"/>
      <c r="O27" s="48">
        <f>Ennoncé!O27</f>
        <v>-123000</v>
      </c>
      <c r="P27" s="48">
        <f>Ennoncé!P27</f>
        <v>-123000</v>
      </c>
      <c r="Q27" s="48">
        <f>Ennoncé!Q27</f>
        <v>-123000</v>
      </c>
      <c r="R27" s="48">
        <f>Ennoncé!R27</f>
        <v>-123000</v>
      </c>
      <c r="S27" s="48">
        <f>Ennoncé!S27</f>
        <v>-242000</v>
      </c>
      <c r="T27" s="48">
        <f>Ennoncé!T27</f>
        <v>-242000</v>
      </c>
      <c r="U27" s="48">
        <f>Ennoncé!U27</f>
        <v>-242000</v>
      </c>
      <c r="V27" s="255">
        <f>Ennoncé!V27</f>
        <v>-242000</v>
      </c>
      <c r="W27" s="56"/>
      <c r="X27" s="56"/>
      <c r="Y27" s="15"/>
      <c r="AA27" s="437" t="s">
        <v>22</v>
      </c>
      <c r="AB27" s="492"/>
      <c r="AC27" s="292"/>
      <c r="AD27" s="327">
        <f t="shared" si="18"/>
        <v>0</v>
      </c>
      <c r="AE27" s="118">
        <f t="shared" si="19"/>
        <v>0</v>
      </c>
      <c r="AF27" s="118">
        <f t="shared" si="20"/>
        <v>0</v>
      </c>
      <c r="AG27" s="118">
        <f t="shared" si="21"/>
        <v>0</v>
      </c>
      <c r="AH27" s="118">
        <f t="shared" si="22"/>
        <v>0</v>
      </c>
      <c r="AI27" s="118">
        <f t="shared" si="23"/>
        <v>0</v>
      </c>
      <c r="AJ27" s="118">
        <f t="shared" si="24"/>
        <v>0</v>
      </c>
      <c r="AK27" s="118">
        <f t="shared" si="25"/>
        <v>0</v>
      </c>
      <c r="AL27" s="328">
        <f t="shared" si="26"/>
        <v>50000</v>
      </c>
      <c r="AM27" s="84"/>
      <c r="AN27" s="110"/>
      <c r="AQ27" s="437" t="s">
        <v>22</v>
      </c>
      <c r="AR27" s="492"/>
      <c r="AS27" s="292"/>
      <c r="AT27" s="46">
        <f t="shared" si="14"/>
        <v>0</v>
      </c>
      <c r="AU27" s="46">
        <f t="shared" si="12"/>
        <v>0</v>
      </c>
      <c r="AV27" s="46">
        <f t="shared" si="12"/>
        <v>0</v>
      </c>
      <c r="AW27" s="46">
        <f t="shared" si="12"/>
        <v>0</v>
      </c>
      <c r="AX27" s="46">
        <f t="shared" si="12"/>
        <v>0</v>
      </c>
      <c r="AY27" s="46">
        <f t="shared" si="12"/>
        <v>0</v>
      </c>
      <c r="AZ27" s="46">
        <f t="shared" si="12"/>
        <v>0</v>
      </c>
      <c r="BA27" s="46">
        <f t="shared" si="12"/>
        <v>0</v>
      </c>
      <c r="BB27" s="47">
        <f t="shared" si="12"/>
        <v>50000</v>
      </c>
    </row>
    <row r="28" spans="2:54" ht="17" thickBot="1">
      <c r="B28" s="398"/>
      <c r="C28" s="398"/>
      <c r="D28" s="398"/>
      <c r="E28" s="398"/>
      <c r="F28" s="398"/>
      <c r="G28" s="398"/>
      <c r="H28" s="398"/>
      <c r="K28" s="390" t="s">
        <v>11</v>
      </c>
      <c r="L28" s="492"/>
      <c r="M28" s="113"/>
      <c r="N28" s="114"/>
      <c r="O28" s="48">
        <f>Ennoncé!O28</f>
        <v>0</v>
      </c>
      <c r="P28" s="48">
        <f>Ennoncé!P28</f>
        <v>0</v>
      </c>
      <c r="Q28" s="48">
        <f>Ennoncé!Q28</f>
        <v>0</v>
      </c>
      <c r="R28" s="48">
        <f>Ennoncé!R28</f>
        <v>0</v>
      </c>
      <c r="S28" s="48">
        <f>Ennoncé!S28</f>
        <v>0</v>
      </c>
      <c r="T28" s="48">
        <f>Ennoncé!T28</f>
        <v>0</v>
      </c>
      <c r="U28" s="48">
        <f>Ennoncé!U28</f>
        <v>0</v>
      </c>
      <c r="V28" s="255">
        <f>Ennoncé!V28</f>
        <v>0</v>
      </c>
      <c r="W28" s="56"/>
      <c r="X28" s="56"/>
      <c r="Y28" s="15"/>
      <c r="AA28" s="437"/>
      <c r="AB28" s="492"/>
      <c r="AC28" s="292"/>
      <c r="AD28" s="331">
        <f t="shared" si="18"/>
        <v>0</v>
      </c>
      <c r="AE28" s="133">
        <f t="shared" si="19"/>
        <v>0</v>
      </c>
      <c r="AF28" s="133">
        <f t="shared" si="20"/>
        <v>0</v>
      </c>
      <c r="AG28" s="133">
        <f t="shared" si="21"/>
        <v>0</v>
      </c>
      <c r="AH28" s="133">
        <f t="shared" si="22"/>
        <v>0</v>
      </c>
      <c r="AI28" s="133">
        <f t="shared" si="23"/>
        <v>0</v>
      </c>
      <c r="AJ28" s="133">
        <f t="shared" si="24"/>
        <v>0</v>
      </c>
      <c r="AK28" s="133">
        <f t="shared" si="25"/>
        <v>0</v>
      </c>
      <c r="AL28" s="332">
        <f t="shared" si="26"/>
        <v>0</v>
      </c>
      <c r="AM28" s="84"/>
      <c r="AN28" s="110"/>
      <c r="AQ28" s="487"/>
      <c r="AR28" s="501"/>
      <c r="AS28" s="322"/>
      <c r="AT28" s="131">
        <f t="shared" si="14"/>
        <v>0</v>
      </c>
      <c r="AU28" s="131">
        <f t="shared" si="12"/>
        <v>0</v>
      </c>
      <c r="AV28" s="131">
        <f t="shared" si="12"/>
        <v>0</v>
      </c>
      <c r="AW28" s="131">
        <f t="shared" si="12"/>
        <v>0</v>
      </c>
      <c r="AX28" s="131">
        <f t="shared" si="12"/>
        <v>0</v>
      </c>
      <c r="AY28" s="131">
        <f t="shared" si="12"/>
        <v>0</v>
      </c>
      <c r="AZ28" s="131">
        <f t="shared" si="12"/>
        <v>0</v>
      </c>
      <c r="BA28" s="131">
        <f t="shared" si="12"/>
        <v>0</v>
      </c>
      <c r="BB28" s="323">
        <f t="shared" si="12"/>
        <v>0</v>
      </c>
    </row>
    <row r="29" spans="2:54" ht="16" customHeight="1" thickBot="1">
      <c r="B29" s="398" t="s">
        <v>60</v>
      </c>
      <c r="C29" s="398"/>
      <c r="D29" s="398"/>
      <c r="E29" s="398"/>
      <c r="F29" s="398"/>
      <c r="G29" s="398"/>
      <c r="H29" s="398"/>
      <c r="K29" s="388" t="s">
        <v>13</v>
      </c>
      <c r="L29" s="505"/>
      <c r="M29" s="506"/>
      <c r="N29" s="65"/>
      <c r="O29" s="278">
        <f>Ennoncé!O29</f>
        <v>259500</v>
      </c>
      <c r="P29" s="278">
        <f>Ennoncé!P29</f>
        <v>259500</v>
      </c>
      <c r="Q29" s="278">
        <f>Ennoncé!Q29</f>
        <v>259500</v>
      </c>
      <c r="R29" s="278">
        <f>Ennoncé!R29</f>
        <v>259500</v>
      </c>
      <c r="S29" s="278">
        <f>Ennoncé!S29</f>
        <v>408000</v>
      </c>
      <c r="T29" s="278">
        <f>Ennoncé!T29</f>
        <v>408000</v>
      </c>
      <c r="U29" s="278">
        <f>Ennoncé!U29</f>
        <v>408000</v>
      </c>
      <c r="V29" s="279">
        <f>Ennoncé!V29</f>
        <v>408000</v>
      </c>
      <c r="W29" s="63"/>
      <c r="X29" s="63"/>
      <c r="Y29" s="15"/>
      <c r="AA29" s="441" t="s">
        <v>91</v>
      </c>
      <c r="AB29" s="507"/>
      <c r="AC29" s="120"/>
      <c r="AD29" s="121"/>
      <c r="AE29" s="122"/>
      <c r="AF29" s="122"/>
      <c r="AG29" s="122"/>
      <c r="AH29" s="122"/>
      <c r="AI29" s="122"/>
      <c r="AJ29" s="122"/>
      <c r="AK29" s="123"/>
      <c r="AL29" s="124"/>
      <c r="AM29" s="84"/>
      <c r="AN29" s="110"/>
      <c r="AQ29" s="443" t="s">
        <v>91</v>
      </c>
      <c r="AR29" s="499"/>
      <c r="AS29" s="117"/>
      <c r="AT29" s="48"/>
      <c r="AU29" s="48"/>
      <c r="AV29" s="48"/>
      <c r="AW29" s="48"/>
      <c r="AX29" s="48"/>
      <c r="AY29" s="48"/>
      <c r="AZ29" s="48"/>
      <c r="BA29" s="48"/>
      <c r="BB29" s="255"/>
    </row>
    <row r="30" spans="2:54" ht="14" customHeight="1">
      <c r="B30" s="398"/>
      <c r="C30" s="398"/>
      <c r="D30" s="398"/>
      <c r="E30" s="398"/>
      <c r="F30" s="398"/>
      <c r="G30" s="398"/>
      <c r="H30" s="398"/>
      <c r="K30" s="390" t="s">
        <v>17</v>
      </c>
      <c r="L30" s="492"/>
      <c r="M30" s="299"/>
      <c r="N30" s="307"/>
      <c r="O30" s="308"/>
      <c r="P30" s="308"/>
      <c r="Q30" s="308"/>
      <c r="R30" s="308"/>
      <c r="S30" s="308"/>
      <c r="T30" s="308"/>
      <c r="U30" s="308"/>
      <c r="V30" s="309"/>
      <c r="W30" s="84"/>
      <c r="X30" s="84"/>
      <c r="Y30" s="15"/>
      <c r="AA30" s="503" t="s">
        <v>104</v>
      </c>
      <c r="AB30" s="504"/>
      <c r="AC30" s="117"/>
      <c r="AD30" s="32"/>
      <c r="AE30" s="54"/>
      <c r="AF30" s="54"/>
      <c r="AG30" s="54"/>
      <c r="AH30" s="54"/>
      <c r="AI30" s="54"/>
      <c r="AJ30" s="54"/>
      <c r="AK30" s="118"/>
      <c r="AL30" s="127">
        <f>AC51</f>
        <v>9589.0212786651464</v>
      </c>
      <c r="AM30" s="84"/>
      <c r="AN30" s="110"/>
      <c r="AQ30" s="503" t="s">
        <v>104</v>
      </c>
      <c r="AR30" s="504"/>
      <c r="AS30" s="117"/>
      <c r="AT30" s="32"/>
      <c r="AU30" s="49"/>
      <c r="AV30" s="49"/>
      <c r="AW30" s="49"/>
      <c r="AX30" s="49"/>
      <c r="AY30" s="49"/>
      <c r="AZ30" s="49"/>
      <c r="BA30" s="49"/>
      <c r="BB30" s="50">
        <f>AL30</f>
        <v>9589.0212786651464</v>
      </c>
    </row>
    <row r="31" spans="2:54" ht="14" customHeight="1">
      <c r="B31" s="398"/>
      <c r="C31" s="398"/>
      <c r="D31" s="398"/>
      <c r="E31" s="398"/>
      <c r="F31" s="398"/>
      <c r="G31" s="398"/>
      <c r="H31" s="398"/>
      <c r="K31" s="390" t="s">
        <v>19</v>
      </c>
      <c r="L31" s="492"/>
      <c r="M31" s="299"/>
      <c r="N31" s="256">
        <f>Ennoncé!N31</f>
        <v>-327000</v>
      </c>
      <c r="O31" s="306">
        <f>Ennoncé!O31</f>
        <v>0</v>
      </c>
      <c r="P31" s="306">
        <f>Ennoncé!P31</f>
        <v>0</v>
      </c>
      <c r="Q31" s="306">
        <f>Ennoncé!Q31</f>
        <v>0</v>
      </c>
      <c r="R31" s="306">
        <f>Ennoncé!R31</f>
        <v>0</v>
      </c>
      <c r="S31" s="306">
        <f>Ennoncé!S31</f>
        <v>0</v>
      </c>
      <c r="T31" s="306">
        <f>Ennoncé!T31</f>
        <v>0</v>
      </c>
      <c r="U31" s="306">
        <f>Ennoncé!U31</f>
        <v>0</v>
      </c>
      <c r="V31" s="312">
        <f>Ennoncé!V31</f>
        <v>0</v>
      </c>
      <c r="W31" s="84"/>
      <c r="X31" s="84"/>
      <c r="Y31" s="15"/>
      <c r="AA31" s="503" t="s">
        <v>106</v>
      </c>
      <c r="AB31" s="504"/>
      <c r="AC31" s="117"/>
      <c r="AD31" s="32"/>
      <c r="AE31" s="32"/>
      <c r="AF31" s="32"/>
      <c r="AG31" s="32"/>
      <c r="AH31" s="32"/>
      <c r="AI31" s="32"/>
      <c r="AJ31" s="32"/>
      <c r="AK31" s="32"/>
      <c r="AL31" s="127">
        <f>AD50</f>
        <v>-38836.024560639991</v>
      </c>
      <c r="AM31" s="84"/>
      <c r="AN31" s="110"/>
      <c r="AQ31" s="503" t="s">
        <v>106</v>
      </c>
      <c r="AR31" s="504"/>
      <c r="AS31" s="117"/>
      <c r="AT31" s="32"/>
      <c r="AU31" s="49"/>
      <c r="AV31" s="49"/>
      <c r="AW31" s="49"/>
      <c r="AX31" s="49"/>
      <c r="AY31" s="49"/>
      <c r="AZ31" s="49"/>
      <c r="BA31" s="49"/>
      <c r="BB31" s="50">
        <f>AL31</f>
        <v>-38836.024560639991</v>
      </c>
    </row>
    <row r="32" spans="2:54" ht="14" customHeight="1">
      <c r="B32" s="398"/>
      <c r="C32" s="398"/>
      <c r="D32" s="398"/>
      <c r="E32" s="398"/>
      <c r="F32" s="398"/>
      <c r="G32" s="398"/>
      <c r="H32" s="398"/>
      <c r="K32" s="390" t="s">
        <v>20</v>
      </c>
      <c r="L32" s="492"/>
      <c r="M32" s="299"/>
      <c r="N32" s="256">
        <f>Ennoncé!N32</f>
        <v>-343000</v>
      </c>
      <c r="O32" s="306">
        <f>Ennoncé!O32</f>
        <v>0</v>
      </c>
      <c r="P32" s="306">
        <f>Ennoncé!P32</f>
        <v>0</v>
      </c>
      <c r="Q32" s="306">
        <f>Ennoncé!Q32</f>
        <v>0</v>
      </c>
      <c r="R32" s="306">
        <f>Ennoncé!R32</f>
        <v>0</v>
      </c>
      <c r="S32" s="306">
        <f>Ennoncé!S32</f>
        <v>0</v>
      </c>
      <c r="T32" s="306">
        <f>Ennoncé!T32</f>
        <v>0</v>
      </c>
      <c r="U32" s="306">
        <f>Ennoncé!U32</f>
        <v>0</v>
      </c>
      <c r="V32" s="312">
        <f>Ennoncé!V32</f>
        <v>0</v>
      </c>
      <c r="W32" s="84"/>
      <c r="X32" s="84"/>
      <c r="Y32" s="15"/>
      <c r="AA32" s="503" t="s">
        <v>105</v>
      </c>
      <c r="AB32" s="504"/>
      <c r="AC32" s="117"/>
      <c r="AD32" s="32"/>
      <c r="AE32" s="54"/>
      <c r="AF32" s="54"/>
      <c r="AG32" s="54"/>
      <c r="AH32" s="54"/>
      <c r="AI32" s="54"/>
      <c r="AJ32" s="54"/>
      <c r="AK32" s="118"/>
      <c r="AL32" s="127">
        <f>(L21-M21)*AC14*0.5</f>
        <v>-19202.377228361987</v>
      </c>
      <c r="AM32" s="84"/>
      <c r="AN32" s="110"/>
      <c r="AQ32" s="503" t="s">
        <v>105</v>
      </c>
      <c r="AR32" s="504"/>
      <c r="AS32" s="117"/>
      <c r="AT32" s="32"/>
      <c r="AU32" s="49"/>
      <c r="AV32" s="49"/>
      <c r="AW32" s="49"/>
      <c r="AX32" s="49"/>
      <c r="AY32" s="49"/>
      <c r="AZ32" s="49"/>
      <c r="BA32" s="49"/>
      <c r="BB32" s="50">
        <f t="shared" ref="BB32" si="27">AL32</f>
        <v>-19202.377228361987</v>
      </c>
    </row>
    <row r="33" spans="2:54" ht="14" customHeight="1">
      <c r="B33" s="398"/>
      <c r="C33" s="398"/>
      <c r="D33" s="398"/>
      <c r="E33" s="398"/>
      <c r="F33" s="398"/>
      <c r="G33" s="398"/>
      <c r="H33" s="398"/>
      <c r="K33" s="390" t="s">
        <v>21</v>
      </c>
      <c r="L33" s="492"/>
      <c r="M33" s="299"/>
      <c r="N33" s="256">
        <f>Ennoncé!N33</f>
        <v>-637000</v>
      </c>
      <c r="O33" s="306">
        <f>Ennoncé!O33</f>
        <v>0</v>
      </c>
      <c r="P33" s="306">
        <f>Ennoncé!P33</f>
        <v>0</v>
      </c>
      <c r="Q33" s="306">
        <f>Ennoncé!Q33</f>
        <v>0</v>
      </c>
      <c r="R33" s="306">
        <f>Ennoncé!R33</f>
        <v>0</v>
      </c>
      <c r="S33" s="306">
        <f>Ennoncé!S33</f>
        <v>0</v>
      </c>
      <c r="T33" s="306">
        <f>Ennoncé!T33</f>
        <v>0</v>
      </c>
      <c r="U33" s="306">
        <f>Ennoncé!U33</f>
        <v>0</v>
      </c>
      <c r="V33" s="312">
        <f>Ennoncé!V33</f>
        <v>0</v>
      </c>
      <c r="W33" s="84"/>
      <c r="X33" s="84"/>
      <c r="Y33" s="15"/>
      <c r="AA33" s="443"/>
      <c r="AB33" s="492"/>
      <c r="AC33" s="117"/>
      <c r="AD33" s="46"/>
      <c r="AE33" s="54"/>
      <c r="AF33" s="54"/>
      <c r="AG33" s="54"/>
      <c r="AH33" s="54"/>
      <c r="AI33" s="54"/>
      <c r="AJ33" s="54"/>
      <c r="AK33" s="118"/>
      <c r="AL33" s="53"/>
      <c r="AM33" s="84"/>
      <c r="AN33" s="110"/>
      <c r="AQ33" s="443"/>
      <c r="AR33" s="492"/>
      <c r="AS33" s="117"/>
      <c r="AT33" s="46"/>
      <c r="AU33" s="49"/>
      <c r="AV33" s="49"/>
      <c r="AW33" s="49"/>
      <c r="AX33" s="49"/>
      <c r="AY33" s="49"/>
      <c r="AZ33" s="49"/>
      <c r="BA33" s="49"/>
      <c r="BB33" s="50"/>
    </row>
    <row r="34" spans="2:54" ht="17" thickBot="1">
      <c r="K34" s="390" t="s">
        <v>22</v>
      </c>
      <c r="L34" s="499"/>
      <c r="M34" s="299"/>
      <c r="N34" s="256">
        <f>Ennoncé!N34</f>
        <v>-20000</v>
      </c>
      <c r="O34" s="306">
        <f>Ennoncé!O34</f>
        <v>0</v>
      </c>
      <c r="P34" s="306">
        <f>Ennoncé!P34</f>
        <v>0</v>
      </c>
      <c r="Q34" s="306">
        <f>Ennoncé!Q34</f>
        <v>0</v>
      </c>
      <c r="R34" s="306">
        <f>Ennoncé!R34</f>
        <v>-30000</v>
      </c>
      <c r="S34" s="306">
        <f>Ennoncé!S34</f>
        <v>0</v>
      </c>
      <c r="T34" s="306">
        <f>Ennoncé!T34</f>
        <v>0</v>
      </c>
      <c r="U34" s="306">
        <f>Ennoncé!U34</f>
        <v>0</v>
      </c>
      <c r="V34" s="312">
        <f>Ennoncé!V34</f>
        <v>0</v>
      </c>
      <c r="W34" s="84"/>
      <c r="X34" s="84"/>
      <c r="Y34" s="15"/>
      <c r="AA34" s="483"/>
      <c r="AB34" s="501"/>
      <c r="AC34" s="130"/>
      <c r="AD34" s="131"/>
      <c r="AE34" s="132"/>
      <c r="AF34" s="132"/>
      <c r="AG34" s="132"/>
      <c r="AH34" s="132"/>
      <c r="AI34" s="132"/>
      <c r="AJ34" s="132"/>
      <c r="AK34" s="133"/>
      <c r="AL34" s="98"/>
      <c r="AM34" s="134"/>
      <c r="AN34" s="110"/>
      <c r="AQ34" s="483"/>
      <c r="AR34" s="501"/>
      <c r="AS34" s="130"/>
      <c r="AT34" s="46"/>
      <c r="AU34" s="49"/>
      <c r="AV34" s="49"/>
      <c r="AW34" s="49"/>
      <c r="AX34" s="49"/>
      <c r="AY34" s="49"/>
      <c r="AZ34" s="49"/>
      <c r="BA34" s="49"/>
      <c r="BB34" s="50"/>
    </row>
    <row r="35" spans="2:54">
      <c r="C35" s="509" t="s">
        <v>75</v>
      </c>
      <c r="D35" s="510"/>
      <c r="E35" s="509" t="s">
        <v>76</v>
      </c>
      <c r="F35" s="510"/>
      <c r="K35" s="480"/>
      <c r="L35" s="481"/>
      <c r="M35" s="299"/>
      <c r="N35" s="313">
        <f>Ennoncé!N35</f>
        <v>0</v>
      </c>
      <c r="O35" s="310">
        <f>Ennoncé!O35</f>
        <v>0</v>
      </c>
      <c r="P35" s="310">
        <f>Ennoncé!P35</f>
        <v>0</v>
      </c>
      <c r="Q35" s="310">
        <f>Ennoncé!Q35</f>
        <v>0</v>
      </c>
      <c r="R35" s="310">
        <f>Ennoncé!R35</f>
        <v>0</v>
      </c>
      <c r="S35" s="310">
        <f>Ennoncé!S35</f>
        <v>0</v>
      </c>
      <c r="T35" s="310">
        <f>Ennoncé!T35</f>
        <v>0</v>
      </c>
      <c r="U35" s="310">
        <f>Ennoncé!U35</f>
        <v>0</v>
      </c>
      <c r="V35" s="314">
        <f>Ennoncé!V35</f>
        <v>0</v>
      </c>
      <c r="W35" s="84"/>
      <c r="X35" s="84"/>
      <c r="Y35" s="15"/>
      <c r="AA35" s="437" t="s">
        <v>12</v>
      </c>
      <c r="AB35" s="499"/>
      <c r="AC35" s="137"/>
      <c r="AD35" s="138">
        <f>SUM(AD16:AD34)</f>
        <v>-1327000</v>
      </c>
      <c r="AE35" s="138">
        <f t="shared" ref="AE35:AK35" si="28">SUM(AE16:AE34)</f>
        <v>209793.56</v>
      </c>
      <c r="AF35" s="138">
        <f t="shared" si="28"/>
        <v>217194.0656</v>
      </c>
      <c r="AG35" s="138">
        <f t="shared" si="28"/>
        <v>214412.04537599999</v>
      </c>
      <c r="AH35" s="138">
        <f t="shared" si="28"/>
        <v>182166.98148096001</v>
      </c>
      <c r="AI35" s="138">
        <f t="shared" si="28"/>
        <v>325291.2605577216</v>
      </c>
      <c r="AJ35" s="138">
        <f t="shared" si="28"/>
        <v>323821.5608042127</v>
      </c>
      <c r="AK35" s="138">
        <f t="shared" si="28"/>
        <v>322628.59490708425</v>
      </c>
      <c r="AL35" s="288">
        <f>SUM(AL16:AL34)</f>
        <v>1483700.8656724074</v>
      </c>
      <c r="AM35" s="298">
        <v>20</v>
      </c>
      <c r="AN35" s="110"/>
      <c r="AQ35" s="437" t="s">
        <v>12</v>
      </c>
      <c r="AR35" s="499"/>
      <c r="AS35" s="141"/>
      <c r="AT35" s="142">
        <f>SUM(AT16:AT34)</f>
        <v>-1327000</v>
      </c>
      <c r="AU35" s="143">
        <f t="shared" ref="AU35:BA35" si="29">SUM(AU16:AU34)</f>
        <v>38546.060000000049</v>
      </c>
      <c r="AV35" s="143">
        <f t="shared" si="29"/>
        <v>45946.565600000045</v>
      </c>
      <c r="AW35" s="143">
        <f t="shared" si="29"/>
        <v>43164.545376000046</v>
      </c>
      <c r="AX35" s="143">
        <f t="shared" si="29"/>
        <v>10919.481480960043</v>
      </c>
      <c r="AY35" s="143">
        <f t="shared" si="29"/>
        <v>59809.260557721689</v>
      </c>
      <c r="AZ35" s="143">
        <f t="shared" si="29"/>
        <v>58339.560804212822</v>
      </c>
      <c r="BA35" s="143">
        <f t="shared" si="29"/>
        <v>57146.59490708432</v>
      </c>
      <c r="BB35" s="144">
        <f>SUM(BB16:BB34)</f>
        <v>1218218.8656724074</v>
      </c>
    </row>
    <row r="36" spans="2:54" ht="16" customHeight="1">
      <c r="C36" s="401" t="s">
        <v>61</v>
      </c>
      <c r="D36" s="404" t="s">
        <v>62</v>
      </c>
      <c r="E36" s="401" t="s">
        <v>61</v>
      </c>
      <c r="F36" s="404" t="s">
        <v>62</v>
      </c>
      <c r="K36" s="411" t="s">
        <v>23</v>
      </c>
      <c r="L36" s="508"/>
      <c r="M36" s="300"/>
      <c r="N36" s="256">
        <f>Ennoncé!N36</f>
        <v>0</v>
      </c>
      <c r="O36" s="306">
        <f>Ennoncé!O36</f>
        <v>0</v>
      </c>
      <c r="P36" s="306">
        <f>Ennoncé!P36</f>
        <v>0</v>
      </c>
      <c r="Q36" s="306">
        <f>Ennoncé!Q36</f>
        <v>0</v>
      </c>
      <c r="R36" s="306">
        <f>Ennoncé!R36</f>
        <v>0</v>
      </c>
      <c r="S36" s="306">
        <f>Ennoncé!S36</f>
        <v>0</v>
      </c>
      <c r="T36" s="306">
        <f>Ennoncé!T36</f>
        <v>0</v>
      </c>
      <c r="U36" s="306">
        <f>Ennoncé!U36</f>
        <v>0</v>
      </c>
      <c r="V36" s="312">
        <f>Ennoncé!V36</f>
        <v>0</v>
      </c>
      <c r="W36" s="84"/>
      <c r="X36" s="84"/>
      <c r="Y36" s="15"/>
      <c r="AA36" s="437" t="s">
        <v>28</v>
      </c>
      <c r="AB36" s="492"/>
      <c r="AC36" s="148">
        <v>8.5000000000000006E-2</v>
      </c>
      <c r="AD36" s="149">
        <f t="shared" ref="AD36:AL36" si="30">(1+$AC$36)^-AD5</f>
        <v>1</v>
      </c>
      <c r="AE36" s="149">
        <f t="shared" si="30"/>
        <v>0.92165898617511521</v>
      </c>
      <c r="AF36" s="149">
        <f t="shared" si="30"/>
        <v>0.84945528679734128</v>
      </c>
      <c r="AG36" s="149">
        <f t="shared" si="30"/>
        <v>0.78290809843072917</v>
      </c>
      <c r="AH36" s="149">
        <f t="shared" si="30"/>
        <v>0.72157428426795334</v>
      </c>
      <c r="AI36" s="149">
        <f t="shared" si="30"/>
        <v>0.66504542328843619</v>
      </c>
      <c r="AJ36" s="149">
        <f t="shared" si="30"/>
        <v>0.6129450905884205</v>
      </c>
      <c r="AK36" s="149">
        <f t="shared" si="30"/>
        <v>0.56492635077273778</v>
      </c>
      <c r="AL36" s="150">
        <f t="shared" si="30"/>
        <v>0.52066944771680901</v>
      </c>
      <c r="AM36" s="134"/>
      <c r="AN36" s="110"/>
      <c r="AQ36" s="437" t="s">
        <v>28</v>
      </c>
      <c r="AR36" s="492"/>
      <c r="AS36" s="151">
        <v>8.5000000000000006E-2</v>
      </c>
      <c r="AT36" s="152">
        <f t="shared" ref="AT36:BB36" si="31">(1+$AC$36)^-AT5</f>
        <v>1</v>
      </c>
      <c r="AU36" s="149">
        <f t="shared" si="31"/>
        <v>0.92165898617511521</v>
      </c>
      <c r="AV36" s="149">
        <f t="shared" si="31"/>
        <v>0.84945528679734128</v>
      </c>
      <c r="AW36" s="149">
        <f t="shared" si="31"/>
        <v>0.78290809843072917</v>
      </c>
      <c r="AX36" s="149">
        <f t="shared" si="31"/>
        <v>0.72157428426795334</v>
      </c>
      <c r="AY36" s="149">
        <f t="shared" si="31"/>
        <v>0.66504542328843619</v>
      </c>
      <c r="AZ36" s="149">
        <f t="shared" si="31"/>
        <v>0.6129450905884205</v>
      </c>
      <c r="BA36" s="149">
        <f t="shared" si="31"/>
        <v>0.56492635077273778</v>
      </c>
      <c r="BB36" s="150">
        <f t="shared" si="31"/>
        <v>0.52066944771680901</v>
      </c>
    </row>
    <row r="37" spans="2:54" ht="14" customHeight="1" thickBot="1">
      <c r="C37" s="402"/>
      <c r="D37" s="405"/>
      <c r="E37" s="402"/>
      <c r="F37" s="405"/>
      <c r="K37" s="390" t="s">
        <v>24</v>
      </c>
      <c r="L37" s="492"/>
      <c r="M37" s="301"/>
      <c r="N37" s="256">
        <f>Ennoncé!N37</f>
        <v>0</v>
      </c>
      <c r="O37" s="306">
        <f>Ennoncé!O37</f>
        <v>0</v>
      </c>
      <c r="P37" s="306">
        <f>Ennoncé!P37</f>
        <v>0</v>
      </c>
      <c r="Q37" s="306">
        <f>Ennoncé!Q37</f>
        <v>0</v>
      </c>
      <c r="R37" s="306">
        <f>Ennoncé!R37</f>
        <v>0</v>
      </c>
      <c r="S37" s="306">
        <f>Ennoncé!S37</f>
        <v>0</v>
      </c>
      <c r="T37" s="306">
        <f>Ennoncé!T37</f>
        <v>0</v>
      </c>
      <c r="U37" s="306">
        <f>Ennoncé!U37</f>
        <v>0</v>
      </c>
      <c r="V37" s="312">
        <f>Ennoncé!V37</f>
        <v>233560</v>
      </c>
      <c r="W37" s="84"/>
      <c r="X37" s="110"/>
      <c r="Y37" s="15"/>
      <c r="AA37" s="487" t="s">
        <v>29</v>
      </c>
      <c r="AB37" s="512"/>
      <c r="AC37" s="154"/>
      <c r="AD37" s="155">
        <f t="shared" ref="AD37:AL37" si="32">AD35*AD36</f>
        <v>-1327000</v>
      </c>
      <c r="AE37" s="155">
        <f t="shared" si="32"/>
        <v>193358.11981566821</v>
      </c>
      <c r="AF37" s="155">
        <f t="shared" si="32"/>
        <v>184496.64728492856</v>
      </c>
      <c r="AG37" s="155">
        <f t="shared" si="32"/>
        <v>167864.92672596738</v>
      </c>
      <c r="AH37" s="155">
        <f t="shared" si="32"/>
        <v>131447.00927937723</v>
      </c>
      <c r="AI37" s="155">
        <f t="shared" si="32"/>
        <v>216333.46406963895</v>
      </c>
      <c r="AJ37" s="155">
        <f t="shared" si="32"/>
        <v>198484.83592162188</v>
      </c>
      <c r="AK37" s="155">
        <f t="shared" si="32"/>
        <v>182261.39477579499</v>
      </c>
      <c r="AL37" s="156">
        <f t="shared" si="32"/>
        <v>772517.71030660381</v>
      </c>
      <c r="AQ37" s="487" t="s">
        <v>29</v>
      </c>
      <c r="AR37" s="512"/>
      <c r="AS37" s="157"/>
      <c r="AT37" s="158">
        <f t="shared" ref="AT37:BB37" si="33">AT35*AT36</f>
        <v>-1327000</v>
      </c>
      <c r="AU37" s="155">
        <f t="shared" si="33"/>
        <v>35526.322580645203</v>
      </c>
      <c r="AV37" s="155">
        <f t="shared" si="33"/>
        <v>39029.553059100894</v>
      </c>
      <c r="AW37" s="155">
        <f t="shared" si="33"/>
        <v>33793.87213995112</v>
      </c>
      <c r="AX37" s="155">
        <f t="shared" si="33"/>
        <v>7879.217034200914</v>
      </c>
      <c r="AY37" s="155">
        <f t="shared" si="33"/>
        <v>39775.875004178393</v>
      </c>
      <c r="AZ37" s="155">
        <f t="shared" si="33"/>
        <v>35758.947382026898</v>
      </c>
      <c r="BA37" s="155">
        <f t="shared" si="33"/>
        <v>32283.617319947069</v>
      </c>
      <c r="BB37" s="156">
        <f t="shared" si="33"/>
        <v>634289.34398784989</v>
      </c>
    </row>
    <row r="38" spans="2:54">
      <c r="C38" s="403"/>
      <c r="D38" s="406"/>
      <c r="E38" s="403"/>
      <c r="F38" s="406"/>
      <c r="K38" s="390" t="s">
        <v>25</v>
      </c>
      <c r="L38" s="492"/>
      <c r="M38" s="301"/>
      <c r="N38" s="256">
        <f>Ennoncé!N38</f>
        <v>0</v>
      </c>
      <c r="O38" s="306">
        <f>Ennoncé!O38</f>
        <v>0</v>
      </c>
      <c r="P38" s="306">
        <f>Ennoncé!P38</f>
        <v>0</v>
      </c>
      <c r="Q38" s="306">
        <f>Ennoncé!Q38</f>
        <v>0</v>
      </c>
      <c r="R38" s="306">
        <f>Ennoncé!R38</f>
        <v>0</v>
      </c>
      <c r="S38" s="306">
        <f>Ennoncé!S38</f>
        <v>0</v>
      </c>
      <c r="T38" s="306">
        <f>Ennoncé!T38</f>
        <v>0</v>
      </c>
      <c r="U38" s="306">
        <f>Ennoncé!U38</f>
        <v>0</v>
      </c>
      <c r="V38" s="312">
        <f>Ennoncé!V38</f>
        <v>120000</v>
      </c>
      <c r="W38" s="84"/>
      <c r="X38" s="110"/>
      <c r="Y38" s="15"/>
    </row>
    <row r="39" spans="2:54">
      <c r="C39" s="4">
        <v>12000</v>
      </c>
      <c r="D39" s="159">
        <v>0.3</v>
      </c>
      <c r="E39" s="4">
        <v>18000</v>
      </c>
      <c r="F39" s="159">
        <v>0.1</v>
      </c>
      <c r="K39" s="390" t="s">
        <v>26</v>
      </c>
      <c r="L39" s="492"/>
      <c r="M39" s="302">
        <v>7.0000000000000007E-2</v>
      </c>
      <c r="N39" s="256">
        <f>Ennoncé!N39</f>
        <v>0</v>
      </c>
      <c r="O39" s="306">
        <f>Ennoncé!O39</f>
        <v>0</v>
      </c>
      <c r="P39" s="306">
        <f>Ennoncé!P39</f>
        <v>0</v>
      </c>
      <c r="Q39" s="306">
        <f>Ennoncé!Q39</f>
        <v>0</v>
      </c>
      <c r="R39" s="306">
        <f>Ennoncé!R39</f>
        <v>0</v>
      </c>
      <c r="S39" s="306">
        <f>Ennoncé!S39</f>
        <v>0</v>
      </c>
      <c r="T39" s="306">
        <f>Ennoncé!T39</f>
        <v>0</v>
      </c>
      <c r="U39" s="306">
        <f>Ennoncé!U39</f>
        <v>0</v>
      </c>
      <c r="V39" s="312">
        <f>Ennoncé!V39</f>
        <v>806932.5418439114</v>
      </c>
      <c r="W39" s="84"/>
      <c r="X39" s="110"/>
      <c r="Y39" s="15"/>
      <c r="AB39" s="161" t="s">
        <v>33</v>
      </c>
      <c r="AC39" s="162">
        <f>NPV(AC36,AE35:AL35)+AD35</f>
        <v>719764.10817960068</v>
      </c>
      <c r="AD39" s="8">
        <v>21</v>
      </c>
      <c r="AR39" s="161" t="s">
        <v>33</v>
      </c>
      <c r="AS39" s="162">
        <f>SUM(AT37:BB37)</f>
        <v>-468663.25149209972</v>
      </c>
      <c r="AU39" s="163">
        <f>-(1-(AS39/AC39))</f>
        <v>-1.6511345122187664</v>
      </c>
    </row>
    <row r="40" spans="2:54">
      <c r="C40" s="4">
        <v>15000</v>
      </c>
      <c r="D40" s="159">
        <v>0.4</v>
      </c>
      <c r="E40" s="4">
        <v>23000</v>
      </c>
      <c r="F40" s="159">
        <v>0.35</v>
      </c>
      <c r="K40" s="390" t="s">
        <v>22</v>
      </c>
      <c r="L40" s="492"/>
      <c r="M40" s="301"/>
      <c r="N40" s="256">
        <f>Ennoncé!N40</f>
        <v>0</v>
      </c>
      <c r="O40" s="306">
        <f>Ennoncé!O40</f>
        <v>0</v>
      </c>
      <c r="P40" s="306">
        <f>Ennoncé!P40</f>
        <v>0</v>
      </c>
      <c r="Q40" s="306">
        <f>Ennoncé!Q40</f>
        <v>0</v>
      </c>
      <c r="R40" s="306">
        <f>Ennoncé!R40</f>
        <v>0</v>
      </c>
      <c r="S40" s="306">
        <f>Ennoncé!S40</f>
        <v>0</v>
      </c>
      <c r="T40" s="306">
        <f>Ennoncé!T40</f>
        <v>0</v>
      </c>
      <c r="U40" s="306">
        <f>Ennoncé!U40</f>
        <v>0</v>
      </c>
      <c r="V40" s="312">
        <f>Ennoncé!V40</f>
        <v>50000</v>
      </c>
      <c r="W40" s="84"/>
      <c r="X40" s="110"/>
      <c r="Y40" s="15"/>
      <c r="AC40" s="18"/>
      <c r="AS40" s="18">
        <f>NPV(AS36,AU35:BB35)+AT35</f>
        <v>-468663.25149209949</v>
      </c>
    </row>
    <row r="41" spans="2:54">
      <c r="C41" s="4">
        <v>18000</v>
      </c>
      <c r="D41" s="159">
        <v>0.2</v>
      </c>
      <c r="E41" s="4">
        <v>27000</v>
      </c>
      <c r="F41" s="159">
        <v>0.3</v>
      </c>
      <c r="K41" s="407"/>
      <c r="L41" s="518"/>
      <c r="M41" s="303"/>
      <c r="N41" s="313">
        <f>Ennoncé!N41</f>
        <v>0</v>
      </c>
      <c r="O41" s="310">
        <f>Ennoncé!O41</f>
        <v>0</v>
      </c>
      <c r="P41" s="310">
        <f>Ennoncé!P41</f>
        <v>0</v>
      </c>
      <c r="Q41" s="310">
        <f>Ennoncé!Q41</f>
        <v>0</v>
      </c>
      <c r="R41" s="310">
        <f>Ennoncé!R41</f>
        <v>0</v>
      </c>
      <c r="S41" s="310">
        <f>Ennoncé!S41</f>
        <v>0</v>
      </c>
      <c r="T41" s="310">
        <f>Ennoncé!T41</f>
        <v>0</v>
      </c>
      <c r="U41" s="310">
        <f>Ennoncé!U41</f>
        <v>0</v>
      </c>
      <c r="V41" s="314">
        <f>Ennoncé!V41</f>
        <v>0</v>
      </c>
      <c r="W41" s="84"/>
      <c r="X41" s="84"/>
      <c r="Y41" s="15"/>
    </row>
    <row r="42" spans="2:54">
      <c r="C42" s="4">
        <v>21000</v>
      </c>
      <c r="D42" s="159">
        <v>0.1</v>
      </c>
      <c r="E42" s="4">
        <v>31000</v>
      </c>
      <c r="F42" s="159">
        <v>0.15</v>
      </c>
      <c r="K42" s="411" t="s">
        <v>12</v>
      </c>
      <c r="L42" s="508"/>
      <c r="M42" s="311">
        <v>10</v>
      </c>
      <c r="N42" s="304">
        <f>-SUM(L19:L21)-Q15</f>
        <v>-1327000</v>
      </c>
      <c r="O42" s="134">
        <f t="shared" ref="O42:U42" si="34">SUM(O29:O41)</f>
        <v>259500</v>
      </c>
      <c r="P42" s="134">
        <f t="shared" si="34"/>
        <v>259500</v>
      </c>
      <c r="Q42" s="134">
        <f t="shared" si="34"/>
        <v>259500</v>
      </c>
      <c r="R42" s="305">
        <f>R29-Q16</f>
        <v>229500</v>
      </c>
      <c r="S42" s="134">
        <f t="shared" si="34"/>
        <v>408000</v>
      </c>
      <c r="T42" s="134">
        <f t="shared" si="34"/>
        <v>408000</v>
      </c>
      <c r="U42" s="134">
        <f t="shared" si="34"/>
        <v>408000</v>
      </c>
      <c r="V42" s="288">
        <f>SUM(M19:M21)+Q15+Q16+V29</f>
        <v>1618492.5418439114</v>
      </c>
      <c r="W42" s="284">
        <v>12</v>
      </c>
      <c r="X42" s="170"/>
      <c r="Y42" s="15"/>
      <c r="AA42" s="511" t="s">
        <v>92</v>
      </c>
      <c r="AB42" s="511"/>
      <c r="AC42" s="171" t="s">
        <v>20</v>
      </c>
      <c r="AD42" s="171" t="s">
        <v>93</v>
      </c>
      <c r="AQ42" s="511" t="s">
        <v>92</v>
      </c>
      <c r="AR42" s="511"/>
      <c r="AS42" s="171" t="s">
        <v>20</v>
      </c>
      <c r="AT42" s="171" t="s">
        <v>93</v>
      </c>
    </row>
    <row r="43" spans="2:54" ht="17" thickBot="1">
      <c r="C43" s="172"/>
      <c r="D43" s="173"/>
      <c r="E43" s="5">
        <v>34000</v>
      </c>
      <c r="F43" s="174">
        <v>0.1</v>
      </c>
      <c r="K43" s="390" t="s">
        <v>28</v>
      </c>
      <c r="L43" s="492"/>
      <c r="M43" s="302">
        <v>0.11</v>
      </c>
      <c r="N43" s="152">
        <f t="shared" ref="N43:V43" si="35">(1+$M$43)^-N24</f>
        <v>1</v>
      </c>
      <c r="O43" s="149">
        <f t="shared" si="35"/>
        <v>0.9009009009009008</v>
      </c>
      <c r="P43" s="149">
        <f t="shared" si="35"/>
        <v>0.8116224332440547</v>
      </c>
      <c r="Q43" s="149">
        <f t="shared" si="35"/>
        <v>0.73119138130095018</v>
      </c>
      <c r="R43" s="149">
        <f t="shared" si="35"/>
        <v>0.65873097414500015</v>
      </c>
      <c r="S43" s="149">
        <f t="shared" si="35"/>
        <v>0.5934513280585586</v>
      </c>
      <c r="T43" s="149">
        <f t="shared" si="35"/>
        <v>0.53464083608879154</v>
      </c>
      <c r="U43" s="149">
        <f t="shared" si="35"/>
        <v>0.48165841089080319</v>
      </c>
      <c r="V43" s="150">
        <f t="shared" si="35"/>
        <v>0.43392649629802077</v>
      </c>
      <c r="W43" s="175"/>
      <c r="X43" s="175"/>
      <c r="Y43" s="15"/>
      <c r="AA43" s="176" t="s">
        <v>94</v>
      </c>
      <c r="AB43" s="177"/>
      <c r="AC43" s="178">
        <f>L20</f>
        <v>343000</v>
      </c>
      <c r="AD43" s="179">
        <f>L19</f>
        <v>327000</v>
      </c>
      <c r="AQ43" s="176" t="s">
        <v>94</v>
      </c>
      <c r="AR43" s="177"/>
      <c r="AS43" s="178">
        <f>-AT19</f>
        <v>343000</v>
      </c>
      <c r="AT43" s="179">
        <f>-AT18</f>
        <v>327000</v>
      </c>
    </row>
    <row r="44" spans="2:54" ht="17" thickBot="1">
      <c r="F44" s="17"/>
      <c r="K44" s="425" t="s">
        <v>29</v>
      </c>
      <c r="L44" s="512"/>
      <c r="M44" s="257"/>
      <c r="N44" s="158">
        <f t="shared" ref="N44:V44" si="36">N42*N43</f>
        <v>-1327000</v>
      </c>
      <c r="O44" s="155">
        <f t="shared" si="36"/>
        <v>233783.78378378376</v>
      </c>
      <c r="P44" s="155">
        <f t="shared" si="36"/>
        <v>210616.02142683219</v>
      </c>
      <c r="Q44" s="155">
        <f t="shared" si="36"/>
        <v>189744.16344759657</v>
      </c>
      <c r="R44" s="155">
        <f t="shared" si="36"/>
        <v>151178.75856627754</v>
      </c>
      <c r="S44" s="155">
        <f t="shared" si="36"/>
        <v>242128.14184789191</v>
      </c>
      <c r="T44" s="155">
        <f t="shared" si="36"/>
        <v>218133.46112422695</v>
      </c>
      <c r="U44" s="155">
        <f t="shared" si="36"/>
        <v>196516.6316434477</v>
      </c>
      <c r="V44" s="156">
        <f t="shared" si="36"/>
        <v>702306.79796680622</v>
      </c>
      <c r="W44" s="134"/>
      <c r="X44" s="134"/>
      <c r="Y44" s="15"/>
      <c r="AA44" s="177" t="s">
        <v>95</v>
      </c>
      <c r="AB44" s="177"/>
      <c r="AC44" s="181">
        <f>AC12</f>
        <v>0.04</v>
      </c>
      <c r="AD44" s="181">
        <f>AC11</f>
        <v>0.2</v>
      </c>
      <c r="AQ44" s="177" t="s">
        <v>95</v>
      </c>
      <c r="AR44" s="177"/>
      <c r="AS44" s="181">
        <f>AS12</f>
        <v>0.04</v>
      </c>
      <c r="AT44" s="181">
        <f>AS11</f>
        <v>0.2</v>
      </c>
    </row>
    <row r="45" spans="2:54" ht="16" customHeight="1" thickBot="1">
      <c r="B45" s="398" t="s">
        <v>80</v>
      </c>
      <c r="C45" s="398"/>
      <c r="D45" s="398"/>
      <c r="E45" s="398"/>
      <c r="F45" s="398"/>
      <c r="G45" s="398"/>
      <c r="H45" s="398"/>
      <c r="K45" s="388" t="s">
        <v>30</v>
      </c>
      <c r="L45" s="513"/>
      <c r="M45" s="514">
        <f>NPV(M43,O42:V42)+N42</f>
        <v>817407.75980686303</v>
      </c>
      <c r="N45" s="506"/>
      <c r="O45" s="110"/>
      <c r="P45" s="182"/>
      <c r="Q45" s="182"/>
      <c r="R45" s="182">
        <v>11</v>
      </c>
      <c r="S45" s="182"/>
      <c r="T45" s="182"/>
      <c r="U45" s="182"/>
      <c r="V45" s="182"/>
      <c r="W45" s="100"/>
      <c r="X45" s="100"/>
      <c r="Y45" s="15"/>
      <c r="AA45" s="177" t="s">
        <v>96</v>
      </c>
      <c r="AB45" s="177"/>
      <c r="AC45" s="183">
        <f>AC14</f>
        <v>0.22600000000000001</v>
      </c>
      <c r="AD45" s="183">
        <f>AC14</f>
        <v>0.22600000000000001</v>
      </c>
      <c r="AQ45" s="177" t="s">
        <v>96</v>
      </c>
      <c r="AR45" s="177"/>
      <c r="AS45" s="183">
        <f>AS14</f>
        <v>0.22600000000000001</v>
      </c>
      <c r="AT45" s="183">
        <f>AS14</f>
        <v>0.22600000000000001</v>
      </c>
    </row>
    <row r="46" spans="2:54" ht="14" customHeight="1">
      <c r="B46" s="398"/>
      <c r="C46" s="398"/>
      <c r="D46" s="398"/>
      <c r="E46" s="398"/>
      <c r="F46" s="398"/>
      <c r="G46" s="398"/>
      <c r="H46" s="398"/>
      <c r="N46" s="283">
        <v>13</v>
      </c>
      <c r="U46" s="100"/>
      <c r="V46" s="100"/>
      <c r="W46" s="100"/>
      <c r="X46" s="100"/>
      <c r="Y46" s="15"/>
      <c r="AA46" s="177" t="s">
        <v>97</v>
      </c>
      <c r="AB46" s="177"/>
      <c r="AC46" s="183">
        <f>AC36</f>
        <v>8.5000000000000006E-2</v>
      </c>
      <c r="AD46" s="183">
        <f>AC36</f>
        <v>8.5000000000000006E-2</v>
      </c>
      <c r="AQ46" s="177" t="s">
        <v>97</v>
      </c>
      <c r="AR46" s="177"/>
      <c r="AS46" s="183">
        <f>AS36</f>
        <v>8.5000000000000006E-2</v>
      </c>
      <c r="AT46" s="183">
        <f>AS36</f>
        <v>8.5000000000000006E-2</v>
      </c>
    </row>
    <row r="47" spans="2:54" ht="14" customHeight="1" thickBot="1">
      <c r="B47" s="398"/>
      <c r="C47" s="398"/>
      <c r="D47" s="398"/>
      <c r="E47" s="398"/>
      <c r="F47" s="398"/>
      <c r="G47" s="398"/>
      <c r="H47" s="398"/>
      <c r="K47" s="515" t="s">
        <v>31</v>
      </c>
      <c r="L47" s="499"/>
      <c r="M47" s="184"/>
      <c r="N47" s="184"/>
      <c r="O47" s="100"/>
      <c r="Q47" s="99" t="s">
        <v>38</v>
      </c>
      <c r="U47" s="100"/>
      <c r="V47" s="100"/>
      <c r="W47" s="100"/>
      <c r="X47" s="100"/>
      <c r="Y47" s="15"/>
      <c r="AA47" s="177" t="s">
        <v>98</v>
      </c>
      <c r="AB47" s="177"/>
      <c r="AC47" s="178">
        <f>AC43*(1-AC44/2)*(1-AC44)^(AL5-1)</f>
        <v>252591.55529127689</v>
      </c>
      <c r="AD47" s="178">
        <f>AD43*(1-AD44/2)*(1-AD44)^(AL5-1)</f>
        <v>61719.183360000046</v>
      </c>
      <c r="AQ47" s="177" t="s">
        <v>98</v>
      </c>
      <c r="AR47" s="177"/>
      <c r="AS47" s="178">
        <f>AS43*(1-AS44/2)*(1-AS44)^(BB5-1)</f>
        <v>252591.55529127689</v>
      </c>
      <c r="AT47" s="178">
        <f>AT43*(1-AT44/2)*(1-AT44)^(BB5-1)</f>
        <v>61719.183360000046</v>
      </c>
    </row>
    <row r="48" spans="2:54">
      <c r="B48" s="398"/>
      <c r="C48" s="398"/>
      <c r="D48" s="398"/>
      <c r="E48" s="398"/>
      <c r="F48" s="398"/>
      <c r="G48" s="398"/>
      <c r="H48" s="398"/>
      <c r="K48" s="386" t="s">
        <v>122</v>
      </c>
      <c r="L48" s="507"/>
      <c r="M48" s="516">
        <f>PMT(M43,V24,-1)</f>
        <v>0.19432105421050014</v>
      </c>
      <c r="N48" s="517"/>
      <c r="O48" s="100"/>
      <c r="Q48" s="185" t="s">
        <v>40</v>
      </c>
      <c r="R48" s="186" t="s">
        <v>41</v>
      </c>
      <c r="S48" s="187" t="s">
        <v>42</v>
      </c>
      <c r="T48" s="100"/>
      <c r="U48" s="100"/>
      <c r="Y48" s="15"/>
      <c r="AA48" s="177" t="s">
        <v>99</v>
      </c>
      <c r="AB48" s="177"/>
      <c r="AC48" s="178">
        <f>M20</f>
        <v>120000</v>
      </c>
      <c r="AD48" s="178">
        <f>M19</f>
        <v>233560</v>
      </c>
      <c r="AQ48" s="177" t="s">
        <v>99</v>
      </c>
      <c r="AR48" s="177"/>
      <c r="AS48" s="178">
        <f>BB25</f>
        <v>120000</v>
      </c>
      <c r="AT48" s="178">
        <f>BB24</f>
        <v>233560</v>
      </c>
    </row>
    <row r="49" spans="2:46" ht="16" customHeight="1" thickBot="1">
      <c r="B49" s="398" t="s">
        <v>79</v>
      </c>
      <c r="C49" s="398"/>
      <c r="D49" s="398"/>
      <c r="E49" s="398"/>
      <c r="F49" s="398"/>
      <c r="G49" s="398"/>
      <c r="H49" s="398"/>
      <c r="K49" s="467" t="s">
        <v>34</v>
      </c>
      <c r="L49" s="512"/>
      <c r="M49" s="418">
        <f>M45*M48</f>
        <v>158839.53760551292</v>
      </c>
      <c r="N49" s="530"/>
      <c r="O49" s="188" t="s">
        <v>124</v>
      </c>
      <c r="Q49" s="189">
        <v>0</v>
      </c>
      <c r="R49" s="190">
        <f>M53</f>
        <v>-1346761.92922435</v>
      </c>
      <c r="S49" s="191">
        <f>R49</f>
        <v>-1346761.92922435</v>
      </c>
      <c r="T49" s="100"/>
      <c r="U49" s="100"/>
      <c r="Y49" s="15"/>
      <c r="AA49" s="177" t="s">
        <v>100</v>
      </c>
      <c r="AB49" s="177"/>
      <c r="AC49" s="271">
        <f>AC47-AC48</f>
        <v>132591.55529127689</v>
      </c>
      <c r="AD49" s="271">
        <f>AD47-AD48</f>
        <v>-171840.81663999995</v>
      </c>
      <c r="AQ49" s="177" t="s">
        <v>100</v>
      </c>
      <c r="AR49" s="177"/>
      <c r="AS49" s="178">
        <f>AS47-AS48</f>
        <v>132591.55529127689</v>
      </c>
      <c r="AT49" s="178">
        <f>AT47-AT48</f>
        <v>-171840.81663999995</v>
      </c>
    </row>
    <row r="50" spans="2:46" ht="14" customHeight="1">
      <c r="B50" s="398"/>
      <c r="C50" s="398"/>
      <c r="D50" s="398"/>
      <c r="E50" s="398"/>
      <c r="F50" s="398"/>
      <c r="G50" s="398"/>
      <c r="H50" s="398"/>
      <c r="K50" s="192"/>
      <c r="L50" s="26"/>
      <c r="M50" s="193"/>
      <c r="N50" s="194"/>
      <c r="Q50" s="189">
        <v>1</v>
      </c>
      <c r="R50" s="190">
        <f>O44</f>
        <v>233783.78378378376</v>
      </c>
      <c r="S50" s="191">
        <f t="shared" ref="S50:S57" si="37">S49+R50</f>
        <v>-1112978.1454405664</v>
      </c>
      <c r="T50" s="100"/>
      <c r="Y50" s="15"/>
      <c r="AA50" s="177" t="s">
        <v>101</v>
      </c>
      <c r="AB50" s="177"/>
      <c r="AC50" s="296"/>
      <c r="AD50" s="296">
        <f>AD49*AD45</f>
        <v>-38836.024560639991</v>
      </c>
      <c r="AQ50" s="177" t="s">
        <v>101</v>
      </c>
      <c r="AR50" s="177"/>
      <c r="AS50" s="195">
        <f>AS49*AS45</f>
        <v>29965.691495828578</v>
      </c>
      <c r="AT50" s="196">
        <f>AT49*AT45</f>
        <v>-38836.024560639991</v>
      </c>
    </row>
    <row r="51" spans="2:46" ht="14" customHeight="1" thickBot="1">
      <c r="B51" s="398"/>
      <c r="C51" s="398"/>
      <c r="D51" s="398"/>
      <c r="E51" s="398"/>
      <c r="F51" s="398"/>
      <c r="G51" s="398"/>
      <c r="H51" s="398"/>
      <c r="K51" s="99" t="s">
        <v>32</v>
      </c>
      <c r="L51" s="99"/>
      <c r="M51" s="194"/>
      <c r="N51" s="194"/>
      <c r="O51" s="100"/>
      <c r="Q51" s="189">
        <v>2</v>
      </c>
      <c r="R51" s="190">
        <f>P44</f>
        <v>210616.02142683219</v>
      </c>
      <c r="S51" s="191">
        <f t="shared" si="37"/>
        <v>-902362.12401373417</v>
      </c>
      <c r="T51" s="100"/>
      <c r="Y51" s="15"/>
      <c r="AA51" s="177" t="s">
        <v>102</v>
      </c>
      <c r="AB51" s="177"/>
      <c r="AC51" s="296">
        <f>(AC45*AC44)/(AC46+AC44)*AC49</f>
        <v>9589.0212786651464</v>
      </c>
      <c r="AD51" s="296"/>
      <c r="AQ51" s="177" t="s">
        <v>102</v>
      </c>
      <c r="AR51" s="177"/>
      <c r="AS51" s="196">
        <f>(AS45*AS44)/(AS46+AS44)*AS49</f>
        <v>9589.0212786651464</v>
      </c>
      <c r="AT51" s="195">
        <f>(AT45*AT44)/(AT46+AT44)*AT49</f>
        <v>-27253.350568870166</v>
      </c>
    </row>
    <row r="52" spans="2:46" ht="14" customHeight="1">
      <c r="B52" s="398"/>
      <c r="C52" s="398"/>
      <c r="D52" s="398"/>
      <c r="E52" s="398"/>
      <c r="F52" s="398"/>
      <c r="G52" s="398"/>
      <c r="H52" s="398"/>
      <c r="K52" s="197" t="s">
        <v>33</v>
      </c>
      <c r="L52" s="198"/>
      <c r="M52" s="199">
        <f>M45</f>
        <v>817407.75980686303</v>
      </c>
      <c r="N52" s="200"/>
      <c r="O52" s="100"/>
      <c r="Q52" s="189">
        <v>3</v>
      </c>
      <c r="R52" s="190">
        <f>Q44</f>
        <v>189744.16344759657</v>
      </c>
      <c r="S52" s="191">
        <f t="shared" si="37"/>
        <v>-712617.96056613757</v>
      </c>
      <c r="T52" s="100"/>
      <c r="Y52" s="15"/>
      <c r="AC52" s="297"/>
      <c r="AD52" s="297"/>
    </row>
    <row r="53" spans="2:46" ht="17" thickBot="1">
      <c r="B53" s="398"/>
      <c r="C53" s="398"/>
      <c r="D53" s="398"/>
      <c r="E53" s="398"/>
      <c r="F53" s="398"/>
      <c r="G53" s="398"/>
      <c r="H53" s="398"/>
      <c r="K53" s="201" t="s">
        <v>35</v>
      </c>
      <c r="L53" s="99"/>
      <c r="M53" s="194">
        <f>N42+(-Q16*R43)</f>
        <v>-1346761.92922435</v>
      </c>
      <c r="N53" s="202"/>
      <c r="O53" s="100"/>
      <c r="Q53" s="189">
        <v>4</v>
      </c>
      <c r="R53" s="190">
        <f>R29*R43</f>
        <v>170940.68779062753</v>
      </c>
      <c r="S53" s="191">
        <f t="shared" si="37"/>
        <v>-541677.27277551009</v>
      </c>
      <c r="T53" s="100"/>
      <c r="Y53" s="15"/>
    </row>
    <row r="54" spans="2:46" ht="17" thickBot="1">
      <c r="B54" s="398"/>
      <c r="C54" s="398"/>
      <c r="D54" s="398"/>
      <c r="E54" s="398"/>
      <c r="F54" s="398"/>
      <c r="G54" s="398"/>
      <c r="H54" s="398"/>
      <c r="K54" s="531" t="s">
        <v>36</v>
      </c>
      <c r="L54" s="532"/>
      <c r="M54" s="533">
        <f>(M45/-N42)+1</f>
        <v>1.6159817330873119</v>
      </c>
      <c r="N54" s="534"/>
      <c r="O54" s="188" t="s">
        <v>125</v>
      </c>
      <c r="Q54" s="189">
        <v>5</v>
      </c>
      <c r="R54" s="190">
        <f>S44</f>
        <v>242128.14184789191</v>
      </c>
      <c r="S54" s="191">
        <f t="shared" si="37"/>
        <v>-299549.13092761819</v>
      </c>
      <c r="T54" s="100"/>
      <c r="Y54" s="15"/>
      <c r="AA54" s="203" t="s">
        <v>31</v>
      </c>
    </row>
    <row r="55" spans="2:46">
      <c r="Q55" s="189">
        <v>6</v>
      </c>
      <c r="R55" s="190">
        <f>T29</f>
        <v>408000</v>
      </c>
      <c r="S55" s="191">
        <f t="shared" si="37"/>
        <v>108450.86907238181</v>
      </c>
      <c r="T55" s="100"/>
      <c r="Y55" s="15"/>
      <c r="AA55" s="204"/>
      <c r="AB55" s="205"/>
      <c r="AC55" s="198"/>
      <c r="AD55" s="206"/>
      <c r="AE55" s="207"/>
    </row>
    <row r="56" spans="2:46" ht="17" thickBot="1">
      <c r="B56" s="400" t="s">
        <v>86</v>
      </c>
      <c r="C56" s="400"/>
      <c r="D56" s="400"/>
      <c r="E56" s="400"/>
      <c r="F56" s="400"/>
      <c r="G56" s="400"/>
      <c r="H56" s="400"/>
      <c r="K56" s="208" t="s">
        <v>37</v>
      </c>
      <c r="L56" s="208"/>
      <c r="M56" s="209"/>
      <c r="N56" s="209"/>
      <c r="O56" s="100"/>
      <c r="Q56" s="189">
        <v>7</v>
      </c>
      <c r="R56" s="190">
        <f>U44</f>
        <v>196516.6316434477</v>
      </c>
      <c r="S56" s="191">
        <f t="shared" si="37"/>
        <v>304967.50071582955</v>
      </c>
      <c r="T56" s="100"/>
      <c r="Y56" s="15"/>
      <c r="AA56" s="210"/>
      <c r="AB56" s="211" t="str">
        <f>AB39</f>
        <v>VAN</v>
      </c>
      <c r="AC56" s="212">
        <f>AC39</f>
        <v>719764.10817960068</v>
      </c>
      <c r="AD56" s="213"/>
      <c r="AE56" s="214"/>
    </row>
    <row r="57" spans="2:46" ht="17" thickBot="1">
      <c r="K57" s="204"/>
      <c r="L57" s="205"/>
      <c r="M57" s="198" t="s">
        <v>64</v>
      </c>
      <c r="N57" s="206"/>
      <c r="O57" s="207"/>
      <c r="P57" s="100"/>
      <c r="Q57" s="215">
        <v>8</v>
      </c>
      <c r="R57" s="216">
        <f>V44</f>
        <v>702306.79796680622</v>
      </c>
      <c r="S57" s="217">
        <f t="shared" si="37"/>
        <v>1007274.2986826358</v>
      </c>
      <c r="T57" s="100"/>
      <c r="Y57" s="15"/>
      <c r="AA57" s="210"/>
      <c r="AB57" s="211" t="str">
        <f>AR39</f>
        <v>VAN</v>
      </c>
      <c r="AC57" s="212">
        <f>AS39</f>
        <v>-468663.25149209972</v>
      </c>
      <c r="AD57" s="213"/>
      <c r="AE57" s="214"/>
    </row>
    <row r="58" spans="2:46">
      <c r="B58" s="7" t="s">
        <v>63</v>
      </c>
      <c r="K58" s="210" t="s">
        <v>43</v>
      </c>
      <c r="L58" s="208"/>
      <c r="M58" s="218">
        <v>0.22</v>
      </c>
      <c r="N58" s="213" t="s">
        <v>44</v>
      </c>
      <c r="O58" s="214">
        <f>NPV(M58,O42:V42)+N42</f>
        <v>12464.91275245999</v>
      </c>
      <c r="P58" s="218"/>
      <c r="Q58" s="219" t="s">
        <v>69</v>
      </c>
      <c r="R58" s="144" t="s">
        <v>70</v>
      </c>
      <c r="S58" s="54"/>
      <c r="T58" s="100"/>
      <c r="Y58" s="15"/>
      <c r="AA58" s="210"/>
      <c r="AB58" s="208"/>
      <c r="AC58" s="100"/>
      <c r="AD58" s="100"/>
      <c r="AE58" s="220"/>
    </row>
    <row r="59" spans="2:46" ht="17" thickBot="1">
      <c r="K59" s="210" t="s">
        <v>45</v>
      </c>
      <c r="L59" s="208"/>
      <c r="M59" s="218">
        <v>0.23</v>
      </c>
      <c r="N59" s="213" t="s">
        <v>46</v>
      </c>
      <c r="O59" s="214">
        <f>NPV(M59,O42:V42)+N42</f>
        <v>-37307.617119209375</v>
      </c>
      <c r="P59" s="218"/>
      <c r="Q59" s="221">
        <f>Q54</f>
        <v>5</v>
      </c>
      <c r="R59" s="222">
        <f>(-S54/R55)*365</f>
        <v>267.97900193279571</v>
      </c>
      <c r="S59" s="54"/>
      <c r="T59" s="188" t="s">
        <v>55</v>
      </c>
      <c r="Y59" s="15"/>
      <c r="AA59" s="210"/>
      <c r="AB59" s="208"/>
      <c r="AC59" s="100"/>
      <c r="AD59" s="209"/>
      <c r="AE59" s="220"/>
    </row>
    <row r="60" spans="2:46" ht="17" thickBot="1">
      <c r="B60" s="7" t="s">
        <v>109</v>
      </c>
      <c r="K60" s="210"/>
      <c r="L60" s="208"/>
      <c r="M60" s="100"/>
      <c r="N60" s="100"/>
      <c r="O60" s="220"/>
      <c r="P60" s="223"/>
      <c r="R60" s="8">
        <v>17</v>
      </c>
      <c r="S60" s="224"/>
      <c r="Y60" s="15"/>
      <c r="AA60" s="225"/>
      <c r="AB60" s="182"/>
      <c r="AC60" s="519" t="s">
        <v>116</v>
      </c>
      <c r="AD60" s="520"/>
      <c r="AE60" s="226">
        <f>-(1-(AC57/AC56))</f>
        <v>-1.6511345122187664</v>
      </c>
      <c r="AF60" s="8">
        <v>22</v>
      </c>
    </row>
    <row r="61" spans="2:46" ht="17" thickBot="1">
      <c r="K61" s="210"/>
      <c r="L61" s="208"/>
      <c r="M61" s="100"/>
      <c r="N61" s="209"/>
      <c r="O61" s="220"/>
      <c r="P61" s="227"/>
      <c r="Y61" s="15"/>
      <c r="AA61" s="521" t="s">
        <v>117</v>
      </c>
      <c r="AB61" s="522"/>
      <c r="AC61" s="522"/>
      <c r="AD61" s="522"/>
      <c r="AE61" s="523"/>
    </row>
    <row r="62" spans="2:46" ht="17" thickBot="1">
      <c r="B62" s="453" t="s">
        <v>85</v>
      </c>
      <c r="C62" s="453"/>
      <c r="D62" s="453"/>
      <c r="E62" s="453"/>
      <c r="F62" s="453"/>
      <c r="G62" s="453"/>
      <c r="H62" s="453"/>
      <c r="K62" s="228"/>
      <c r="L62" s="229"/>
      <c r="M62" s="229"/>
      <c r="N62" s="230" t="s">
        <v>47</v>
      </c>
      <c r="O62" s="231">
        <f>IRR(N42:V42)</f>
        <v>0.22245054001201181</v>
      </c>
      <c r="P62" s="188" t="s">
        <v>126</v>
      </c>
      <c r="Y62" s="15"/>
      <c r="AA62" s="524"/>
      <c r="AB62" s="525"/>
      <c r="AC62" s="525"/>
      <c r="AD62" s="525"/>
      <c r="AE62" s="526"/>
    </row>
    <row r="63" spans="2:46" ht="17" thickBot="1">
      <c r="B63" s="453" t="s">
        <v>82</v>
      </c>
      <c r="C63" s="453"/>
      <c r="D63" s="453"/>
      <c r="E63" s="453"/>
      <c r="F63" s="453"/>
      <c r="G63" s="453"/>
      <c r="H63" s="453"/>
      <c r="K63" s="100"/>
      <c r="L63" s="100"/>
      <c r="M63" s="100"/>
      <c r="N63" s="209"/>
      <c r="O63" s="232"/>
      <c r="P63" s="100"/>
      <c r="Y63" s="15"/>
      <c r="AA63" s="527"/>
      <c r="AB63" s="528"/>
      <c r="AC63" s="528"/>
      <c r="AD63" s="528"/>
      <c r="AE63" s="529"/>
    </row>
    <row r="64" spans="2:46">
      <c r="B64" s="453" t="s">
        <v>118</v>
      </c>
      <c r="C64" s="453"/>
      <c r="D64" s="453"/>
      <c r="E64" s="453"/>
      <c r="F64" s="453"/>
      <c r="G64" s="453"/>
      <c r="H64" s="453"/>
      <c r="Y64" s="15"/>
    </row>
    <row r="65" spans="2:25" ht="17" thickBot="1">
      <c r="B65" s="453" t="s">
        <v>83</v>
      </c>
      <c r="C65" s="453"/>
      <c r="D65" s="453"/>
      <c r="E65" s="453"/>
      <c r="F65" s="453"/>
      <c r="G65" s="453"/>
      <c r="H65" s="453"/>
      <c r="K65" s="99" t="s">
        <v>39</v>
      </c>
      <c r="L65" s="100"/>
      <c r="M65" s="100"/>
      <c r="N65" s="100"/>
      <c r="O65" s="100"/>
      <c r="P65" s="100"/>
      <c r="Q65" s="100"/>
      <c r="R65" s="100"/>
      <c r="S65" s="100"/>
      <c r="T65" s="100"/>
      <c r="U65" s="100"/>
      <c r="Y65" s="15"/>
    </row>
    <row r="66" spans="2:25" ht="16" customHeight="1">
      <c r="B66" s="449" t="s">
        <v>119</v>
      </c>
      <c r="C66" s="449"/>
      <c r="D66" s="449"/>
      <c r="E66" s="449"/>
      <c r="F66" s="449"/>
      <c r="G66" s="449"/>
      <c r="H66" s="449"/>
      <c r="K66" s="197" t="s">
        <v>48</v>
      </c>
      <c r="L66" s="206"/>
      <c r="M66" s="233">
        <v>0.1</v>
      </c>
      <c r="N66" s="198"/>
      <c r="O66" s="198"/>
      <c r="P66" s="198"/>
      <c r="Q66" s="198"/>
      <c r="R66" s="198"/>
      <c r="S66" s="198"/>
      <c r="T66" s="198"/>
      <c r="U66" s="198"/>
      <c r="V66" s="198"/>
      <c r="W66" s="207"/>
      <c r="Y66" s="15"/>
    </row>
    <row r="67" spans="2:25">
      <c r="B67" s="449"/>
      <c r="C67" s="449"/>
      <c r="D67" s="449"/>
      <c r="E67" s="449"/>
      <c r="F67" s="449"/>
      <c r="G67" s="449"/>
      <c r="H67" s="449"/>
      <c r="K67" s="201" t="s">
        <v>2</v>
      </c>
      <c r="L67" s="209"/>
      <c r="M67" s="234">
        <f>M43</f>
        <v>0.11</v>
      </c>
      <c r="N67" s="100"/>
      <c r="O67" s="100"/>
      <c r="P67" s="100"/>
      <c r="Q67" s="100"/>
      <c r="R67" s="100"/>
      <c r="S67" s="100"/>
      <c r="T67" s="100"/>
      <c r="U67" s="100"/>
      <c r="V67" s="100"/>
      <c r="W67" s="220"/>
      <c r="Y67" s="15"/>
    </row>
    <row r="68" spans="2:25">
      <c r="B68" s="453" t="s">
        <v>84</v>
      </c>
      <c r="C68" s="453"/>
      <c r="D68" s="453"/>
      <c r="E68" s="453"/>
      <c r="F68" s="453"/>
      <c r="G68" s="453"/>
      <c r="H68" s="453"/>
      <c r="K68" s="201"/>
      <c r="L68" s="209"/>
      <c r="M68" s="235">
        <v>0</v>
      </c>
      <c r="N68" s="99">
        <v>1</v>
      </c>
      <c r="O68" s="99">
        <v>2</v>
      </c>
      <c r="P68" s="99">
        <v>3</v>
      </c>
      <c r="Q68" s="99">
        <v>4</v>
      </c>
      <c r="R68" s="99">
        <v>5</v>
      </c>
      <c r="S68" s="99">
        <v>6</v>
      </c>
      <c r="T68" s="99">
        <v>7</v>
      </c>
      <c r="U68" s="99">
        <v>8</v>
      </c>
      <c r="V68" s="99"/>
      <c r="W68" s="236"/>
      <c r="Y68" s="15"/>
    </row>
    <row r="69" spans="2:25">
      <c r="B69" s="453" t="s">
        <v>87</v>
      </c>
      <c r="C69" s="453"/>
      <c r="D69" s="453"/>
      <c r="E69" s="453"/>
      <c r="F69" s="453"/>
      <c r="G69" s="453"/>
      <c r="H69" s="453"/>
      <c r="K69" s="237"/>
      <c r="L69" s="209"/>
      <c r="M69" s="100"/>
      <c r="N69" s="238">
        <f>(1+$M$66)^($U$68-N68)</f>
        <v>1.9487171000000012</v>
      </c>
      <c r="O69" s="238">
        <f t="shared" ref="O69:U69" si="38">(1+$M$66)^($U$68-O68)</f>
        <v>1.7715610000000008</v>
      </c>
      <c r="P69" s="238">
        <f t="shared" si="38"/>
        <v>1.6105100000000006</v>
      </c>
      <c r="Q69" s="238">
        <f t="shared" si="38"/>
        <v>1.4641000000000004</v>
      </c>
      <c r="R69" s="238">
        <f t="shared" si="38"/>
        <v>1.3310000000000004</v>
      </c>
      <c r="S69" s="238">
        <f t="shared" si="38"/>
        <v>1.2100000000000002</v>
      </c>
      <c r="T69" s="238">
        <f t="shared" si="38"/>
        <v>1.1000000000000001</v>
      </c>
      <c r="U69" s="238">
        <f t="shared" si="38"/>
        <v>1</v>
      </c>
      <c r="V69" s="238"/>
      <c r="W69" s="239"/>
      <c r="Y69" s="15"/>
    </row>
    <row r="70" spans="2:25">
      <c r="B70" s="453" t="s">
        <v>56</v>
      </c>
      <c r="C70" s="453"/>
      <c r="D70" s="453"/>
      <c r="E70" s="453"/>
      <c r="F70" s="453"/>
      <c r="G70" s="453"/>
      <c r="H70" s="453"/>
      <c r="K70" s="237"/>
      <c r="L70" s="209"/>
      <c r="M70" s="100" t="s">
        <v>49</v>
      </c>
      <c r="N70" s="227">
        <f t="shared" ref="N70:U70" si="39">O42*N69</f>
        <v>505692.08745000028</v>
      </c>
      <c r="O70" s="227">
        <f t="shared" si="39"/>
        <v>459720.07950000023</v>
      </c>
      <c r="P70" s="227">
        <f t="shared" si="39"/>
        <v>417927.34500000015</v>
      </c>
      <c r="Q70" s="227">
        <f t="shared" si="39"/>
        <v>336010.95000000007</v>
      </c>
      <c r="R70" s="227">
        <f t="shared" si="39"/>
        <v>543048.00000000012</v>
      </c>
      <c r="S70" s="227">
        <f t="shared" si="39"/>
        <v>493680.00000000006</v>
      </c>
      <c r="T70" s="227">
        <f t="shared" si="39"/>
        <v>448800.00000000006</v>
      </c>
      <c r="U70" s="227">
        <f t="shared" si="39"/>
        <v>1618492.5418439114</v>
      </c>
      <c r="V70" s="227"/>
      <c r="W70" s="214"/>
      <c r="Y70" s="15"/>
    </row>
    <row r="71" spans="2:25">
      <c r="K71" s="201" t="s">
        <v>50</v>
      </c>
      <c r="L71" s="240">
        <f>SUM(N70:U70)</f>
        <v>4823371.003793912</v>
      </c>
      <c r="M71" s="213"/>
      <c r="N71" s="213"/>
      <c r="O71" s="213"/>
      <c r="P71" s="213"/>
      <c r="Q71" s="213"/>
      <c r="R71" s="209"/>
      <c r="S71" s="209"/>
      <c r="T71" s="209"/>
      <c r="U71" s="100"/>
      <c r="V71" s="100"/>
      <c r="W71" s="220"/>
      <c r="Y71" s="15"/>
    </row>
    <row r="72" spans="2:25">
      <c r="B72" s="7" t="s">
        <v>107</v>
      </c>
      <c r="K72" s="201" t="s">
        <v>51</v>
      </c>
      <c r="L72" s="240">
        <f>N44</f>
        <v>-1327000</v>
      </c>
      <c r="M72" s="100"/>
      <c r="N72" s="100"/>
      <c r="O72" s="100"/>
      <c r="P72" s="100"/>
      <c r="Q72" s="100"/>
      <c r="R72" s="209"/>
      <c r="S72" s="209"/>
      <c r="T72" s="209"/>
      <c r="U72" s="100"/>
      <c r="V72" s="100"/>
      <c r="W72" s="220"/>
      <c r="Y72" s="15"/>
    </row>
    <row r="73" spans="2:25">
      <c r="B73" s="8" t="s">
        <v>8</v>
      </c>
      <c r="K73" s="237"/>
      <c r="L73" s="100"/>
      <c r="M73" s="100"/>
      <c r="N73" s="100"/>
      <c r="O73" s="100"/>
      <c r="P73" s="100"/>
      <c r="Q73" s="100"/>
      <c r="R73" s="100"/>
      <c r="S73" s="100"/>
      <c r="T73" s="100"/>
      <c r="U73" s="100"/>
      <c r="V73" s="100"/>
      <c r="W73" s="220"/>
      <c r="Y73" s="15"/>
    </row>
    <row r="74" spans="2:25" ht="17" thickBot="1">
      <c r="B74" s="8" t="s">
        <v>110</v>
      </c>
      <c r="K74" s="237"/>
      <c r="L74" s="100" t="s">
        <v>52</v>
      </c>
      <c r="M74" s="223">
        <f>((L71/-L72)^(1/U68))-1</f>
        <v>0.17505979813414729</v>
      </c>
      <c r="N74" s="100"/>
      <c r="O74" s="100"/>
      <c r="P74" s="100"/>
      <c r="Q74" s="100"/>
      <c r="R74" s="100"/>
      <c r="S74" s="100"/>
      <c r="T74" s="100"/>
      <c r="U74" s="100"/>
      <c r="V74" s="100"/>
      <c r="W74" s="220"/>
      <c r="Y74" s="15"/>
    </row>
    <row r="75" spans="2:25" ht="17" customHeight="1" thickBot="1">
      <c r="B75" s="449" t="s">
        <v>111</v>
      </c>
      <c r="C75" s="449"/>
      <c r="D75" s="449"/>
      <c r="E75" s="449"/>
      <c r="F75" s="449"/>
      <c r="G75" s="449"/>
      <c r="H75" s="449"/>
      <c r="K75" s="228"/>
      <c r="L75" s="229"/>
      <c r="M75" s="229"/>
      <c r="N75" s="229"/>
      <c r="O75" s="229"/>
      <c r="P75" s="229"/>
      <c r="Q75" s="229"/>
      <c r="R75" s="229"/>
      <c r="S75" s="229"/>
      <c r="T75" s="229"/>
      <c r="U75" s="229"/>
      <c r="V75" s="241" t="s">
        <v>52</v>
      </c>
      <c r="W75" s="231">
        <f>MIRR(N42:V42,M67,M66)</f>
        <v>0.17505979813414729</v>
      </c>
      <c r="X75" s="188" t="s">
        <v>55</v>
      </c>
      <c r="Y75" s="15"/>
    </row>
    <row r="76" spans="2:25">
      <c r="B76" s="449"/>
      <c r="C76" s="449"/>
      <c r="D76" s="449"/>
      <c r="E76" s="449"/>
      <c r="F76" s="449"/>
      <c r="G76" s="449"/>
      <c r="H76" s="449"/>
      <c r="W76" s="283">
        <v>18</v>
      </c>
      <c r="Y76" s="15"/>
    </row>
    <row r="77" spans="2:25">
      <c r="B77" s="8" t="s">
        <v>112</v>
      </c>
      <c r="Y77" s="15"/>
    </row>
    <row r="78" spans="2:25" ht="17" thickBot="1">
      <c r="B78" s="451" t="s">
        <v>113</v>
      </c>
      <c r="C78" s="451"/>
      <c r="D78" s="451"/>
      <c r="E78" s="451"/>
      <c r="F78" s="451"/>
      <c r="G78" s="451"/>
      <c r="H78" s="451"/>
      <c r="K78" s="208" t="s">
        <v>88</v>
      </c>
      <c r="L78" s="208"/>
      <c r="M78" s="209"/>
      <c r="N78" s="209"/>
      <c r="O78" s="100"/>
      <c r="Y78" s="15"/>
    </row>
    <row r="79" spans="2:25">
      <c r="B79" s="451"/>
      <c r="C79" s="451"/>
      <c r="D79" s="451"/>
      <c r="E79" s="451"/>
      <c r="F79" s="451"/>
      <c r="G79" s="451"/>
      <c r="H79" s="451"/>
      <c r="K79" s="454"/>
      <c r="L79" s="455"/>
      <c r="M79" s="455"/>
      <c r="N79" s="455"/>
      <c r="O79" s="455"/>
      <c r="P79" s="455"/>
      <c r="Q79" s="456"/>
      <c r="Y79" s="15"/>
    </row>
    <row r="80" spans="2:25" ht="16" customHeight="1">
      <c r="B80" s="451" t="s">
        <v>114</v>
      </c>
      <c r="C80" s="451"/>
      <c r="D80" s="451"/>
      <c r="E80" s="451"/>
      <c r="F80" s="451"/>
      <c r="G80" s="451"/>
      <c r="H80" s="451"/>
      <c r="K80" s="457"/>
      <c r="L80" s="458"/>
      <c r="M80" s="458"/>
      <c r="N80" s="458"/>
      <c r="O80" s="458"/>
      <c r="P80" s="458"/>
      <c r="Q80" s="459"/>
      <c r="Y80" s="15"/>
    </row>
    <row r="81" spans="2:25" ht="14" customHeight="1">
      <c r="B81" s="451"/>
      <c r="C81" s="451"/>
      <c r="D81" s="451"/>
      <c r="E81" s="451"/>
      <c r="F81" s="451"/>
      <c r="G81" s="451"/>
      <c r="H81" s="451"/>
      <c r="K81" s="457"/>
      <c r="L81" s="458"/>
      <c r="M81" s="458"/>
      <c r="N81" s="458"/>
      <c r="O81" s="458"/>
      <c r="P81" s="458"/>
      <c r="Q81" s="459"/>
      <c r="Y81" s="15"/>
    </row>
    <row r="82" spans="2:25" ht="15" customHeight="1" thickBot="1">
      <c r="B82" s="451"/>
      <c r="C82" s="451"/>
      <c r="D82" s="451"/>
      <c r="E82" s="451"/>
      <c r="F82" s="451"/>
      <c r="G82" s="451"/>
      <c r="H82" s="451"/>
      <c r="K82" s="460"/>
      <c r="L82" s="461"/>
      <c r="M82" s="461"/>
      <c r="N82" s="461"/>
      <c r="O82" s="461"/>
      <c r="P82" s="461"/>
      <c r="Q82" s="462"/>
      <c r="Y82" s="15"/>
    </row>
    <row r="83" spans="2:25">
      <c r="B83" s="451"/>
      <c r="C83" s="451"/>
      <c r="D83" s="451"/>
      <c r="E83" s="451"/>
      <c r="F83" s="451"/>
      <c r="G83" s="451"/>
      <c r="H83" s="451"/>
      <c r="K83" s="192"/>
      <c r="L83" s="192"/>
      <c r="M83" s="84"/>
      <c r="N83" s="243"/>
      <c r="O83" s="84"/>
      <c r="P83" s="227"/>
    </row>
    <row r="84" spans="2:25">
      <c r="K84" s="84"/>
      <c r="L84" s="84"/>
      <c r="M84" s="84"/>
      <c r="N84" s="26"/>
      <c r="O84" s="244"/>
      <c r="P84" s="188"/>
    </row>
    <row r="85" spans="2:25">
      <c r="B85" s="8" t="s">
        <v>31</v>
      </c>
      <c r="K85" s="100"/>
      <c r="L85" s="100"/>
      <c r="M85" s="100"/>
      <c r="N85" s="209"/>
      <c r="O85" s="232"/>
      <c r="P85" s="100"/>
    </row>
    <row r="86" spans="2:25">
      <c r="B86" s="447" t="s">
        <v>115</v>
      </c>
      <c r="C86" s="447"/>
      <c r="D86" s="447"/>
      <c r="E86" s="447"/>
      <c r="F86" s="447"/>
      <c r="G86" s="447"/>
      <c r="H86" s="447"/>
      <c r="I86" s="447"/>
      <c r="K86" s="18"/>
      <c r="M86" s="8" t="s">
        <v>127</v>
      </c>
      <c r="N86" s="2" t="s">
        <v>132</v>
      </c>
      <c r="O86" s="2"/>
      <c r="P86" s="2" t="s">
        <v>129</v>
      </c>
      <c r="Q86" s="2">
        <v>0.1</v>
      </c>
      <c r="R86" s="2"/>
    </row>
    <row r="87" spans="2:25">
      <c r="B87" s="447"/>
      <c r="C87" s="447"/>
      <c r="D87" s="447"/>
      <c r="E87" s="447"/>
      <c r="F87" s="447"/>
      <c r="G87" s="447"/>
      <c r="H87" s="447"/>
      <c r="I87" s="447"/>
      <c r="L87" s="32"/>
      <c r="M87" s="32"/>
      <c r="N87" s="281" t="s">
        <v>81</v>
      </c>
      <c r="O87" s="2"/>
      <c r="P87" s="2" t="s">
        <v>129</v>
      </c>
      <c r="Q87" s="2">
        <v>0.5</v>
      </c>
      <c r="R87" s="6" t="s">
        <v>130</v>
      </c>
      <c r="S87" s="8" t="s">
        <v>133</v>
      </c>
    </row>
    <row r="88" spans="2:25">
      <c r="K88" s="8">
        <v>1</v>
      </c>
      <c r="L88" s="246" t="s">
        <v>19</v>
      </c>
      <c r="M88" s="18">
        <f>L19</f>
        <v>327000</v>
      </c>
      <c r="N88" s="316">
        <f>Feuil5!L19</f>
        <v>327000</v>
      </c>
      <c r="O88" s="2">
        <f>IF((M88-N88=0),1,0)</f>
        <v>1</v>
      </c>
      <c r="P88" s="2">
        <f>IF((M88-N88=0),1,0)</f>
        <v>1</v>
      </c>
      <c r="Q88" s="2">
        <f>IF(O88+P88=2,1,0)</f>
        <v>1</v>
      </c>
      <c r="R88" s="333">
        <v>0</v>
      </c>
      <c r="S88" s="8">
        <f>Q88*R88</f>
        <v>0</v>
      </c>
      <c r="X88" s="100"/>
    </row>
    <row r="89" spans="2:25">
      <c r="K89" s="8">
        <v>2</v>
      </c>
      <c r="L89" s="246" t="s">
        <v>20</v>
      </c>
      <c r="M89" s="18">
        <f>L20</f>
        <v>343000</v>
      </c>
      <c r="N89" s="316">
        <f>Feuil5!L20</f>
        <v>343000</v>
      </c>
      <c r="O89" s="2">
        <f t="shared" ref="O89:O96" si="40">IF((M89-N89=0),1,0)</f>
        <v>1</v>
      </c>
      <c r="P89" s="2">
        <f t="shared" ref="P89:P96" si="41">IF((M89-N89=0),1,0)</f>
        <v>1</v>
      </c>
      <c r="Q89" s="2">
        <f t="shared" ref="Q89:Q102" si="42">IF(O89+P89=2,1,0)</f>
        <v>1</v>
      </c>
      <c r="R89" s="333">
        <v>1.75</v>
      </c>
      <c r="S89" s="8">
        <f t="shared" ref="S89:S109" si="43">Q89*R89</f>
        <v>1.75</v>
      </c>
      <c r="T89" s="100"/>
      <c r="U89" s="100"/>
    </row>
    <row r="90" spans="2:25">
      <c r="K90" s="8">
        <v>3</v>
      </c>
      <c r="L90" s="246" t="s">
        <v>21</v>
      </c>
      <c r="M90" s="18">
        <f>L21</f>
        <v>637000</v>
      </c>
      <c r="N90" s="316">
        <f>Feuil5!L21</f>
        <v>637000</v>
      </c>
      <c r="O90" s="2">
        <f t="shared" si="40"/>
        <v>1</v>
      </c>
      <c r="P90" s="2">
        <f t="shared" si="41"/>
        <v>1</v>
      </c>
      <c r="Q90" s="2">
        <f t="shared" si="42"/>
        <v>1</v>
      </c>
      <c r="R90" s="333">
        <v>0</v>
      </c>
      <c r="S90" s="8">
        <f t="shared" si="43"/>
        <v>0</v>
      </c>
      <c r="T90" s="100"/>
      <c r="U90" s="100"/>
    </row>
    <row r="91" spans="2:25">
      <c r="L91" s="32"/>
      <c r="M91" s="48"/>
      <c r="N91" s="317" t="s">
        <v>58</v>
      </c>
      <c r="O91" s="2"/>
      <c r="P91" s="2"/>
      <c r="Q91" s="2"/>
      <c r="R91" s="333"/>
      <c r="T91" s="100"/>
      <c r="U91" s="100"/>
    </row>
    <row r="92" spans="2:25">
      <c r="K92" s="8">
        <v>5</v>
      </c>
      <c r="L92" s="246" t="s">
        <v>19</v>
      </c>
      <c r="M92" s="48">
        <f>M19</f>
        <v>233560</v>
      </c>
      <c r="N92" s="316">
        <f>L19-((L19-M12)/L12*V24)</f>
        <v>233560</v>
      </c>
      <c r="O92" s="2">
        <f t="shared" si="40"/>
        <v>1</v>
      </c>
      <c r="P92" s="2">
        <f t="shared" si="41"/>
        <v>1</v>
      </c>
      <c r="Q92" s="2">
        <f t="shared" si="42"/>
        <v>1</v>
      </c>
      <c r="R92" s="333">
        <v>0.25</v>
      </c>
      <c r="S92" s="8">
        <f t="shared" si="43"/>
        <v>0.25</v>
      </c>
      <c r="T92" s="100"/>
      <c r="U92" s="100"/>
    </row>
    <row r="93" spans="2:25">
      <c r="K93" s="8">
        <v>6</v>
      </c>
      <c r="L93" s="246" t="s">
        <v>20</v>
      </c>
      <c r="M93" s="18">
        <f>M20</f>
        <v>120000</v>
      </c>
      <c r="N93" s="316">
        <f>L13</f>
        <v>120000</v>
      </c>
      <c r="O93" s="2">
        <f t="shared" si="40"/>
        <v>1</v>
      </c>
      <c r="P93" s="2">
        <f t="shared" si="41"/>
        <v>1</v>
      </c>
      <c r="Q93" s="2">
        <f t="shared" si="42"/>
        <v>1</v>
      </c>
      <c r="R93" s="333">
        <v>0</v>
      </c>
      <c r="S93" s="8">
        <f t="shared" si="43"/>
        <v>0</v>
      </c>
      <c r="T93" s="100"/>
      <c r="U93" s="100"/>
    </row>
    <row r="94" spans="2:25">
      <c r="K94" s="8">
        <v>7</v>
      </c>
      <c r="L94" s="246" t="s">
        <v>21</v>
      </c>
      <c r="M94" s="18">
        <f>M21</f>
        <v>806932.5418439114</v>
      </c>
      <c r="N94" s="316">
        <f>L21*(1+L14)^V24</f>
        <v>806932.5418439114</v>
      </c>
      <c r="O94" s="2">
        <f t="shared" si="40"/>
        <v>1</v>
      </c>
      <c r="P94" s="2">
        <f t="shared" si="41"/>
        <v>1</v>
      </c>
      <c r="Q94" s="2">
        <f t="shared" si="42"/>
        <v>1</v>
      </c>
      <c r="R94" s="333">
        <v>0.25</v>
      </c>
      <c r="S94" s="8">
        <f t="shared" si="43"/>
        <v>0.25</v>
      </c>
      <c r="T94" s="100"/>
      <c r="U94" s="100"/>
    </row>
    <row r="95" spans="2:25">
      <c r="K95" s="8">
        <v>8</v>
      </c>
      <c r="M95" s="282">
        <f>O25</f>
        <v>15300</v>
      </c>
      <c r="N95" s="282">
        <f>Feuil5!O25</f>
        <v>15300</v>
      </c>
      <c r="O95" s="2">
        <f t="shared" si="40"/>
        <v>1</v>
      </c>
      <c r="P95" s="2">
        <f t="shared" si="41"/>
        <v>1</v>
      </c>
      <c r="Q95" s="2">
        <f t="shared" si="42"/>
        <v>1</v>
      </c>
      <c r="R95" s="333">
        <v>1</v>
      </c>
      <c r="S95" s="8">
        <f t="shared" si="43"/>
        <v>1</v>
      </c>
      <c r="T95" s="100"/>
      <c r="U95" s="100"/>
    </row>
    <row r="96" spans="2:25">
      <c r="K96" s="8">
        <v>9</v>
      </c>
      <c r="M96" s="282">
        <f>S25</f>
        <v>26000</v>
      </c>
      <c r="N96" s="282">
        <f>Feuil5!S25</f>
        <v>26000</v>
      </c>
      <c r="O96" s="2">
        <f t="shared" si="40"/>
        <v>1</v>
      </c>
      <c r="P96" s="2">
        <f t="shared" si="41"/>
        <v>1</v>
      </c>
      <c r="Q96" s="2">
        <f t="shared" si="42"/>
        <v>1</v>
      </c>
      <c r="R96" s="333">
        <f t="shared" ref="R96:R108" si="44">$Q$87</f>
        <v>0.5</v>
      </c>
      <c r="S96" s="8">
        <f t="shared" si="43"/>
        <v>0.5</v>
      </c>
    </row>
    <row r="97" spans="2:20">
      <c r="K97" s="8">
        <v>10</v>
      </c>
      <c r="M97" s="18">
        <f>Ennoncé!N42</f>
        <v>-1327000</v>
      </c>
      <c r="N97" s="18">
        <f>N42</f>
        <v>-1327000</v>
      </c>
      <c r="O97" s="2">
        <f t="shared" ref="O97:O102" si="45">IF(M97/N97&gt;0.998,1,0)</f>
        <v>1</v>
      </c>
      <c r="P97" s="2">
        <f t="shared" ref="P97:P102" si="46">IF(M97/N97&lt;1.002,1,0)</f>
        <v>1</v>
      </c>
      <c r="Q97" s="2">
        <f t="shared" si="42"/>
        <v>1</v>
      </c>
      <c r="R97" s="333">
        <f t="shared" si="44"/>
        <v>0.5</v>
      </c>
      <c r="S97" s="8">
        <f t="shared" si="43"/>
        <v>0.5</v>
      </c>
    </row>
    <row r="98" spans="2:20">
      <c r="K98" s="8">
        <v>11</v>
      </c>
      <c r="M98" s="18">
        <f>Ennoncé!R42</f>
        <v>229500</v>
      </c>
      <c r="N98" s="18">
        <f>R42</f>
        <v>229500</v>
      </c>
      <c r="O98" s="2">
        <f t="shared" si="45"/>
        <v>1</v>
      </c>
      <c r="P98" s="2">
        <f t="shared" si="46"/>
        <v>1</v>
      </c>
      <c r="Q98" s="2">
        <f t="shared" si="42"/>
        <v>1</v>
      </c>
      <c r="R98" s="333">
        <f t="shared" si="44"/>
        <v>0.5</v>
      </c>
      <c r="S98" s="8">
        <f t="shared" si="43"/>
        <v>0.5</v>
      </c>
    </row>
    <row r="99" spans="2:20">
      <c r="K99" s="8">
        <v>12</v>
      </c>
      <c r="M99" s="18">
        <f>Ennoncé!V42</f>
        <v>1618492.5418439114</v>
      </c>
      <c r="N99" s="18">
        <f>V42</f>
        <v>1618492.5418439114</v>
      </c>
      <c r="O99" s="2">
        <f t="shared" si="45"/>
        <v>1</v>
      </c>
      <c r="P99" s="2">
        <f t="shared" si="46"/>
        <v>1</v>
      </c>
      <c r="Q99" s="2">
        <f t="shared" si="42"/>
        <v>1</v>
      </c>
      <c r="R99" s="333">
        <f t="shared" si="44"/>
        <v>0.5</v>
      </c>
      <c r="S99" s="8">
        <f t="shared" si="43"/>
        <v>0.5</v>
      </c>
    </row>
    <row r="100" spans="2:20">
      <c r="K100" s="8">
        <v>13</v>
      </c>
      <c r="M100" s="48">
        <f>Ennoncé!M45</f>
        <v>817407.7598068628</v>
      </c>
      <c r="N100" s="48">
        <f>M45</f>
        <v>817407.75980686303</v>
      </c>
      <c r="O100" s="2">
        <f t="shared" si="45"/>
        <v>1</v>
      </c>
      <c r="P100" s="2">
        <f t="shared" si="46"/>
        <v>1</v>
      </c>
      <c r="Q100" s="2">
        <f t="shared" si="42"/>
        <v>1</v>
      </c>
      <c r="R100" s="333">
        <f t="shared" si="44"/>
        <v>0.5</v>
      </c>
      <c r="S100" s="8">
        <f t="shared" si="43"/>
        <v>0.5</v>
      </c>
    </row>
    <row r="101" spans="2:20">
      <c r="K101" s="8">
        <v>14</v>
      </c>
      <c r="M101" s="48">
        <f>Ennoncé!M49</f>
        <v>158838.67588566957</v>
      </c>
      <c r="N101" s="48">
        <f>M49</f>
        <v>158839.53760551292</v>
      </c>
      <c r="O101" s="2">
        <f t="shared" si="45"/>
        <v>1</v>
      </c>
      <c r="P101" s="2">
        <f t="shared" si="46"/>
        <v>1</v>
      </c>
      <c r="Q101" s="2">
        <f t="shared" si="42"/>
        <v>1</v>
      </c>
      <c r="R101" s="333">
        <f t="shared" si="44"/>
        <v>0.5</v>
      </c>
      <c r="S101" s="8">
        <f t="shared" si="43"/>
        <v>0.5</v>
      </c>
    </row>
    <row r="102" spans="2:20">
      <c r="K102" s="8">
        <v>15</v>
      </c>
      <c r="M102" s="285">
        <f>Ennoncé!M54</f>
        <v>1.6069430253924968</v>
      </c>
      <c r="N102" s="285">
        <f>M54</f>
        <v>1.6159817330873119</v>
      </c>
      <c r="O102" s="2">
        <f t="shared" si="45"/>
        <v>0</v>
      </c>
      <c r="P102" s="2">
        <f t="shared" si="46"/>
        <v>1</v>
      </c>
      <c r="Q102" s="2">
        <f t="shared" si="42"/>
        <v>0</v>
      </c>
      <c r="R102" s="333">
        <f t="shared" si="44"/>
        <v>0.5</v>
      </c>
      <c r="S102" s="8">
        <f t="shared" si="43"/>
        <v>0</v>
      </c>
    </row>
    <row r="103" spans="2:20">
      <c r="K103" s="8">
        <v>16</v>
      </c>
      <c r="M103" s="242">
        <f>Ennoncé!O62</f>
        <v>0.22250437596493464</v>
      </c>
      <c r="N103" s="242">
        <f>O62</f>
        <v>0.22245054001201181</v>
      </c>
      <c r="O103" s="2">
        <f t="shared" ref="O103:O109" si="47">IF(M103/N103&gt;0.998,1,0)</f>
        <v>1</v>
      </c>
      <c r="P103" s="2">
        <f t="shared" ref="P103:P109" si="48">IF(M103/N103&lt;1.002,1,0)</f>
        <v>1</v>
      </c>
      <c r="Q103" s="2">
        <f t="shared" ref="Q103:Q108" si="49">IF(O103+P103=2,1,0)</f>
        <v>1</v>
      </c>
      <c r="R103" s="333">
        <f t="shared" si="44"/>
        <v>0.5</v>
      </c>
      <c r="S103" s="8">
        <f t="shared" si="43"/>
        <v>0.5</v>
      </c>
    </row>
    <row r="104" spans="2:20">
      <c r="K104" s="8">
        <v>17</v>
      </c>
      <c r="M104" s="286">
        <f>Ennoncé!R59</f>
        <v>151.21732562643678</v>
      </c>
      <c r="N104" s="286">
        <f>R59</f>
        <v>267.97900193279571</v>
      </c>
      <c r="O104" s="2">
        <f t="shared" si="47"/>
        <v>0</v>
      </c>
      <c r="P104" s="2">
        <f t="shared" si="48"/>
        <v>1</v>
      </c>
      <c r="Q104" s="2">
        <f t="shared" si="49"/>
        <v>0</v>
      </c>
      <c r="R104" s="333">
        <f t="shared" si="44"/>
        <v>0.5</v>
      </c>
      <c r="S104" s="8">
        <f t="shared" si="43"/>
        <v>0</v>
      </c>
    </row>
    <row r="105" spans="2:20">
      <c r="K105" s="8">
        <v>18</v>
      </c>
      <c r="M105" s="242">
        <f>Ennoncé!W75</f>
        <v>0.17505975157644227</v>
      </c>
      <c r="N105" s="242">
        <f>W75</f>
        <v>0.17505979813414729</v>
      </c>
      <c r="O105" s="2">
        <f t="shared" si="47"/>
        <v>1</v>
      </c>
      <c r="P105" s="2">
        <f t="shared" si="48"/>
        <v>1</v>
      </c>
      <c r="Q105" s="2">
        <f t="shared" si="49"/>
        <v>1</v>
      </c>
      <c r="R105" s="333">
        <f t="shared" si="44"/>
        <v>0.5</v>
      </c>
      <c r="S105" s="8">
        <f t="shared" si="43"/>
        <v>0.5</v>
      </c>
      <c r="T105" s="8">
        <f>SUM(S88:S105)</f>
        <v>7.25</v>
      </c>
    </row>
    <row r="106" spans="2:20">
      <c r="K106" s="8">
        <v>19</v>
      </c>
      <c r="M106" s="18">
        <f>Ennoncé!AF16</f>
        <v>217194.06559999997</v>
      </c>
      <c r="N106" s="18">
        <f>AF16</f>
        <v>217194.0656</v>
      </c>
      <c r="O106" s="2">
        <f t="shared" ref="O106" si="50">IF(M106/N106&gt;0.998,1,0)</f>
        <v>1</v>
      </c>
      <c r="P106" s="2">
        <f t="shared" ref="P106" si="51">IF(M106/N106&lt;1.002,1,0)</f>
        <v>1</v>
      </c>
      <c r="Q106" s="2">
        <f t="shared" si="49"/>
        <v>1</v>
      </c>
      <c r="R106" s="333">
        <v>1</v>
      </c>
      <c r="S106" s="8">
        <f t="shared" si="43"/>
        <v>1</v>
      </c>
    </row>
    <row r="107" spans="2:20">
      <c r="K107" s="8">
        <v>20</v>
      </c>
      <c r="M107" s="18">
        <f>Ennoncé!AL35</f>
        <v>1483700.8656724074</v>
      </c>
      <c r="N107" s="18">
        <f>AL35</f>
        <v>1483700.8656724074</v>
      </c>
      <c r="O107" s="2">
        <f t="shared" ref="O107:O108" si="52">IF(M107/N107&gt;0.998,1,0)</f>
        <v>1</v>
      </c>
      <c r="P107" s="2">
        <f t="shared" ref="P107:P108" si="53">IF(M107/N107&lt;1.002,1,0)</f>
        <v>1</v>
      </c>
      <c r="Q107" s="2">
        <f t="shared" si="49"/>
        <v>1</v>
      </c>
      <c r="R107" s="333">
        <v>1</v>
      </c>
      <c r="S107" s="8">
        <f t="shared" si="43"/>
        <v>1</v>
      </c>
    </row>
    <row r="108" spans="2:20">
      <c r="K108" s="8">
        <v>21</v>
      </c>
      <c r="M108" s="18">
        <f>Ennoncé!AC39</f>
        <v>719764.10817960091</v>
      </c>
      <c r="N108" s="18">
        <f>AC39</f>
        <v>719764.10817960068</v>
      </c>
      <c r="O108" s="2">
        <f t="shared" si="52"/>
        <v>1</v>
      </c>
      <c r="P108" s="2">
        <f t="shared" si="53"/>
        <v>1</v>
      </c>
      <c r="Q108" s="2">
        <f t="shared" si="49"/>
        <v>1</v>
      </c>
      <c r="R108" s="333">
        <f t="shared" si="44"/>
        <v>0.5</v>
      </c>
      <c r="S108" s="8">
        <f t="shared" si="43"/>
        <v>0.5</v>
      </c>
    </row>
    <row r="109" spans="2:20">
      <c r="K109" s="8">
        <v>22</v>
      </c>
      <c r="M109" s="242">
        <f>Ennoncé!AE60</f>
        <v>0.2999423029173276</v>
      </c>
      <c r="N109" s="242">
        <f>AE60</f>
        <v>-1.6511345122187664</v>
      </c>
      <c r="O109" s="2">
        <f t="shared" si="47"/>
        <v>0</v>
      </c>
      <c r="P109" s="2">
        <f t="shared" si="48"/>
        <v>1</v>
      </c>
      <c r="Q109" s="2">
        <f t="shared" ref="Q109" si="54">IF(O109+P109=2,1,0)</f>
        <v>0</v>
      </c>
      <c r="R109" s="333">
        <v>0.75</v>
      </c>
      <c r="S109" s="8">
        <f t="shared" si="43"/>
        <v>0</v>
      </c>
      <c r="T109" s="8">
        <f>SUM(S106:S109)</f>
        <v>2.5</v>
      </c>
    </row>
    <row r="111" spans="2:20">
      <c r="B111" s="7"/>
      <c r="Q111" s="3" t="s">
        <v>131</v>
      </c>
      <c r="R111" s="334">
        <f>28.5+SUM(S88:S109)</f>
        <v>38.25</v>
      </c>
      <c r="S111" s="333">
        <f>SUM(R88:R109)</f>
        <v>11.5</v>
      </c>
    </row>
    <row r="112" spans="2:20">
      <c r="Q112" s="8" t="s">
        <v>134</v>
      </c>
      <c r="S112" s="8">
        <f>(40-S111)/2</f>
        <v>14.25</v>
      </c>
    </row>
  </sheetData>
  <mergeCells count="131">
    <mergeCell ref="K79:Q82"/>
    <mergeCell ref="B80:H83"/>
    <mergeCell ref="B86:I87"/>
    <mergeCell ref="B66:H67"/>
    <mergeCell ref="B68:H68"/>
    <mergeCell ref="B69:H69"/>
    <mergeCell ref="B70:H70"/>
    <mergeCell ref="B75:H76"/>
    <mergeCell ref="B78:H79"/>
    <mergeCell ref="AC60:AD60"/>
    <mergeCell ref="AA61:AE63"/>
    <mergeCell ref="B62:H62"/>
    <mergeCell ref="B63:H63"/>
    <mergeCell ref="B64:H64"/>
    <mergeCell ref="B65:H65"/>
    <mergeCell ref="B49:H54"/>
    <mergeCell ref="K49:L49"/>
    <mergeCell ref="M49:N49"/>
    <mergeCell ref="K54:L54"/>
    <mergeCell ref="M54:N54"/>
    <mergeCell ref="B56:H56"/>
    <mergeCell ref="K44:L44"/>
    <mergeCell ref="B45:H48"/>
    <mergeCell ref="K45:L45"/>
    <mergeCell ref="M45:N45"/>
    <mergeCell ref="K47:L47"/>
    <mergeCell ref="K48:L48"/>
    <mergeCell ref="M48:N48"/>
    <mergeCell ref="K40:L40"/>
    <mergeCell ref="K41:L41"/>
    <mergeCell ref="K42:L42"/>
    <mergeCell ref="AA42:AB42"/>
    <mergeCell ref="AQ42:AR42"/>
    <mergeCell ref="K43:L43"/>
    <mergeCell ref="AQ36:AR36"/>
    <mergeCell ref="K37:L37"/>
    <mergeCell ref="AA37:AB37"/>
    <mergeCell ref="AQ37:AR37"/>
    <mergeCell ref="K38:L38"/>
    <mergeCell ref="K39:L39"/>
    <mergeCell ref="C36:C38"/>
    <mergeCell ref="D36:D38"/>
    <mergeCell ref="E36:E38"/>
    <mergeCell ref="F36:F38"/>
    <mergeCell ref="K36:L36"/>
    <mergeCell ref="AA36:AB36"/>
    <mergeCell ref="K34:L34"/>
    <mergeCell ref="AA34:AB34"/>
    <mergeCell ref="AQ34:AR34"/>
    <mergeCell ref="C35:D35"/>
    <mergeCell ref="E35:F35"/>
    <mergeCell ref="K35:L35"/>
    <mergeCell ref="AA35:AB35"/>
    <mergeCell ref="AQ35:AR35"/>
    <mergeCell ref="K32:L32"/>
    <mergeCell ref="AA32:AB32"/>
    <mergeCell ref="AQ32:AR32"/>
    <mergeCell ref="K33:L33"/>
    <mergeCell ref="AA33:AB33"/>
    <mergeCell ref="AQ33:AR33"/>
    <mergeCell ref="B29:H33"/>
    <mergeCell ref="K29:M29"/>
    <mergeCell ref="AA29:AB29"/>
    <mergeCell ref="AQ29:AR29"/>
    <mergeCell ref="K30:L30"/>
    <mergeCell ref="AA30:AB30"/>
    <mergeCell ref="AQ30:AR30"/>
    <mergeCell ref="K31:L31"/>
    <mergeCell ref="AA31:AB31"/>
    <mergeCell ref="AQ31:AR31"/>
    <mergeCell ref="K27:L27"/>
    <mergeCell ref="AA27:AB27"/>
    <mergeCell ref="AQ27:AR27"/>
    <mergeCell ref="K28:L28"/>
    <mergeCell ref="AA28:AB28"/>
    <mergeCell ref="AQ28:AR28"/>
    <mergeCell ref="B24:H28"/>
    <mergeCell ref="K24:L24"/>
    <mergeCell ref="AA24:AB24"/>
    <mergeCell ref="AQ24:AR24"/>
    <mergeCell ref="K25:L25"/>
    <mergeCell ref="AA25:AB25"/>
    <mergeCell ref="AQ25:AR25"/>
    <mergeCell ref="K26:L26"/>
    <mergeCell ref="AA26:AB26"/>
    <mergeCell ref="AQ26:AR26"/>
    <mergeCell ref="B20:H23"/>
    <mergeCell ref="AA20:AB20"/>
    <mergeCell ref="AQ20:AR20"/>
    <mergeCell ref="AA21:AB21"/>
    <mergeCell ref="AQ21:AR21"/>
    <mergeCell ref="AA22:AB22"/>
    <mergeCell ref="AQ22:AR22"/>
    <mergeCell ref="AA23:AB23"/>
    <mergeCell ref="AQ23:AR23"/>
    <mergeCell ref="AQ15:AR15"/>
    <mergeCell ref="AA16:AB16"/>
    <mergeCell ref="AQ16:AR16"/>
    <mergeCell ref="B17:H19"/>
    <mergeCell ref="AA17:AB17"/>
    <mergeCell ref="AQ17:AR17"/>
    <mergeCell ref="AA18:AB18"/>
    <mergeCell ref="AQ18:AR18"/>
    <mergeCell ref="AA19:AB19"/>
    <mergeCell ref="AQ19:AR19"/>
    <mergeCell ref="B11:H16"/>
    <mergeCell ref="AA11:AB11"/>
    <mergeCell ref="AQ11:AR11"/>
    <mergeCell ref="AA12:AB12"/>
    <mergeCell ref="AQ12:AR12"/>
    <mergeCell ref="AA13:AB13"/>
    <mergeCell ref="AQ13:AR13"/>
    <mergeCell ref="AA14:AB14"/>
    <mergeCell ref="AQ14:AR14"/>
    <mergeCell ref="AA15:AB15"/>
    <mergeCell ref="AA8:AB8"/>
    <mergeCell ref="AQ8:AR8"/>
    <mergeCell ref="AA9:AB9"/>
    <mergeCell ref="AQ9:AR9"/>
    <mergeCell ref="AA10:AB10"/>
    <mergeCell ref="AQ10:AR10"/>
    <mergeCell ref="E1:F1"/>
    <mergeCell ref="B2:F2"/>
    <mergeCell ref="G2:H2"/>
    <mergeCell ref="B3:H10"/>
    <mergeCell ref="AA5:AB5"/>
    <mergeCell ref="AQ5:AR5"/>
    <mergeCell ref="AA6:AB6"/>
    <mergeCell ref="AQ6:AR6"/>
    <mergeCell ref="AA7:AB7"/>
    <mergeCell ref="AQ7:AR7"/>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78BE5E-A918-7E4D-BC77-BF2DC918FE8A}">
  <dimension ref="A1:C1"/>
  <sheetViews>
    <sheetView workbookViewId="0">
      <selection activeCell="C2" sqref="C2"/>
    </sheetView>
  </sheetViews>
  <sheetFormatPr baseColWidth="10" defaultRowHeight="14"/>
  <sheetData>
    <row r="1" spans="1:3">
      <c r="A1" s="335">
        <f>Feuil3!R111</f>
        <v>38.25</v>
      </c>
      <c r="B1">
        <f>Feuil3!T105</f>
        <v>7.25</v>
      </c>
      <c r="C1">
        <f>Feuil3!T109</f>
        <v>2.5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D7ECCC-5DFE-3D45-861A-930F0A8536A3}">
  <dimension ref="B1:BB111"/>
  <sheetViews>
    <sheetView topLeftCell="X34" workbookViewId="0">
      <selection activeCell="K1" sqref="K1:BE75"/>
    </sheetView>
  </sheetViews>
  <sheetFormatPr baseColWidth="10" defaultRowHeight="16"/>
  <cols>
    <col min="1" max="2" width="10.83203125" style="8"/>
    <col min="3" max="3" width="11" style="8" bestFit="1" customWidth="1"/>
    <col min="4" max="4" width="12.33203125" style="8" customWidth="1"/>
    <col min="5" max="5" width="11" style="8" bestFit="1" customWidth="1"/>
    <col min="6" max="6" width="11.83203125" style="8" customWidth="1"/>
    <col min="7" max="7" width="10.83203125" style="8"/>
    <col min="8" max="8" width="12.5" style="8" customWidth="1"/>
    <col min="9" max="10" width="10.83203125" style="8"/>
    <col min="11" max="11" width="17.6640625" style="8" customWidth="1"/>
    <col min="12" max="12" width="13.5" style="8" bestFit="1" customWidth="1"/>
    <col min="13" max="13" width="21" style="8" customWidth="1"/>
    <col min="14" max="14" width="13" style="8" bestFit="1" customWidth="1"/>
    <col min="15" max="15" width="11" style="8" bestFit="1" customWidth="1"/>
    <col min="16" max="16" width="15" style="8" bestFit="1" customWidth="1"/>
    <col min="17" max="17" width="12" style="8" bestFit="1" customWidth="1"/>
    <col min="18" max="18" width="15.33203125" style="8" bestFit="1" customWidth="1"/>
    <col min="19" max="19" width="13" style="8" bestFit="1" customWidth="1"/>
    <col min="20" max="20" width="10.83203125" style="8" customWidth="1"/>
    <col min="21" max="21" width="12" style="8" customWidth="1"/>
    <col min="22" max="22" width="12.33203125" style="8" bestFit="1" customWidth="1"/>
    <col min="23" max="23" width="11" style="8" bestFit="1" customWidth="1"/>
    <col min="24" max="24" width="10.83203125" style="8"/>
    <col min="25" max="25" width="4" style="8" customWidth="1"/>
    <col min="26" max="27" width="10.83203125" style="8"/>
    <col min="28" max="28" width="31.1640625" style="8" customWidth="1"/>
    <col min="29" max="29" width="13.33203125" style="8" bestFit="1" customWidth="1"/>
    <col min="30" max="30" width="13" style="8" bestFit="1" customWidth="1"/>
    <col min="31" max="31" width="11" style="8" bestFit="1" customWidth="1"/>
    <col min="32" max="33" width="11.33203125" style="8" bestFit="1" customWidth="1"/>
    <col min="34" max="37" width="11" style="8" bestFit="1" customWidth="1"/>
    <col min="38" max="38" width="12.33203125" style="8" bestFit="1" customWidth="1"/>
    <col min="39" max="44" width="10.83203125" style="8"/>
    <col min="45" max="45" width="11" style="8" bestFit="1" customWidth="1"/>
    <col min="46" max="46" width="13" style="8" bestFit="1" customWidth="1"/>
    <col min="47" max="54" width="12.6640625" style="8" bestFit="1" customWidth="1"/>
    <col min="55" max="16384" width="10.83203125" style="8"/>
  </cols>
  <sheetData>
    <row r="1" spans="2:54">
      <c r="B1" s="9" t="s">
        <v>0</v>
      </c>
      <c r="C1" s="10"/>
      <c r="D1" s="11" t="s">
        <v>4</v>
      </c>
      <c r="E1" s="494"/>
      <c r="F1" s="414"/>
      <c r="G1" s="12" t="s">
        <v>5</v>
      </c>
      <c r="H1" s="13"/>
      <c r="I1" s="14" t="s">
        <v>6</v>
      </c>
      <c r="J1" s="14"/>
      <c r="Y1" s="15"/>
    </row>
    <row r="2" spans="2:54">
      <c r="B2" s="482" t="s">
        <v>120</v>
      </c>
      <c r="C2" s="482"/>
      <c r="D2" s="482"/>
      <c r="E2" s="482"/>
      <c r="F2" s="482"/>
      <c r="G2" s="482" t="s">
        <v>121</v>
      </c>
      <c r="H2" s="482"/>
      <c r="I2" s="16"/>
      <c r="K2" s="7" t="s">
        <v>89</v>
      </c>
      <c r="Y2" s="15"/>
      <c r="AA2" s="7" t="s">
        <v>90</v>
      </c>
      <c r="AQ2" s="7" t="s">
        <v>90</v>
      </c>
      <c r="AT2" s="8" t="s">
        <v>108</v>
      </c>
      <c r="AW2" s="17">
        <v>0.1</v>
      </c>
    </row>
    <row r="3" spans="2:54" ht="16" customHeight="1">
      <c r="B3" s="398" t="s">
        <v>59</v>
      </c>
      <c r="C3" s="398"/>
      <c r="D3" s="398"/>
      <c r="E3" s="398"/>
      <c r="F3" s="398"/>
      <c r="G3" s="398"/>
      <c r="H3" s="398"/>
      <c r="Y3" s="15"/>
    </row>
    <row r="4" spans="2:54" ht="14" customHeight="1" thickBot="1">
      <c r="B4" s="398"/>
      <c r="C4" s="398"/>
      <c r="D4" s="398"/>
      <c r="E4" s="398"/>
      <c r="F4" s="398"/>
      <c r="G4" s="398"/>
      <c r="H4" s="398"/>
      <c r="K4" s="7" t="s">
        <v>8</v>
      </c>
      <c r="R4" s="18"/>
      <c r="Y4" s="15"/>
      <c r="AA4" s="7" t="s">
        <v>8</v>
      </c>
    </row>
    <row r="5" spans="2:54" ht="14" customHeight="1" thickBot="1">
      <c r="B5" s="398"/>
      <c r="C5" s="398"/>
      <c r="D5" s="398"/>
      <c r="E5" s="398"/>
      <c r="F5" s="398"/>
      <c r="G5" s="398"/>
      <c r="H5" s="398"/>
      <c r="K5" s="19"/>
      <c r="L5" s="20" t="s">
        <v>57</v>
      </c>
      <c r="M5" s="20"/>
      <c r="N5" s="20"/>
      <c r="O5" s="20"/>
      <c r="P5" s="20" t="s">
        <v>66</v>
      </c>
      <c r="Q5" s="21" t="s">
        <v>68</v>
      </c>
      <c r="Y5" s="15"/>
      <c r="AA5" s="431" t="s">
        <v>1</v>
      </c>
      <c r="AB5" s="495"/>
      <c r="AC5" s="22" t="s">
        <v>3</v>
      </c>
      <c r="AD5" s="23">
        <v>0</v>
      </c>
      <c r="AE5" s="24">
        <v>1</v>
      </c>
      <c r="AF5" s="24">
        <v>2</v>
      </c>
      <c r="AG5" s="24">
        <v>3</v>
      </c>
      <c r="AH5" s="24">
        <v>4</v>
      </c>
      <c r="AI5" s="24">
        <v>5</v>
      </c>
      <c r="AJ5" s="24">
        <v>6</v>
      </c>
      <c r="AK5" s="24">
        <v>7</v>
      </c>
      <c r="AL5" s="25">
        <v>8</v>
      </c>
      <c r="AM5" s="26"/>
      <c r="AN5" s="26"/>
      <c r="AQ5" s="431" t="s">
        <v>1</v>
      </c>
      <c r="AR5" s="495"/>
      <c r="AS5" s="22" t="s">
        <v>3</v>
      </c>
      <c r="AT5" s="27">
        <v>0</v>
      </c>
      <c r="AU5" s="28">
        <v>1</v>
      </c>
      <c r="AV5" s="28">
        <v>2</v>
      </c>
      <c r="AW5" s="28">
        <v>3</v>
      </c>
      <c r="AX5" s="28">
        <v>4</v>
      </c>
      <c r="AY5" s="28">
        <v>5</v>
      </c>
      <c r="AZ5" s="28">
        <v>6</v>
      </c>
      <c r="BA5" s="28">
        <v>7</v>
      </c>
      <c r="BB5" s="29">
        <v>8</v>
      </c>
    </row>
    <row r="6" spans="2:54" ht="14" customHeight="1" thickBot="1">
      <c r="B6" s="398"/>
      <c r="C6" s="398"/>
      <c r="D6" s="398"/>
      <c r="E6" s="398"/>
      <c r="F6" s="398"/>
      <c r="G6" s="398"/>
      <c r="H6" s="398"/>
      <c r="K6" s="30" t="s">
        <v>65</v>
      </c>
      <c r="L6" s="31">
        <f>954000</f>
        <v>954000</v>
      </c>
      <c r="M6" s="32"/>
      <c r="N6" s="32"/>
      <c r="O6" s="32" t="s">
        <v>20</v>
      </c>
      <c r="P6" s="31">
        <v>294000</v>
      </c>
      <c r="Q6" s="33">
        <f>P6/P8</f>
        <v>0.35</v>
      </c>
      <c r="Y6" s="15"/>
      <c r="AA6" s="433" t="s">
        <v>7</v>
      </c>
      <c r="AB6" s="496"/>
      <c r="AC6" s="34"/>
      <c r="AD6" s="35"/>
      <c r="AE6" s="36">
        <f>O25</f>
        <v>15300</v>
      </c>
      <c r="AF6" s="36">
        <f t="shared" ref="AF6:AL10" si="0">P25</f>
        <v>15300</v>
      </c>
      <c r="AG6" s="36">
        <f t="shared" si="0"/>
        <v>15300</v>
      </c>
      <c r="AH6" s="36">
        <f t="shared" si="0"/>
        <v>15300</v>
      </c>
      <c r="AI6" s="36">
        <f t="shared" si="0"/>
        <v>26000</v>
      </c>
      <c r="AJ6" s="36">
        <f t="shared" si="0"/>
        <v>26000</v>
      </c>
      <c r="AK6" s="36">
        <f t="shared" si="0"/>
        <v>26000</v>
      </c>
      <c r="AL6" s="37">
        <f t="shared" si="0"/>
        <v>26000</v>
      </c>
      <c r="AM6" s="38"/>
      <c r="AN6" s="38"/>
      <c r="AQ6" s="433" t="s">
        <v>7</v>
      </c>
      <c r="AR6" s="496"/>
      <c r="AS6" s="39"/>
      <c r="AT6" s="40"/>
      <c r="AU6" s="41">
        <f>AE6</f>
        <v>15300</v>
      </c>
      <c r="AV6" s="41">
        <f t="shared" ref="AV6:BB21" si="1">AF6</f>
        <v>15300</v>
      </c>
      <c r="AW6" s="41">
        <f t="shared" si="1"/>
        <v>15300</v>
      </c>
      <c r="AX6" s="41">
        <f t="shared" si="1"/>
        <v>15300</v>
      </c>
      <c r="AY6" s="41">
        <f t="shared" si="1"/>
        <v>26000</v>
      </c>
      <c r="AZ6" s="41">
        <f t="shared" si="1"/>
        <v>26000</v>
      </c>
      <c r="BA6" s="41">
        <f t="shared" si="1"/>
        <v>26000</v>
      </c>
      <c r="BB6" s="42">
        <f t="shared" si="1"/>
        <v>26000</v>
      </c>
    </row>
    <row r="7" spans="2:54" ht="14" customHeight="1">
      <c r="B7" s="398"/>
      <c r="C7" s="398"/>
      <c r="D7" s="398"/>
      <c r="E7" s="398"/>
      <c r="F7" s="398"/>
      <c r="G7" s="398"/>
      <c r="H7" s="398"/>
      <c r="K7" s="30" t="s">
        <v>71</v>
      </c>
      <c r="L7" s="31">
        <v>4550</v>
      </c>
      <c r="M7" s="32"/>
      <c r="N7" s="32"/>
      <c r="O7" s="32" t="s">
        <v>21</v>
      </c>
      <c r="P7" s="31">
        <v>546000</v>
      </c>
      <c r="Q7" s="33">
        <f>P7/P8</f>
        <v>0.65</v>
      </c>
      <c r="Y7" s="15"/>
      <c r="AA7" s="437" t="s">
        <v>9</v>
      </c>
      <c r="AB7" s="492"/>
      <c r="AC7" s="44"/>
      <c r="AD7" s="45"/>
      <c r="AE7" s="46">
        <f>O26</f>
        <v>123000</v>
      </c>
      <c r="AF7" s="46">
        <f t="shared" si="0"/>
        <v>123000</v>
      </c>
      <c r="AG7" s="46">
        <f t="shared" si="0"/>
        <v>123000</v>
      </c>
      <c r="AH7" s="46">
        <f t="shared" si="0"/>
        <v>123000</v>
      </c>
      <c r="AI7" s="46">
        <f t="shared" si="0"/>
        <v>242000</v>
      </c>
      <c r="AJ7" s="46">
        <f t="shared" si="0"/>
        <v>242000</v>
      </c>
      <c r="AK7" s="46">
        <f t="shared" si="0"/>
        <v>242000</v>
      </c>
      <c r="AL7" s="47">
        <f t="shared" si="0"/>
        <v>242000</v>
      </c>
      <c r="AM7" s="48"/>
      <c r="AN7" s="48"/>
      <c r="AQ7" s="437" t="s">
        <v>9</v>
      </c>
      <c r="AR7" s="492"/>
      <c r="AS7" s="44"/>
      <c r="AT7" s="45"/>
      <c r="AU7" s="49">
        <f t="shared" ref="AU7:AU12" si="2">AE7</f>
        <v>123000</v>
      </c>
      <c r="AV7" s="49">
        <f t="shared" si="1"/>
        <v>123000</v>
      </c>
      <c r="AW7" s="49">
        <f t="shared" si="1"/>
        <v>123000</v>
      </c>
      <c r="AX7" s="49">
        <f t="shared" si="1"/>
        <v>123000</v>
      </c>
      <c r="AY7" s="49">
        <f t="shared" si="1"/>
        <v>242000</v>
      </c>
      <c r="AZ7" s="49">
        <f t="shared" si="1"/>
        <v>242000</v>
      </c>
      <c r="BA7" s="49">
        <f t="shared" si="1"/>
        <v>242000</v>
      </c>
      <c r="BB7" s="50">
        <f t="shared" si="1"/>
        <v>242000</v>
      </c>
    </row>
    <row r="8" spans="2:54" ht="14" customHeight="1">
      <c r="B8" s="398"/>
      <c r="C8" s="398"/>
      <c r="D8" s="398"/>
      <c r="E8" s="398"/>
      <c r="F8" s="398"/>
      <c r="G8" s="398"/>
      <c r="H8" s="398"/>
      <c r="K8" s="30" t="s">
        <v>72</v>
      </c>
      <c r="L8" s="31">
        <v>21450</v>
      </c>
      <c r="M8" s="32"/>
      <c r="N8" s="32"/>
      <c r="O8" s="51" t="s">
        <v>67</v>
      </c>
      <c r="P8" s="52">
        <f>P7+P6</f>
        <v>840000</v>
      </c>
      <c r="Q8" s="53"/>
      <c r="Y8" s="15"/>
      <c r="AA8" s="437" t="s">
        <v>10</v>
      </c>
      <c r="AB8" s="492"/>
      <c r="AC8" s="44"/>
      <c r="AD8" s="45"/>
      <c r="AE8" s="54">
        <f>O27</f>
        <v>25</v>
      </c>
      <c r="AF8" s="54">
        <f t="shared" si="0"/>
        <v>25</v>
      </c>
      <c r="AG8" s="54">
        <f t="shared" si="0"/>
        <v>25</v>
      </c>
      <c r="AH8" s="54">
        <f t="shared" si="0"/>
        <v>25</v>
      </c>
      <c r="AI8" s="54">
        <f t="shared" si="0"/>
        <v>25</v>
      </c>
      <c r="AJ8" s="54">
        <f t="shared" si="0"/>
        <v>25</v>
      </c>
      <c r="AK8" s="54">
        <f t="shared" si="0"/>
        <v>25</v>
      </c>
      <c r="AL8" s="55">
        <f t="shared" si="0"/>
        <v>25</v>
      </c>
      <c r="AM8" s="56"/>
      <c r="AN8" s="56"/>
      <c r="AQ8" s="437" t="s">
        <v>10</v>
      </c>
      <c r="AR8" s="492"/>
      <c r="AS8" s="44"/>
      <c r="AT8" s="45"/>
      <c r="AU8" s="49">
        <f>AE8*(1+$AW$2)</f>
        <v>27.500000000000004</v>
      </c>
      <c r="AV8" s="49">
        <f t="shared" ref="AV8:BB8" si="3">AF8*(1+$AW$2)</f>
        <v>27.500000000000004</v>
      </c>
      <c r="AW8" s="49">
        <f t="shared" si="3"/>
        <v>27.500000000000004</v>
      </c>
      <c r="AX8" s="49">
        <f t="shared" si="3"/>
        <v>27.500000000000004</v>
      </c>
      <c r="AY8" s="49">
        <f t="shared" si="3"/>
        <v>27.500000000000004</v>
      </c>
      <c r="AZ8" s="49">
        <f t="shared" si="3"/>
        <v>27.500000000000004</v>
      </c>
      <c r="BA8" s="49">
        <f t="shared" si="3"/>
        <v>27.500000000000004</v>
      </c>
      <c r="BB8" s="50">
        <f t="shared" si="3"/>
        <v>27.500000000000004</v>
      </c>
    </row>
    <row r="9" spans="2:54" ht="17" thickBot="1">
      <c r="B9" s="398"/>
      <c r="C9" s="398"/>
      <c r="D9" s="398"/>
      <c r="E9" s="398"/>
      <c r="F9" s="398"/>
      <c r="G9" s="398"/>
      <c r="H9" s="398"/>
      <c r="K9" s="57" t="s">
        <v>67</v>
      </c>
      <c r="L9" s="52">
        <f>SUM(L6:L8)</f>
        <v>980000</v>
      </c>
      <c r="M9" s="32"/>
      <c r="N9" s="32"/>
      <c r="O9" s="32"/>
      <c r="P9" s="32"/>
      <c r="Q9" s="53"/>
      <c r="Y9" s="15"/>
      <c r="AA9" s="437" t="s">
        <v>11</v>
      </c>
      <c r="AB9" s="492"/>
      <c r="AC9" s="44"/>
      <c r="AD9" s="45"/>
      <c r="AE9" s="54">
        <f>O28</f>
        <v>382500</v>
      </c>
      <c r="AF9" s="54">
        <f t="shared" si="0"/>
        <v>382500</v>
      </c>
      <c r="AG9" s="54">
        <f t="shared" si="0"/>
        <v>382500</v>
      </c>
      <c r="AH9" s="54">
        <f t="shared" si="0"/>
        <v>382500</v>
      </c>
      <c r="AI9" s="54">
        <f t="shared" si="0"/>
        <v>650000</v>
      </c>
      <c r="AJ9" s="54">
        <f t="shared" si="0"/>
        <v>650000</v>
      </c>
      <c r="AK9" s="54">
        <f t="shared" si="0"/>
        <v>650000</v>
      </c>
      <c r="AL9" s="55">
        <f t="shared" si="0"/>
        <v>650000</v>
      </c>
      <c r="AM9" s="56"/>
      <c r="AN9" s="56"/>
      <c r="AQ9" s="437" t="s">
        <v>11</v>
      </c>
      <c r="AR9" s="492"/>
      <c r="AS9" s="44"/>
      <c r="AT9" s="45"/>
      <c r="AU9" s="49">
        <f>AU6*AU8</f>
        <v>420750.00000000006</v>
      </c>
      <c r="AV9" s="49">
        <f t="shared" ref="AV9:BB9" si="4">AV6*AV8</f>
        <v>420750.00000000006</v>
      </c>
      <c r="AW9" s="49">
        <f t="shared" si="4"/>
        <v>420750.00000000006</v>
      </c>
      <c r="AX9" s="49">
        <f t="shared" si="4"/>
        <v>420750.00000000006</v>
      </c>
      <c r="AY9" s="49">
        <f t="shared" si="4"/>
        <v>715000.00000000012</v>
      </c>
      <c r="AZ9" s="49">
        <f t="shared" si="4"/>
        <v>715000.00000000012</v>
      </c>
      <c r="BA9" s="49">
        <f t="shared" si="4"/>
        <v>715000.00000000012</v>
      </c>
      <c r="BB9" s="50">
        <f t="shared" si="4"/>
        <v>715000.00000000012</v>
      </c>
    </row>
    <row r="10" spans="2:54" ht="17" thickBot="1">
      <c r="B10" s="398"/>
      <c r="C10" s="398"/>
      <c r="D10" s="398"/>
      <c r="E10" s="398"/>
      <c r="F10" s="398"/>
      <c r="G10" s="398"/>
      <c r="H10" s="398"/>
      <c r="K10" s="30"/>
      <c r="L10" s="32"/>
      <c r="M10" s="32"/>
      <c r="N10" s="58"/>
      <c r="O10" s="58"/>
      <c r="P10" s="32"/>
      <c r="Q10" s="53"/>
      <c r="Y10" s="15"/>
      <c r="AA10" s="433" t="s">
        <v>13</v>
      </c>
      <c r="AB10" s="493"/>
      <c r="AC10" s="59"/>
      <c r="AD10" s="60"/>
      <c r="AE10" s="61">
        <f>O29</f>
        <v>259500</v>
      </c>
      <c r="AF10" s="61">
        <f t="shared" si="0"/>
        <v>259500</v>
      </c>
      <c r="AG10" s="61">
        <f t="shared" si="0"/>
        <v>259500</v>
      </c>
      <c r="AH10" s="61">
        <f t="shared" si="0"/>
        <v>259500</v>
      </c>
      <c r="AI10" s="61">
        <f t="shared" si="0"/>
        <v>408000</v>
      </c>
      <c r="AJ10" s="61">
        <f t="shared" si="0"/>
        <v>408000</v>
      </c>
      <c r="AK10" s="61">
        <f t="shared" si="0"/>
        <v>408000</v>
      </c>
      <c r="AL10" s="62">
        <f t="shared" si="0"/>
        <v>408000</v>
      </c>
      <c r="AM10" s="63"/>
      <c r="AN10" s="63"/>
      <c r="AQ10" s="433" t="s">
        <v>13</v>
      </c>
      <c r="AR10" s="493"/>
      <c r="AS10" s="64"/>
      <c r="AT10" s="65"/>
      <c r="AU10" s="66">
        <f>AU9-AU7</f>
        <v>297750.00000000006</v>
      </c>
      <c r="AV10" s="66">
        <f t="shared" ref="AV10:BB10" si="5">AV9-AV7</f>
        <v>297750.00000000006</v>
      </c>
      <c r="AW10" s="66">
        <f t="shared" si="5"/>
        <v>297750.00000000006</v>
      </c>
      <c r="AX10" s="66">
        <f t="shared" si="5"/>
        <v>297750.00000000006</v>
      </c>
      <c r="AY10" s="66">
        <f t="shared" si="5"/>
        <v>473000.00000000012</v>
      </c>
      <c r="AZ10" s="66">
        <f t="shared" si="5"/>
        <v>473000.00000000012</v>
      </c>
      <c r="BA10" s="66">
        <f t="shared" si="5"/>
        <v>473000.00000000012</v>
      </c>
      <c r="BB10" s="67">
        <f t="shared" si="5"/>
        <v>473000.00000000012</v>
      </c>
    </row>
    <row r="11" spans="2:54" ht="16" customHeight="1">
      <c r="B11" s="398" t="s">
        <v>77</v>
      </c>
      <c r="C11" s="398"/>
      <c r="D11" s="398"/>
      <c r="E11" s="398"/>
      <c r="F11" s="398"/>
      <c r="G11" s="398"/>
      <c r="H11" s="398"/>
      <c r="K11" s="30"/>
      <c r="L11" s="32" t="s">
        <v>58</v>
      </c>
      <c r="M11" s="32"/>
      <c r="N11" s="32"/>
      <c r="O11" s="32"/>
      <c r="P11" s="32"/>
      <c r="Q11" s="53"/>
      <c r="Y11" s="15"/>
      <c r="AA11" s="437" t="s">
        <v>14</v>
      </c>
      <c r="AB11" s="492"/>
      <c r="AC11" s="68">
        <v>0.2</v>
      </c>
      <c r="AD11" s="54"/>
      <c r="AE11" s="69">
        <f>AD18*AC11*0.5</f>
        <v>-32700</v>
      </c>
      <c r="AF11" s="69">
        <f>($AD$18-SUM($AE11:AE11))*$AC$11</f>
        <v>-58860</v>
      </c>
      <c r="AG11" s="69">
        <f>($AD$18-SUM($AE11:AF11))*$AC$11</f>
        <v>-47088</v>
      </c>
      <c r="AH11" s="69">
        <f>($AD$18-SUM($AE11:AG11))*$AC$11</f>
        <v>-37670.400000000001</v>
      </c>
      <c r="AI11" s="69">
        <f>($AD$18-SUM($AE11:AH11))*$AC$11</f>
        <v>-30136.320000000003</v>
      </c>
      <c r="AJ11" s="69">
        <f>($AD$18-SUM($AE11:AI11))*$AC$11</f>
        <v>-24109.056</v>
      </c>
      <c r="AK11" s="69">
        <f>($AD$18-SUM($AE11:AJ11))*$AC$11</f>
        <v>-19287.244799999997</v>
      </c>
      <c r="AL11" s="70">
        <f>($AD$18-SUM($AE11:AK11))*$AC$11</f>
        <v>-15429.795840000001</v>
      </c>
      <c r="AM11" s="63"/>
      <c r="AN11" s="63"/>
      <c r="AQ11" s="437" t="s">
        <v>14</v>
      </c>
      <c r="AR11" s="492"/>
      <c r="AS11" s="68">
        <v>0.2</v>
      </c>
      <c r="AT11" s="54"/>
      <c r="AU11" s="49">
        <f t="shared" si="2"/>
        <v>-32700</v>
      </c>
      <c r="AV11" s="49">
        <f t="shared" si="1"/>
        <v>-58860</v>
      </c>
      <c r="AW11" s="49">
        <f t="shared" si="1"/>
        <v>-47088</v>
      </c>
      <c r="AX11" s="49">
        <f t="shared" si="1"/>
        <v>-37670.400000000001</v>
      </c>
      <c r="AY11" s="49">
        <f t="shared" si="1"/>
        <v>-30136.320000000003</v>
      </c>
      <c r="AZ11" s="49">
        <f t="shared" si="1"/>
        <v>-24109.056</v>
      </c>
      <c r="BA11" s="49">
        <f t="shared" si="1"/>
        <v>-19287.244799999997</v>
      </c>
      <c r="BB11" s="50">
        <f t="shared" si="1"/>
        <v>-15429.795840000001</v>
      </c>
    </row>
    <row r="12" spans="2:54">
      <c r="B12" s="398"/>
      <c r="C12" s="398"/>
      <c r="D12" s="398"/>
      <c r="E12" s="398"/>
      <c r="F12" s="398"/>
      <c r="G12" s="398"/>
      <c r="H12" s="398"/>
      <c r="K12" s="71" t="s">
        <v>19</v>
      </c>
      <c r="L12" s="72">
        <v>25</v>
      </c>
      <c r="M12" s="31">
        <v>35000</v>
      </c>
      <c r="N12" s="32"/>
      <c r="O12" s="32"/>
      <c r="P12" s="32"/>
      <c r="Q12" s="53"/>
      <c r="Y12" s="15"/>
      <c r="AA12" s="437" t="s">
        <v>15</v>
      </c>
      <c r="AB12" s="492"/>
      <c r="AC12" s="68">
        <v>0.04</v>
      </c>
      <c r="AD12" s="54"/>
      <c r="AE12" s="69">
        <f>AD19*AC12*0.5</f>
        <v>-6860</v>
      </c>
      <c r="AF12" s="69">
        <f>($AD$19-SUM($AE12:AE12))*$AC$12</f>
        <v>-13445.6</v>
      </c>
      <c r="AG12" s="69">
        <f>($AD$19-SUM($AE12:AF12))*$AC$12</f>
        <v>-12907.776000000002</v>
      </c>
      <c r="AH12" s="69">
        <f>($AD$19-SUM($AE12:AG12))*$AC$12</f>
        <v>-12391.464960000001</v>
      </c>
      <c r="AI12" s="69">
        <f>($AD$19-SUM($AE12:AH12))*$AC$12</f>
        <v>-11895.8063616</v>
      </c>
      <c r="AJ12" s="69">
        <f>($AD$19-SUM($AE12:AI12))*$AC$12</f>
        <v>-11419.974107136</v>
      </c>
      <c r="AK12" s="69">
        <f>($AD$19-SUM($AE12:AJ12))*$AC$12</f>
        <v>-10963.175142850559</v>
      </c>
      <c r="AL12" s="70">
        <f>($AD$19-SUM($AE12:AK12))*$AC$12</f>
        <v>-10524.648137136537</v>
      </c>
      <c r="AM12" s="63"/>
      <c r="AN12" s="63"/>
      <c r="AQ12" s="437" t="s">
        <v>15</v>
      </c>
      <c r="AR12" s="492"/>
      <c r="AS12" s="68">
        <v>0.04</v>
      </c>
      <c r="AT12" s="54"/>
      <c r="AU12" s="49">
        <f t="shared" si="2"/>
        <v>-6860</v>
      </c>
      <c r="AV12" s="49">
        <f t="shared" si="1"/>
        <v>-13445.6</v>
      </c>
      <c r="AW12" s="49">
        <f t="shared" si="1"/>
        <v>-12907.776000000002</v>
      </c>
      <c r="AX12" s="49">
        <f t="shared" si="1"/>
        <v>-12391.464960000001</v>
      </c>
      <c r="AY12" s="49">
        <f t="shared" si="1"/>
        <v>-11895.8063616</v>
      </c>
      <c r="AZ12" s="49">
        <f t="shared" si="1"/>
        <v>-11419.974107136</v>
      </c>
      <c r="BA12" s="49">
        <f t="shared" si="1"/>
        <v>-10963.175142850559</v>
      </c>
      <c r="BB12" s="50">
        <f t="shared" si="1"/>
        <v>-10524.648137136537</v>
      </c>
    </row>
    <row r="13" spans="2:54">
      <c r="B13" s="398"/>
      <c r="C13" s="398"/>
      <c r="D13" s="398"/>
      <c r="E13" s="398"/>
      <c r="F13" s="398"/>
      <c r="G13" s="398"/>
      <c r="H13" s="398"/>
      <c r="K13" s="71" t="s">
        <v>20</v>
      </c>
      <c r="L13" s="73">
        <v>120000</v>
      </c>
      <c r="M13" s="32"/>
      <c r="N13" s="32"/>
      <c r="O13" s="32"/>
      <c r="P13" s="32"/>
      <c r="Q13" s="53"/>
      <c r="Y13" s="15"/>
      <c r="AA13" s="437" t="s">
        <v>16</v>
      </c>
      <c r="AB13" s="492"/>
      <c r="AC13" s="74"/>
      <c r="AD13" s="54"/>
      <c r="AE13" s="75">
        <f>AE10+AE11+AE12</f>
        <v>219940</v>
      </c>
      <c r="AF13" s="75">
        <f t="shared" ref="AF13:AL13" si="6">AF10+AF11+AF12</f>
        <v>187194.4</v>
      </c>
      <c r="AG13" s="75">
        <f t="shared" si="6"/>
        <v>199504.22399999999</v>
      </c>
      <c r="AH13" s="75">
        <f t="shared" si="6"/>
        <v>209438.13503999999</v>
      </c>
      <c r="AI13" s="75">
        <f t="shared" si="6"/>
        <v>365967.87363839999</v>
      </c>
      <c r="AJ13" s="75">
        <f t="shared" si="6"/>
        <v>372470.969892864</v>
      </c>
      <c r="AK13" s="75">
        <f t="shared" si="6"/>
        <v>377749.58005714946</v>
      </c>
      <c r="AL13" s="76">
        <f t="shared" si="6"/>
        <v>382045.55602286349</v>
      </c>
      <c r="AM13" s="63"/>
      <c r="AN13" s="63"/>
      <c r="AQ13" s="437" t="s">
        <v>16</v>
      </c>
      <c r="AR13" s="492"/>
      <c r="AS13" s="74"/>
      <c r="AT13" s="54"/>
      <c r="AU13" s="75">
        <f>AU10+AU11+AU12</f>
        <v>258190.00000000006</v>
      </c>
      <c r="AV13" s="75">
        <f t="shared" ref="AV13:BB13" si="7">AV10+AV11+AV12</f>
        <v>225444.40000000005</v>
      </c>
      <c r="AW13" s="75">
        <f t="shared" si="7"/>
        <v>237754.22400000005</v>
      </c>
      <c r="AX13" s="75">
        <f t="shared" si="7"/>
        <v>247688.13504000005</v>
      </c>
      <c r="AY13" s="75">
        <f t="shared" si="7"/>
        <v>430967.87363840011</v>
      </c>
      <c r="AZ13" s="75">
        <f t="shared" si="7"/>
        <v>437470.96989286412</v>
      </c>
      <c r="BA13" s="75">
        <f t="shared" si="7"/>
        <v>442749.58005714958</v>
      </c>
      <c r="BB13" s="76">
        <f t="shared" si="7"/>
        <v>447045.5560228636</v>
      </c>
    </row>
    <row r="14" spans="2:54">
      <c r="B14" s="398"/>
      <c r="C14" s="398"/>
      <c r="D14" s="398"/>
      <c r="E14" s="398"/>
      <c r="F14" s="398"/>
      <c r="G14" s="398"/>
      <c r="H14" s="398"/>
      <c r="K14" s="71" t="s">
        <v>21</v>
      </c>
      <c r="L14" s="77">
        <v>0.03</v>
      </c>
      <c r="M14" s="32"/>
      <c r="N14" s="32"/>
      <c r="O14" s="32"/>
      <c r="P14" s="32"/>
      <c r="Q14" s="53"/>
      <c r="Y14" s="15"/>
      <c r="AA14" s="437" t="s">
        <v>18</v>
      </c>
      <c r="AB14" s="492"/>
      <c r="AC14" s="78">
        <v>0.22600000000000001</v>
      </c>
      <c r="AD14" s="54"/>
      <c r="AE14" s="75">
        <f>$AC$14*AE13</f>
        <v>49706.44</v>
      </c>
      <c r="AF14" s="75">
        <f t="shared" ref="AF14:AL14" si="8">$AC$14*AF13</f>
        <v>42305.934399999998</v>
      </c>
      <c r="AG14" s="75">
        <f t="shared" si="8"/>
        <v>45087.954623999998</v>
      </c>
      <c r="AH14" s="75">
        <f t="shared" si="8"/>
        <v>47333.018519040001</v>
      </c>
      <c r="AI14" s="75">
        <f t="shared" si="8"/>
        <v>82708.739442278398</v>
      </c>
      <c r="AJ14" s="75">
        <f t="shared" si="8"/>
        <v>84178.439195787272</v>
      </c>
      <c r="AK14" s="75">
        <f t="shared" si="8"/>
        <v>85371.405092915782</v>
      </c>
      <c r="AL14" s="76">
        <f t="shared" si="8"/>
        <v>86342.295661167154</v>
      </c>
      <c r="AM14" s="63"/>
      <c r="AN14" s="63"/>
      <c r="AQ14" s="437" t="s">
        <v>18</v>
      </c>
      <c r="AR14" s="492"/>
      <c r="AS14" s="78">
        <v>0.22600000000000001</v>
      </c>
      <c r="AT14" s="54"/>
      <c r="AU14" s="75">
        <f>$AC$14*AU13</f>
        <v>58350.940000000017</v>
      </c>
      <c r="AV14" s="75">
        <f t="shared" ref="AV14:BB14" si="9">$AC$14*AV13</f>
        <v>50950.434400000013</v>
      </c>
      <c r="AW14" s="75">
        <f t="shared" si="9"/>
        <v>53732.454624000013</v>
      </c>
      <c r="AX14" s="75">
        <f t="shared" si="9"/>
        <v>55977.518519040015</v>
      </c>
      <c r="AY14" s="75">
        <f t="shared" si="9"/>
        <v>97398.739442278427</v>
      </c>
      <c r="AZ14" s="75">
        <f t="shared" si="9"/>
        <v>98868.439195787287</v>
      </c>
      <c r="BA14" s="75">
        <f t="shared" si="9"/>
        <v>100061.40509291581</v>
      </c>
      <c r="BB14" s="76">
        <f t="shared" si="9"/>
        <v>101032.29566116718</v>
      </c>
    </row>
    <row r="15" spans="2:54" ht="17" thickBot="1">
      <c r="B15" s="398"/>
      <c r="C15" s="398"/>
      <c r="D15" s="398"/>
      <c r="E15" s="398"/>
      <c r="F15" s="398"/>
      <c r="G15" s="398"/>
      <c r="H15" s="398"/>
      <c r="K15" s="30"/>
      <c r="L15" s="32"/>
      <c r="M15" s="32"/>
      <c r="N15" s="32"/>
      <c r="O15" s="32"/>
      <c r="P15" s="32"/>
      <c r="Q15" s="53"/>
      <c r="Y15" s="15"/>
      <c r="AA15" s="437"/>
      <c r="AB15" s="492"/>
      <c r="AC15" s="74"/>
      <c r="AD15" s="54"/>
      <c r="AE15" s="75"/>
      <c r="AF15" s="75"/>
      <c r="AG15" s="75"/>
      <c r="AH15" s="75"/>
      <c r="AI15" s="75"/>
      <c r="AJ15" s="75"/>
      <c r="AK15" s="75"/>
      <c r="AL15" s="76"/>
      <c r="AM15" s="63"/>
      <c r="AN15" s="63"/>
      <c r="AQ15" s="437"/>
      <c r="AR15" s="492"/>
      <c r="AS15" s="74"/>
      <c r="AT15" s="54"/>
      <c r="AU15" s="75"/>
      <c r="AV15" s="75"/>
      <c r="AW15" s="75"/>
      <c r="AX15" s="75"/>
      <c r="AY15" s="75"/>
      <c r="AZ15" s="75"/>
      <c r="BA15" s="75"/>
      <c r="BB15" s="76"/>
    </row>
    <row r="16" spans="2:54" ht="17" thickBot="1">
      <c r="B16" s="398"/>
      <c r="C16" s="398"/>
      <c r="D16" s="398"/>
      <c r="E16" s="398"/>
      <c r="F16" s="398"/>
      <c r="G16" s="398"/>
      <c r="H16" s="398"/>
      <c r="K16" s="30"/>
      <c r="L16" s="32"/>
      <c r="M16" s="32"/>
      <c r="N16" s="32"/>
      <c r="O16" s="32"/>
      <c r="P16" s="32"/>
      <c r="Q16" s="53"/>
      <c r="Y16" s="15"/>
      <c r="AA16" s="433" t="s">
        <v>103</v>
      </c>
      <c r="AB16" s="496"/>
      <c r="AC16" s="79"/>
      <c r="AD16" s="80"/>
      <c r="AE16" s="61">
        <f t="shared" ref="AE16:AL16" si="10">AE10-AE14</f>
        <v>209793.56</v>
      </c>
      <c r="AF16" s="61">
        <f t="shared" si="10"/>
        <v>217194.0656</v>
      </c>
      <c r="AG16" s="61">
        <f t="shared" si="10"/>
        <v>214412.04537599999</v>
      </c>
      <c r="AH16" s="61">
        <f t="shared" si="10"/>
        <v>212166.98148096001</v>
      </c>
      <c r="AI16" s="61">
        <f t="shared" si="10"/>
        <v>325291.2605577216</v>
      </c>
      <c r="AJ16" s="61">
        <f t="shared" si="10"/>
        <v>323821.5608042127</v>
      </c>
      <c r="AK16" s="61">
        <f t="shared" si="10"/>
        <v>322628.59490708425</v>
      </c>
      <c r="AL16" s="62">
        <f t="shared" si="10"/>
        <v>321657.70433883287</v>
      </c>
      <c r="AM16" s="63"/>
      <c r="AN16" s="63"/>
      <c r="AQ16" s="433" t="s">
        <v>103</v>
      </c>
      <c r="AR16" s="496"/>
      <c r="AS16" s="81"/>
      <c r="AT16" s="65"/>
      <c r="AU16" s="61">
        <f t="shared" ref="AU16:BB16" si="11">AU10-AU14</f>
        <v>239399.06000000006</v>
      </c>
      <c r="AV16" s="61">
        <f t="shared" si="11"/>
        <v>246799.56560000003</v>
      </c>
      <c r="AW16" s="61">
        <f t="shared" si="11"/>
        <v>244017.54537600005</v>
      </c>
      <c r="AX16" s="61">
        <f t="shared" si="11"/>
        <v>241772.48148096004</v>
      </c>
      <c r="AY16" s="61">
        <f t="shared" si="11"/>
        <v>375601.26055772172</v>
      </c>
      <c r="AZ16" s="61">
        <f t="shared" si="11"/>
        <v>374131.56080421282</v>
      </c>
      <c r="BA16" s="61">
        <f t="shared" si="11"/>
        <v>372938.59490708431</v>
      </c>
      <c r="BB16" s="62">
        <f t="shared" si="11"/>
        <v>371967.70433883293</v>
      </c>
    </row>
    <row r="17" spans="2:54" ht="16" customHeight="1" thickBot="1">
      <c r="B17" s="417" t="s">
        <v>73</v>
      </c>
      <c r="C17" s="417"/>
      <c r="D17" s="417"/>
      <c r="E17" s="417"/>
      <c r="F17" s="417"/>
      <c r="G17" s="417"/>
      <c r="H17" s="417"/>
      <c r="K17" s="30"/>
      <c r="L17" s="32"/>
      <c r="M17" s="32"/>
      <c r="N17" s="32"/>
      <c r="O17" s="32"/>
      <c r="P17" s="32"/>
      <c r="Q17" s="53"/>
      <c r="Y17" s="15"/>
      <c r="AA17" s="437" t="s">
        <v>17</v>
      </c>
      <c r="AB17" s="492"/>
      <c r="AC17" s="82"/>
      <c r="AD17" s="45"/>
      <c r="AE17" s="54"/>
      <c r="AF17" s="54"/>
      <c r="AG17" s="54"/>
      <c r="AH17" s="54"/>
      <c r="AI17" s="54"/>
      <c r="AJ17" s="54"/>
      <c r="AK17" s="54"/>
      <c r="AL17" s="83"/>
      <c r="AM17" s="84"/>
      <c r="AN17" s="84"/>
      <c r="AQ17" s="437" t="s">
        <v>17</v>
      </c>
      <c r="AR17" s="492"/>
      <c r="AS17" s="82"/>
      <c r="AT17" s="45"/>
      <c r="AU17" s="49"/>
      <c r="AV17" s="49"/>
      <c r="AW17" s="49"/>
      <c r="AX17" s="49"/>
      <c r="AY17" s="49"/>
      <c r="AZ17" s="49"/>
      <c r="BA17" s="49"/>
      <c r="BB17" s="50"/>
    </row>
    <row r="18" spans="2:54" ht="16" customHeight="1" thickBot="1">
      <c r="B18" s="417"/>
      <c r="C18" s="417"/>
      <c r="D18" s="417"/>
      <c r="E18" s="417"/>
      <c r="F18" s="417"/>
      <c r="G18" s="417"/>
      <c r="H18" s="417"/>
      <c r="K18" s="30"/>
      <c r="L18" s="85" t="s">
        <v>81</v>
      </c>
      <c r="M18" s="86" t="s">
        <v>58</v>
      </c>
      <c r="N18" s="32"/>
      <c r="O18" s="32"/>
      <c r="P18" s="32"/>
      <c r="Q18" s="53"/>
      <c r="T18" s="26">
        <v>-1</v>
      </c>
      <c r="U18" s="8" t="s">
        <v>53</v>
      </c>
      <c r="Y18" s="15"/>
      <c r="AA18" s="437" t="s">
        <v>19</v>
      </c>
      <c r="AB18" s="492"/>
      <c r="AC18" s="82"/>
      <c r="AD18" s="87">
        <f>N31</f>
        <v>-327000</v>
      </c>
      <c r="AE18" s="54"/>
      <c r="AF18" s="54"/>
      <c r="AG18" s="54"/>
      <c r="AH18" s="54"/>
      <c r="AI18" s="54"/>
      <c r="AJ18" s="54"/>
      <c r="AK18" s="54"/>
      <c r="AL18" s="83"/>
      <c r="AM18" s="84"/>
      <c r="AN18" s="84"/>
      <c r="AQ18" s="437" t="s">
        <v>19</v>
      </c>
      <c r="AR18" s="492"/>
      <c r="AS18" s="82"/>
      <c r="AT18" s="87">
        <f>AD18</f>
        <v>-327000</v>
      </c>
      <c r="AU18" s="49"/>
      <c r="AV18" s="49"/>
      <c r="AW18" s="49"/>
      <c r="AX18" s="49"/>
      <c r="AY18" s="49"/>
      <c r="AZ18" s="49"/>
      <c r="BA18" s="49"/>
      <c r="BB18" s="50"/>
    </row>
    <row r="19" spans="2:54" ht="14" customHeight="1">
      <c r="B19" s="417"/>
      <c r="C19" s="417"/>
      <c r="D19" s="417"/>
      <c r="E19" s="417"/>
      <c r="F19" s="417"/>
      <c r="G19" s="417"/>
      <c r="H19" s="417"/>
      <c r="K19" s="88" t="s">
        <v>19</v>
      </c>
      <c r="L19" s="89">
        <v>327000</v>
      </c>
      <c r="M19" s="90">
        <f>L19-((L19-M12)/L12*V24)</f>
        <v>233560</v>
      </c>
      <c r="N19" s="32"/>
      <c r="O19" s="32"/>
      <c r="P19" s="32"/>
      <c r="Q19" s="53"/>
      <c r="T19" s="91">
        <f>-0.5</f>
        <v>-0.5</v>
      </c>
      <c r="U19" s="8" t="s">
        <v>54</v>
      </c>
      <c r="Y19" s="15"/>
      <c r="AA19" s="437" t="s">
        <v>20</v>
      </c>
      <c r="AB19" s="492"/>
      <c r="AC19" s="82"/>
      <c r="AD19" s="87">
        <f>N32</f>
        <v>-343000</v>
      </c>
      <c r="AE19" s="54"/>
      <c r="AF19" s="54"/>
      <c r="AG19" s="54"/>
      <c r="AH19" s="54"/>
      <c r="AI19" s="54"/>
      <c r="AJ19" s="54"/>
      <c r="AK19" s="54"/>
      <c r="AL19" s="83"/>
      <c r="AM19" s="84"/>
      <c r="AN19" s="84"/>
      <c r="AQ19" s="437" t="s">
        <v>20</v>
      </c>
      <c r="AR19" s="492"/>
      <c r="AS19" s="82"/>
      <c r="AT19" s="87">
        <f t="shared" ref="AT19:AT21" si="12">AD19</f>
        <v>-343000</v>
      </c>
      <c r="AU19" s="49"/>
      <c r="AV19" s="49"/>
      <c r="AW19" s="49"/>
      <c r="AX19" s="49"/>
      <c r="AY19" s="49"/>
      <c r="AZ19" s="49"/>
      <c r="BA19" s="49"/>
      <c r="BB19" s="50"/>
    </row>
    <row r="20" spans="2:54" ht="16" customHeight="1">
      <c r="B20" s="398" t="s">
        <v>78</v>
      </c>
      <c r="C20" s="398"/>
      <c r="D20" s="398"/>
      <c r="E20" s="398"/>
      <c r="F20" s="398"/>
      <c r="G20" s="398"/>
      <c r="H20" s="398"/>
      <c r="K20" s="71" t="s">
        <v>20</v>
      </c>
      <c r="L20" s="92">
        <f>L9*Q6</f>
        <v>343000</v>
      </c>
      <c r="M20" s="93">
        <f>L13</f>
        <v>120000</v>
      </c>
      <c r="N20" s="32"/>
      <c r="O20" s="32"/>
      <c r="P20" s="32"/>
      <c r="Q20" s="53"/>
      <c r="Y20" s="15"/>
      <c r="AA20" s="437" t="s">
        <v>21</v>
      </c>
      <c r="AB20" s="492"/>
      <c r="AC20" s="82"/>
      <c r="AD20" s="87">
        <f>N33</f>
        <v>-637000</v>
      </c>
      <c r="AE20" s="54"/>
      <c r="AF20" s="54"/>
      <c r="AG20" s="54"/>
      <c r="AH20" s="54"/>
      <c r="AI20" s="54"/>
      <c r="AJ20" s="54"/>
      <c r="AK20" s="54"/>
      <c r="AL20" s="83"/>
      <c r="AM20" s="84"/>
      <c r="AN20" s="84"/>
      <c r="AQ20" s="437" t="s">
        <v>21</v>
      </c>
      <c r="AR20" s="492"/>
      <c r="AS20" s="82"/>
      <c r="AT20" s="87">
        <f t="shared" si="12"/>
        <v>-637000</v>
      </c>
      <c r="AU20" s="49"/>
      <c r="AV20" s="49"/>
      <c r="AW20" s="49"/>
      <c r="AX20" s="49"/>
      <c r="AY20" s="49"/>
      <c r="AZ20" s="49"/>
      <c r="BA20" s="49"/>
      <c r="BB20" s="50"/>
    </row>
    <row r="21" spans="2:54" ht="17" thickBot="1">
      <c r="B21" s="398"/>
      <c r="C21" s="398"/>
      <c r="D21" s="398"/>
      <c r="E21" s="398"/>
      <c r="F21" s="398"/>
      <c r="G21" s="398"/>
      <c r="H21" s="398"/>
      <c r="K21" s="94" t="s">
        <v>21</v>
      </c>
      <c r="L21" s="95">
        <f>L9*Q7</f>
        <v>637000</v>
      </c>
      <c r="M21" s="96">
        <f>L21*(1+L14)^V24</f>
        <v>806932.5418439114</v>
      </c>
      <c r="N21" s="97"/>
      <c r="O21" s="97"/>
      <c r="P21" s="97"/>
      <c r="Q21" s="98"/>
      <c r="Y21" s="15"/>
      <c r="AA21" s="437" t="s">
        <v>22</v>
      </c>
      <c r="AB21" s="499"/>
      <c r="AC21" s="82"/>
      <c r="AD21" s="87">
        <f>N34</f>
        <v>-20000</v>
      </c>
      <c r="AE21" s="54"/>
      <c r="AF21" s="54"/>
      <c r="AG21" s="54"/>
      <c r="AH21" s="54">
        <f>R34</f>
        <v>-30000</v>
      </c>
      <c r="AI21" s="54"/>
      <c r="AJ21" s="54"/>
      <c r="AK21" s="54"/>
      <c r="AL21" s="83"/>
      <c r="AM21" s="84"/>
      <c r="AN21" s="84"/>
      <c r="AQ21" s="437" t="s">
        <v>22</v>
      </c>
      <c r="AR21" s="499"/>
      <c r="AS21" s="82"/>
      <c r="AT21" s="87">
        <f t="shared" si="12"/>
        <v>-20000</v>
      </c>
      <c r="AU21" s="49"/>
      <c r="AV21" s="49"/>
      <c r="AW21" s="49"/>
      <c r="AX21" s="49">
        <f t="shared" si="1"/>
        <v>-30000</v>
      </c>
      <c r="AY21" s="49"/>
      <c r="AZ21" s="49"/>
      <c r="BA21" s="49"/>
      <c r="BB21" s="50"/>
    </row>
    <row r="22" spans="2:54">
      <c r="B22" s="398"/>
      <c r="C22" s="398"/>
      <c r="D22" s="398"/>
      <c r="E22" s="398"/>
      <c r="F22" s="398"/>
      <c r="G22" s="398"/>
      <c r="H22" s="398"/>
      <c r="Y22" s="15"/>
      <c r="AA22" s="437"/>
      <c r="AB22" s="499"/>
      <c r="AC22" s="82"/>
      <c r="AD22" s="32"/>
      <c r="AE22" s="32"/>
      <c r="AF22" s="32"/>
      <c r="AG22" s="32"/>
      <c r="AH22" s="32"/>
      <c r="AI22" s="54"/>
      <c r="AJ22" s="54"/>
      <c r="AK22" s="54"/>
      <c r="AL22" s="83"/>
      <c r="AM22" s="84"/>
      <c r="AN22" s="84"/>
      <c r="AQ22" s="437"/>
      <c r="AR22" s="499"/>
      <c r="AS22" s="82"/>
      <c r="AT22" s="32"/>
      <c r="AU22" s="32"/>
      <c r="AV22" s="32"/>
      <c r="AW22" s="32"/>
      <c r="AX22" s="32"/>
      <c r="AY22" s="32"/>
      <c r="AZ22" s="32"/>
      <c r="BA22" s="32"/>
      <c r="BB22" s="53"/>
    </row>
    <row r="23" spans="2:54" ht="17" thickBot="1">
      <c r="B23" s="398"/>
      <c r="C23" s="398"/>
      <c r="D23" s="398"/>
      <c r="E23" s="398"/>
      <c r="F23" s="398"/>
      <c r="G23" s="398"/>
      <c r="H23" s="398"/>
      <c r="K23" s="99" t="s">
        <v>31</v>
      </c>
      <c r="L23" s="99"/>
      <c r="M23" s="99"/>
      <c r="N23" s="100"/>
      <c r="O23" s="101"/>
      <c r="P23" s="100"/>
      <c r="Q23" s="100"/>
      <c r="R23" s="100"/>
      <c r="S23" s="100"/>
      <c r="T23" s="100"/>
      <c r="U23" s="100"/>
      <c r="Y23" s="15"/>
      <c r="AA23" s="445" t="s">
        <v>23</v>
      </c>
      <c r="AB23" s="500"/>
      <c r="AC23" s="102"/>
      <c r="AD23" s="103"/>
      <c r="AE23" s="104"/>
      <c r="AF23" s="104"/>
      <c r="AG23" s="104"/>
      <c r="AH23" s="104"/>
      <c r="AI23" s="104"/>
      <c r="AJ23" s="104"/>
      <c r="AK23" s="104"/>
      <c r="AL23" s="105"/>
      <c r="AM23" s="84"/>
      <c r="AN23" s="84"/>
      <c r="AQ23" s="445" t="s">
        <v>23</v>
      </c>
      <c r="AR23" s="500"/>
      <c r="AS23" s="102"/>
      <c r="AT23" s="103"/>
      <c r="AU23" s="103"/>
      <c r="AV23" s="103"/>
      <c r="AW23" s="103"/>
      <c r="AX23" s="103"/>
      <c r="AY23" s="103"/>
      <c r="AZ23" s="103"/>
      <c r="BA23" s="103"/>
      <c r="BB23" s="106"/>
    </row>
    <row r="24" spans="2:54" ht="16" customHeight="1" thickBot="1">
      <c r="B24" s="398" t="s">
        <v>74</v>
      </c>
      <c r="C24" s="398"/>
      <c r="D24" s="398"/>
      <c r="E24" s="398"/>
      <c r="F24" s="398"/>
      <c r="G24" s="398"/>
      <c r="H24" s="398"/>
      <c r="K24" s="502" t="s">
        <v>1</v>
      </c>
      <c r="L24" s="495"/>
      <c r="M24" s="107" t="s">
        <v>3</v>
      </c>
      <c r="N24" s="108">
        <v>0</v>
      </c>
      <c r="O24" s="24">
        <v>1</v>
      </c>
      <c r="P24" s="24">
        <v>2</v>
      </c>
      <c r="Q24" s="24">
        <v>3</v>
      </c>
      <c r="R24" s="24">
        <v>4</v>
      </c>
      <c r="S24" s="24">
        <v>5</v>
      </c>
      <c r="T24" s="24">
        <v>6</v>
      </c>
      <c r="U24" s="24">
        <v>7</v>
      </c>
      <c r="V24" s="25">
        <v>8</v>
      </c>
      <c r="W24" s="26"/>
      <c r="X24" s="26"/>
      <c r="Y24" s="15"/>
      <c r="AA24" s="437" t="s">
        <v>24</v>
      </c>
      <c r="AB24" s="492"/>
      <c r="AC24" s="109"/>
      <c r="AD24" s="46"/>
      <c r="AE24" s="54"/>
      <c r="AF24" s="54"/>
      <c r="AG24" s="54"/>
      <c r="AH24" s="54"/>
      <c r="AI24" s="54"/>
      <c r="AJ24" s="54"/>
      <c r="AK24" s="54"/>
      <c r="AL24" s="55">
        <f>V37</f>
        <v>233560</v>
      </c>
      <c r="AM24" s="84"/>
      <c r="AN24" s="110"/>
      <c r="AQ24" s="437" t="s">
        <v>24</v>
      </c>
      <c r="AR24" s="492"/>
      <c r="AS24" s="109"/>
      <c r="AT24" s="46"/>
      <c r="AU24" s="49"/>
      <c r="AV24" s="49"/>
      <c r="AW24" s="49"/>
      <c r="AX24" s="49"/>
      <c r="AY24" s="49"/>
      <c r="AZ24" s="49"/>
      <c r="BA24" s="49"/>
      <c r="BB24" s="50">
        <f t="shared" ref="BB24:BB32" si="13">AL24</f>
        <v>233560</v>
      </c>
    </row>
    <row r="25" spans="2:54" ht="14" customHeight="1" thickBot="1">
      <c r="B25" s="398"/>
      <c r="C25" s="398"/>
      <c r="D25" s="398"/>
      <c r="E25" s="398"/>
      <c r="F25" s="398"/>
      <c r="G25" s="398"/>
      <c r="H25" s="398"/>
      <c r="K25" s="395" t="s">
        <v>7</v>
      </c>
      <c r="L25" s="496"/>
      <c r="M25" s="111"/>
      <c r="N25" s="112"/>
      <c r="O25" s="36">
        <f>$C$39*$D$39+$C$40*$D$40+$C$41*$D$41+$C$42*$D$42</f>
        <v>15300</v>
      </c>
      <c r="P25" s="36">
        <f t="shared" ref="P25:R25" si="14">$C$39*$D$39+$C$40*$D$40+$C$41*$D$41+$C$42*$D$42</f>
        <v>15300</v>
      </c>
      <c r="Q25" s="36">
        <f t="shared" si="14"/>
        <v>15300</v>
      </c>
      <c r="R25" s="36">
        <f t="shared" si="14"/>
        <v>15300</v>
      </c>
      <c r="S25" s="36">
        <f>$E$39*$F$39+$E$40*$F$40+$E$41*$F$41+$E$42*$F$42+$E$43*$F$43</f>
        <v>26000</v>
      </c>
      <c r="T25" s="36">
        <f t="shared" ref="T25:V25" si="15">$E$39*$F$39+$E$40*$F$40+$E$41*$F$41+$E$42*$F$42+$E$43*$F$43</f>
        <v>26000</v>
      </c>
      <c r="U25" s="36">
        <f t="shared" si="15"/>
        <v>26000</v>
      </c>
      <c r="V25" s="37">
        <f t="shared" si="15"/>
        <v>26000</v>
      </c>
      <c r="W25" s="38"/>
      <c r="X25" s="38"/>
      <c r="Y25" s="15"/>
      <c r="AA25" s="437" t="s">
        <v>25</v>
      </c>
      <c r="AB25" s="492"/>
      <c r="AC25" s="109"/>
      <c r="AD25" s="46"/>
      <c r="AE25" s="54"/>
      <c r="AF25" s="54"/>
      <c r="AG25" s="54"/>
      <c r="AH25" s="54"/>
      <c r="AI25" s="54"/>
      <c r="AJ25" s="54"/>
      <c r="AK25" s="54"/>
      <c r="AL25" s="55">
        <f>V38</f>
        <v>120000</v>
      </c>
      <c r="AM25" s="84"/>
      <c r="AN25" s="110"/>
      <c r="AQ25" s="437" t="s">
        <v>25</v>
      </c>
      <c r="AR25" s="492"/>
      <c r="AS25" s="109"/>
      <c r="AT25" s="46"/>
      <c r="AU25" s="49"/>
      <c r="AV25" s="49"/>
      <c r="AW25" s="49"/>
      <c r="AX25" s="49"/>
      <c r="AY25" s="49"/>
      <c r="AZ25" s="49"/>
      <c r="BA25" s="49"/>
      <c r="BB25" s="50">
        <f t="shared" si="13"/>
        <v>120000</v>
      </c>
    </row>
    <row r="26" spans="2:54" ht="14" customHeight="1">
      <c r="B26" s="398"/>
      <c r="C26" s="398"/>
      <c r="D26" s="398"/>
      <c r="E26" s="398"/>
      <c r="F26" s="398"/>
      <c r="G26" s="398"/>
      <c r="H26" s="398"/>
      <c r="K26" s="390" t="s">
        <v>9</v>
      </c>
      <c r="L26" s="492"/>
      <c r="M26" s="113"/>
      <c r="N26" s="114"/>
      <c r="O26" s="115">
        <v>123000</v>
      </c>
      <c r="P26" s="46">
        <f>O26</f>
        <v>123000</v>
      </c>
      <c r="Q26" s="46">
        <f>O26</f>
        <v>123000</v>
      </c>
      <c r="R26" s="46">
        <f>O26</f>
        <v>123000</v>
      </c>
      <c r="S26" s="115">
        <v>242000</v>
      </c>
      <c r="T26" s="46">
        <f>S26</f>
        <v>242000</v>
      </c>
      <c r="U26" s="46">
        <f>S26</f>
        <v>242000</v>
      </c>
      <c r="V26" s="47">
        <f>S26</f>
        <v>242000</v>
      </c>
      <c r="W26" s="48"/>
      <c r="X26" s="48"/>
      <c r="Y26" s="15"/>
      <c r="AA26" s="437" t="s">
        <v>26</v>
      </c>
      <c r="AB26" s="492"/>
      <c r="AC26" s="109">
        <f>M39</f>
        <v>7.0000000000000007E-2</v>
      </c>
      <c r="AD26" s="46"/>
      <c r="AE26" s="54"/>
      <c r="AF26" s="54"/>
      <c r="AG26" s="54"/>
      <c r="AH26" s="54"/>
      <c r="AI26" s="54"/>
      <c r="AJ26" s="54"/>
      <c r="AK26" s="54"/>
      <c r="AL26" s="55">
        <f>V39</f>
        <v>806932.5418439114</v>
      </c>
      <c r="AM26" s="84"/>
      <c r="AN26" s="110"/>
      <c r="AQ26" s="437" t="s">
        <v>26</v>
      </c>
      <c r="AR26" s="492"/>
      <c r="AS26" s="109">
        <f>AC26</f>
        <v>7.0000000000000007E-2</v>
      </c>
      <c r="AT26" s="46"/>
      <c r="AU26" s="49"/>
      <c r="AV26" s="49"/>
      <c r="AW26" s="49"/>
      <c r="AX26" s="49"/>
      <c r="AY26" s="49"/>
      <c r="AZ26" s="49"/>
      <c r="BA26" s="49"/>
      <c r="BB26" s="50">
        <f t="shared" si="13"/>
        <v>806932.5418439114</v>
      </c>
    </row>
    <row r="27" spans="2:54" ht="14" customHeight="1">
      <c r="B27" s="398"/>
      <c r="C27" s="398"/>
      <c r="D27" s="398"/>
      <c r="E27" s="398"/>
      <c r="F27" s="398"/>
      <c r="G27" s="398"/>
      <c r="H27" s="398"/>
      <c r="K27" s="390" t="s">
        <v>10</v>
      </c>
      <c r="L27" s="492"/>
      <c r="M27" s="113"/>
      <c r="N27" s="114"/>
      <c r="O27" s="116">
        <v>25</v>
      </c>
      <c r="P27" s="46">
        <f t="shared" ref="P27:V27" si="16">$O$27</f>
        <v>25</v>
      </c>
      <c r="Q27" s="46">
        <f t="shared" si="16"/>
        <v>25</v>
      </c>
      <c r="R27" s="46">
        <f t="shared" si="16"/>
        <v>25</v>
      </c>
      <c r="S27" s="46">
        <f t="shared" si="16"/>
        <v>25</v>
      </c>
      <c r="T27" s="46">
        <f t="shared" si="16"/>
        <v>25</v>
      </c>
      <c r="U27" s="46">
        <f t="shared" si="16"/>
        <v>25</v>
      </c>
      <c r="V27" s="47">
        <f t="shared" si="16"/>
        <v>25</v>
      </c>
      <c r="W27" s="56"/>
      <c r="X27" s="56"/>
      <c r="Y27" s="15"/>
      <c r="AA27" s="437" t="s">
        <v>22</v>
      </c>
      <c r="AB27" s="492"/>
      <c r="AC27" s="117"/>
      <c r="AD27" s="46"/>
      <c r="AE27" s="54"/>
      <c r="AF27" s="54"/>
      <c r="AG27" s="54"/>
      <c r="AH27" s="54"/>
      <c r="AI27" s="54"/>
      <c r="AJ27" s="54"/>
      <c r="AK27" s="118"/>
      <c r="AL27" s="55">
        <f>V40</f>
        <v>50000</v>
      </c>
      <c r="AM27" s="84"/>
      <c r="AN27" s="110"/>
      <c r="AQ27" s="437" t="s">
        <v>22</v>
      </c>
      <c r="AR27" s="492"/>
      <c r="AS27" s="117"/>
      <c r="AT27" s="46"/>
      <c r="AU27" s="49"/>
      <c r="AV27" s="49"/>
      <c r="AW27" s="49"/>
      <c r="AX27" s="49"/>
      <c r="AY27" s="49"/>
      <c r="AZ27" s="49"/>
      <c r="BA27" s="49"/>
      <c r="BB27" s="50">
        <f t="shared" si="13"/>
        <v>50000</v>
      </c>
    </row>
    <row r="28" spans="2:54" ht="17" thickBot="1">
      <c r="B28" s="398"/>
      <c r="C28" s="398"/>
      <c r="D28" s="398"/>
      <c r="E28" s="398"/>
      <c r="F28" s="398"/>
      <c r="G28" s="398"/>
      <c r="H28" s="398"/>
      <c r="K28" s="390" t="s">
        <v>11</v>
      </c>
      <c r="L28" s="492"/>
      <c r="M28" s="113"/>
      <c r="N28" s="114"/>
      <c r="O28" s="54">
        <f t="shared" ref="O28:V28" si="17">O27*O25</f>
        <v>382500</v>
      </c>
      <c r="P28" s="54">
        <f t="shared" si="17"/>
        <v>382500</v>
      </c>
      <c r="Q28" s="54">
        <f t="shared" si="17"/>
        <v>382500</v>
      </c>
      <c r="R28" s="54">
        <f t="shared" si="17"/>
        <v>382500</v>
      </c>
      <c r="S28" s="54">
        <f t="shared" si="17"/>
        <v>650000</v>
      </c>
      <c r="T28" s="54">
        <f t="shared" si="17"/>
        <v>650000</v>
      </c>
      <c r="U28" s="54">
        <f t="shared" si="17"/>
        <v>650000</v>
      </c>
      <c r="V28" s="55">
        <f t="shared" si="17"/>
        <v>650000</v>
      </c>
      <c r="W28" s="56"/>
      <c r="X28" s="56"/>
      <c r="Y28" s="15"/>
      <c r="AA28" s="437"/>
      <c r="AB28" s="492"/>
      <c r="AC28" s="117"/>
      <c r="AD28" s="32"/>
      <c r="AE28" s="32"/>
      <c r="AF28" s="32"/>
      <c r="AG28" s="32"/>
      <c r="AH28" s="32"/>
      <c r="AI28" s="32"/>
      <c r="AJ28" s="32"/>
      <c r="AK28" s="32"/>
      <c r="AL28" s="53"/>
      <c r="AM28" s="84"/>
      <c r="AN28" s="110"/>
      <c r="AQ28" s="437"/>
      <c r="AR28" s="492"/>
      <c r="AS28" s="117"/>
      <c r="AT28" s="32"/>
      <c r="AU28" s="32"/>
      <c r="AV28" s="32"/>
      <c r="AW28" s="32"/>
      <c r="AX28" s="32"/>
      <c r="AY28" s="32"/>
      <c r="AZ28" s="32"/>
      <c r="BA28" s="32"/>
      <c r="BB28" s="53"/>
    </row>
    <row r="29" spans="2:54" ht="16" customHeight="1" thickBot="1">
      <c r="B29" s="398" t="s">
        <v>60</v>
      </c>
      <c r="C29" s="398"/>
      <c r="D29" s="398"/>
      <c r="E29" s="398"/>
      <c r="F29" s="398"/>
      <c r="G29" s="398"/>
      <c r="H29" s="398"/>
      <c r="K29" s="395" t="s">
        <v>13</v>
      </c>
      <c r="L29" s="496"/>
      <c r="M29" s="535"/>
      <c r="N29" s="119"/>
      <c r="O29" s="61">
        <f t="shared" ref="O29:V29" si="18">O28-O26</f>
        <v>259500</v>
      </c>
      <c r="P29" s="61">
        <f t="shared" si="18"/>
        <v>259500</v>
      </c>
      <c r="Q29" s="61">
        <f t="shared" si="18"/>
        <v>259500</v>
      </c>
      <c r="R29" s="61">
        <f t="shared" si="18"/>
        <v>259500</v>
      </c>
      <c r="S29" s="61">
        <f t="shared" si="18"/>
        <v>408000</v>
      </c>
      <c r="T29" s="61">
        <f t="shared" si="18"/>
        <v>408000</v>
      </c>
      <c r="U29" s="61">
        <f t="shared" si="18"/>
        <v>408000</v>
      </c>
      <c r="V29" s="62">
        <f t="shared" si="18"/>
        <v>408000</v>
      </c>
      <c r="W29" s="63"/>
      <c r="X29" s="63"/>
      <c r="Y29" s="15"/>
      <c r="AA29" s="441" t="s">
        <v>91</v>
      </c>
      <c r="AB29" s="507"/>
      <c r="AC29" s="120"/>
      <c r="AD29" s="121"/>
      <c r="AE29" s="122"/>
      <c r="AF29" s="122"/>
      <c r="AG29" s="122"/>
      <c r="AH29" s="122"/>
      <c r="AI29" s="122"/>
      <c r="AJ29" s="122"/>
      <c r="AK29" s="123"/>
      <c r="AL29" s="124"/>
      <c r="AM29" s="84"/>
      <c r="AN29" s="110"/>
      <c r="AQ29" s="441" t="s">
        <v>91</v>
      </c>
      <c r="AR29" s="507"/>
      <c r="AS29" s="120"/>
      <c r="AT29" s="121"/>
      <c r="AU29" s="121"/>
      <c r="AV29" s="121"/>
      <c r="AW29" s="121"/>
      <c r="AX29" s="121"/>
      <c r="AY29" s="121"/>
      <c r="AZ29" s="121"/>
      <c r="BA29" s="121"/>
      <c r="BB29" s="125"/>
    </row>
    <row r="30" spans="2:54" ht="14" customHeight="1">
      <c r="B30" s="398"/>
      <c r="C30" s="398"/>
      <c r="D30" s="398"/>
      <c r="E30" s="398"/>
      <c r="F30" s="398"/>
      <c r="G30" s="398"/>
      <c r="H30" s="398"/>
      <c r="K30" s="390" t="s">
        <v>17</v>
      </c>
      <c r="L30" s="492"/>
      <c r="M30" s="126"/>
      <c r="N30" s="114"/>
      <c r="O30" s="54"/>
      <c r="P30" s="54"/>
      <c r="Q30" s="54"/>
      <c r="R30" s="54"/>
      <c r="S30" s="54"/>
      <c r="T30" s="54"/>
      <c r="U30" s="54"/>
      <c r="V30" s="83"/>
      <c r="W30" s="84"/>
      <c r="X30" s="84"/>
      <c r="Y30" s="15"/>
      <c r="AA30" s="503" t="s">
        <v>104</v>
      </c>
      <c r="AB30" s="504"/>
      <c r="AC30" s="117"/>
      <c r="AD30" s="32"/>
      <c r="AE30" s="54"/>
      <c r="AF30" s="54"/>
      <c r="AG30" s="54"/>
      <c r="AH30" s="54"/>
      <c r="AI30" s="54"/>
      <c r="AJ30" s="54"/>
      <c r="AK30" s="118"/>
      <c r="AL30" s="127">
        <f>AC51</f>
        <v>9589.0212786651464</v>
      </c>
      <c r="AM30" s="84"/>
      <c r="AN30" s="110"/>
      <c r="AQ30" s="503" t="s">
        <v>104</v>
      </c>
      <c r="AR30" s="504"/>
      <c r="AS30" s="117"/>
      <c r="AT30" s="32"/>
      <c r="AU30" s="49"/>
      <c r="AV30" s="49"/>
      <c r="AW30" s="49"/>
      <c r="AX30" s="49"/>
      <c r="AY30" s="49"/>
      <c r="AZ30" s="49"/>
      <c r="BA30" s="49"/>
      <c r="BB30" s="50">
        <f t="shared" si="13"/>
        <v>9589.0212786651464</v>
      </c>
    </row>
    <row r="31" spans="2:54" ht="14" customHeight="1">
      <c r="B31" s="398"/>
      <c r="C31" s="398"/>
      <c r="D31" s="398"/>
      <c r="E31" s="398"/>
      <c r="F31" s="398"/>
      <c r="G31" s="398"/>
      <c r="H31" s="398"/>
      <c r="K31" s="390" t="s">
        <v>19</v>
      </c>
      <c r="L31" s="492"/>
      <c r="M31" s="126"/>
      <c r="N31" s="128">
        <f>-L19</f>
        <v>-327000</v>
      </c>
      <c r="O31" s="54"/>
      <c r="P31" s="54"/>
      <c r="Q31" s="54"/>
      <c r="R31" s="54"/>
      <c r="S31" s="54"/>
      <c r="T31" s="54"/>
      <c r="U31" s="54"/>
      <c r="V31" s="83"/>
      <c r="W31" s="84"/>
      <c r="X31" s="84"/>
      <c r="Y31" s="15"/>
      <c r="AA31" s="503" t="s">
        <v>106</v>
      </c>
      <c r="AB31" s="504"/>
      <c r="AC31" s="117"/>
      <c r="AD31" s="32"/>
      <c r="AE31" s="32"/>
      <c r="AF31" s="32"/>
      <c r="AG31" s="32"/>
      <c r="AH31" s="32"/>
      <c r="AI31" s="32"/>
      <c r="AJ31" s="32"/>
      <c r="AK31" s="32"/>
      <c r="AL31" s="127">
        <f>AD50</f>
        <v>-38836.024560639991</v>
      </c>
      <c r="AM31" s="84"/>
      <c r="AN31" s="110"/>
      <c r="AQ31" s="503" t="s">
        <v>106</v>
      </c>
      <c r="AR31" s="504"/>
      <c r="AS31" s="117"/>
      <c r="AT31" s="32"/>
      <c r="AU31" s="49"/>
      <c r="AV31" s="49"/>
      <c r="AW31" s="49"/>
      <c r="AX31" s="49"/>
      <c r="AY31" s="49"/>
      <c r="AZ31" s="49"/>
      <c r="BA31" s="49"/>
      <c r="BB31" s="50">
        <f t="shared" si="13"/>
        <v>-38836.024560639991</v>
      </c>
    </row>
    <row r="32" spans="2:54" ht="14" customHeight="1">
      <c r="B32" s="398"/>
      <c r="C32" s="398"/>
      <c r="D32" s="398"/>
      <c r="E32" s="398"/>
      <c r="F32" s="398"/>
      <c r="G32" s="398"/>
      <c r="H32" s="398"/>
      <c r="K32" s="390" t="s">
        <v>20</v>
      </c>
      <c r="L32" s="492"/>
      <c r="M32" s="126"/>
      <c r="N32" s="128">
        <f>-L20</f>
        <v>-343000</v>
      </c>
      <c r="O32" s="54"/>
      <c r="P32" s="54"/>
      <c r="Q32" s="54"/>
      <c r="R32" s="54"/>
      <c r="S32" s="54"/>
      <c r="T32" s="54"/>
      <c r="U32" s="54"/>
      <c r="V32" s="83"/>
      <c r="W32" s="84"/>
      <c r="X32" s="84"/>
      <c r="Y32" s="15"/>
      <c r="AA32" s="503" t="s">
        <v>105</v>
      </c>
      <c r="AB32" s="504"/>
      <c r="AC32" s="117"/>
      <c r="AD32" s="32"/>
      <c r="AE32" s="54"/>
      <c r="AF32" s="54"/>
      <c r="AG32" s="54"/>
      <c r="AH32" s="54"/>
      <c r="AI32" s="54"/>
      <c r="AJ32" s="54"/>
      <c r="AK32" s="118"/>
      <c r="AL32" s="127">
        <f>-(AL26+AD20)*AC14*0.5</f>
        <v>-19202.377228361987</v>
      </c>
      <c r="AM32" s="84"/>
      <c r="AN32" s="110"/>
      <c r="AQ32" s="503" t="s">
        <v>105</v>
      </c>
      <c r="AR32" s="504"/>
      <c r="AS32" s="117"/>
      <c r="AT32" s="32"/>
      <c r="AU32" s="49"/>
      <c r="AV32" s="49"/>
      <c r="AW32" s="49"/>
      <c r="AX32" s="49"/>
      <c r="AY32" s="49"/>
      <c r="AZ32" s="49"/>
      <c r="BA32" s="49"/>
      <c r="BB32" s="50">
        <f t="shared" si="13"/>
        <v>-19202.377228361987</v>
      </c>
    </row>
    <row r="33" spans="2:54" ht="14" customHeight="1">
      <c r="B33" s="398"/>
      <c r="C33" s="398"/>
      <c r="D33" s="398"/>
      <c r="E33" s="398"/>
      <c r="F33" s="398"/>
      <c r="G33" s="398"/>
      <c r="H33" s="398"/>
      <c r="K33" s="390" t="s">
        <v>21</v>
      </c>
      <c r="L33" s="492"/>
      <c r="M33" s="126"/>
      <c r="N33" s="128">
        <f>-L21</f>
        <v>-637000</v>
      </c>
      <c r="O33" s="54"/>
      <c r="P33" s="54"/>
      <c r="Q33" s="54"/>
      <c r="R33" s="54"/>
      <c r="S33" s="54"/>
      <c r="T33" s="54"/>
      <c r="U33" s="54"/>
      <c r="V33" s="83"/>
      <c r="W33" s="84"/>
      <c r="X33" s="84"/>
      <c r="Y33" s="15"/>
      <c r="AA33" s="443"/>
      <c r="AB33" s="492"/>
      <c r="AC33" s="117"/>
      <c r="AD33" s="46"/>
      <c r="AE33" s="54"/>
      <c r="AF33" s="54"/>
      <c r="AG33" s="54"/>
      <c r="AH33" s="54"/>
      <c r="AI33" s="54"/>
      <c r="AJ33" s="54"/>
      <c r="AK33" s="118"/>
      <c r="AL33" s="53"/>
      <c r="AM33" s="84"/>
      <c r="AN33" s="110"/>
      <c r="AQ33" s="443"/>
      <c r="AR33" s="492"/>
      <c r="AS33" s="117"/>
      <c r="AT33" s="46"/>
      <c r="AU33" s="49"/>
      <c r="AV33" s="49"/>
      <c r="AW33" s="49"/>
      <c r="AX33" s="49"/>
      <c r="AY33" s="49"/>
      <c r="AZ33" s="49"/>
      <c r="BA33" s="49"/>
      <c r="BB33" s="50"/>
    </row>
    <row r="34" spans="2:54" ht="17" thickBot="1">
      <c r="K34" s="390" t="s">
        <v>22</v>
      </c>
      <c r="L34" s="499"/>
      <c r="M34" s="126"/>
      <c r="N34" s="128">
        <v>-20000</v>
      </c>
      <c r="O34" s="54"/>
      <c r="P34" s="54"/>
      <c r="Q34" s="54"/>
      <c r="R34" s="116">
        <v>-30000</v>
      </c>
      <c r="S34" s="54"/>
      <c r="T34" s="54"/>
      <c r="U34" s="54"/>
      <c r="V34" s="83"/>
      <c r="W34" s="84"/>
      <c r="X34" s="84"/>
      <c r="Y34" s="15"/>
      <c r="AA34" s="483"/>
      <c r="AB34" s="501"/>
      <c r="AC34" s="130"/>
      <c r="AD34" s="131"/>
      <c r="AE34" s="132"/>
      <c r="AF34" s="132"/>
      <c r="AG34" s="132"/>
      <c r="AH34" s="132"/>
      <c r="AI34" s="132"/>
      <c r="AJ34" s="132"/>
      <c r="AK34" s="133"/>
      <c r="AL34" s="98"/>
      <c r="AM34" s="134"/>
      <c r="AN34" s="110"/>
      <c r="AQ34" s="483"/>
      <c r="AR34" s="501"/>
      <c r="AS34" s="130"/>
      <c r="AT34" s="46"/>
      <c r="AU34" s="49"/>
      <c r="AV34" s="49"/>
      <c r="AW34" s="49"/>
      <c r="AX34" s="49"/>
      <c r="AY34" s="49"/>
      <c r="AZ34" s="49"/>
      <c r="BA34" s="49"/>
      <c r="BB34" s="50"/>
    </row>
    <row r="35" spans="2:54">
      <c r="C35" s="509" t="s">
        <v>75</v>
      </c>
      <c r="D35" s="510"/>
      <c r="E35" s="509" t="s">
        <v>76</v>
      </c>
      <c r="F35" s="510"/>
      <c r="K35" s="480"/>
      <c r="L35" s="481"/>
      <c r="M35" s="126"/>
      <c r="N35" s="30"/>
      <c r="O35" s="32"/>
      <c r="P35" s="32"/>
      <c r="Q35" s="32"/>
      <c r="R35" s="32"/>
      <c r="S35" s="135"/>
      <c r="T35" s="32"/>
      <c r="U35" s="135"/>
      <c r="V35" s="136"/>
      <c r="W35" s="84"/>
      <c r="X35" s="84"/>
      <c r="Y35" s="15"/>
      <c r="AA35" s="437" t="s">
        <v>12</v>
      </c>
      <c r="AB35" s="499"/>
      <c r="AC35" s="137"/>
      <c r="AD35" s="138">
        <f>SUM(AD16:AD34)</f>
        <v>-1327000</v>
      </c>
      <c r="AE35" s="138">
        <f t="shared" ref="AE35:AK35" si="19">SUM(AE16:AE34)</f>
        <v>209793.56</v>
      </c>
      <c r="AF35" s="138">
        <f t="shared" si="19"/>
        <v>217194.0656</v>
      </c>
      <c r="AG35" s="138">
        <f t="shared" si="19"/>
        <v>214412.04537599999</v>
      </c>
      <c r="AH35" s="138">
        <f t="shared" si="19"/>
        <v>182166.98148096001</v>
      </c>
      <c r="AI35" s="138">
        <f t="shared" si="19"/>
        <v>325291.2605577216</v>
      </c>
      <c r="AJ35" s="138">
        <f t="shared" si="19"/>
        <v>323821.5608042127</v>
      </c>
      <c r="AK35" s="138">
        <f t="shared" si="19"/>
        <v>322628.59490708425</v>
      </c>
      <c r="AL35" s="139">
        <f>SUM(AL16:AL33)</f>
        <v>1483700.8656724074</v>
      </c>
      <c r="AM35" s="140"/>
      <c r="AN35" s="110"/>
      <c r="AQ35" s="437" t="s">
        <v>12</v>
      </c>
      <c r="AR35" s="499"/>
      <c r="AS35" s="141"/>
      <c r="AT35" s="142">
        <f>SUM(AT16:AT34)</f>
        <v>-1327000</v>
      </c>
      <c r="AU35" s="143">
        <f t="shared" ref="AU35:BA35" si="20">SUM(AU16:AU34)</f>
        <v>239399.06000000006</v>
      </c>
      <c r="AV35" s="143">
        <f t="shared" si="20"/>
        <v>246799.56560000003</v>
      </c>
      <c r="AW35" s="143">
        <f t="shared" si="20"/>
        <v>244017.54537600005</v>
      </c>
      <c r="AX35" s="143">
        <f t="shared" si="20"/>
        <v>211772.48148096004</v>
      </c>
      <c r="AY35" s="143">
        <f t="shared" si="20"/>
        <v>375601.26055772172</v>
      </c>
      <c r="AZ35" s="143">
        <f t="shared" si="20"/>
        <v>374131.56080421282</v>
      </c>
      <c r="BA35" s="143">
        <f t="shared" si="20"/>
        <v>372938.59490708431</v>
      </c>
      <c r="BB35" s="144">
        <f>SUM(BB16:BB33)</f>
        <v>1534010.8656724074</v>
      </c>
    </row>
    <row r="36" spans="2:54" ht="16" customHeight="1">
      <c r="C36" s="401" t="s">
        <v>61</v>
      </c>
      <c r="D36" s="404" t="s">
        <v>62</v>
      </c>
      <c r="E36" s="401" t="s">
        <v>61</v>
      </c>
      <c r="F36" s="404" t="s">
        <v>62</v>
      </c>
      <c r="K36" s="411" t="s">
        <v>23</v>
      </c>
      <c r="L36" s="508"/>
      <c r="M36" s="145"/>
      <c r="N36" s="146"/>
      <c r="O36" s="147"/>
      <c r="P36" s="147"/>
      <c r="Q36" s="147"/>
      <c r="R36" s="147"/>
      <c r="S36" s="147"/>
      <c r="T36" s="147"/>
      <c r="U36" s="147"/>
      <c r="V36" s="83"/>
      <c r="W36" s="84"/>
      <c r="X36" s="84"/>
      <c r="Y36" s="15"/>
      <c r="AA36" s="437" t="s">
        <v>28</v>
      </c>
      <c r="AB36" s="492"/>
      <c r="AC36" s="148">
        <v>8.5000000000000006E-2</v>
      </c>
      <c r="AD36" s="149">
        <f t="shared" ref="AD36:AL36" si="21">(1+$AC$36)^-AD5</f>
        <v>1</v>
      </c>
      <c r="AE36" s="149">
        <f t="shared" si="21"/>
        <v>0.92165898617511521</v>
      </c>
      <c r="AF36" s="149">
        <f t="shared" si="21"/>
        <v>0.84945528679734128</v>
      </c>
      <c r="AG36" s="149">
        <f t="shared" si="21"/>
        <v>0.78290809843072917</v>
      </c>
      <c r="AH36" s="149">
        <f t="shared" si="21"/>
        <v>0.72157428426795334</v>
      </c>
      <c r="AI36" s="149">
        <f t="shared" si="21"/>
        <v>0.66504542328843619</v>
      </c>
      <c r="AJ36" s="149">
        <f t="shared" si="21"/>
        <v>0.6129450905884205</v>
      </c>
      <c r="AK36" s="149">
        <f t="shared" si="21"/>
        <v>0.56492635077273778</v>
      </c>
      <c r="AL36" s="150">
        <f t="shared" si="21"/>
        <v>0.52066944771680901</v>
      </c>
      <c r="AM36" s="134"/>
      <c r="AN36" s="110"/>
      <c r="AQ36" s="437" t="s">
        <v>28</v>
      </c>
      <c r="AR36" s="492"/>
      <c r="AS36" s="151">
        <v>8.5000000000000006E-2</v>
      </c>
      <c r="AT36" s="152">
        <f t="shared" ref="AT36:BB36" si="22">(1+$AC$36)^-AT5</f>
        <v>1</v>
      </c>
      <c r="AU36" s="149">
        <f t="shared" si="22"/>
        <v>0.92165898617511521</v>
      </c>
      <c r="AV36" s="149">
        <f t="shared" si="22"/>
        <v>0.84945528679734128</v>
      </c>
      <c r="AW36" s="149">
        <f t="shared" si="22"/>
        <v>0.78290809843072917</v>
      </c>
      <c r="AX36" s="149">
        <f t="shared" si="22"/>
        <v>0.72157428426795334</v>
      </c>
      <c r="AY36" s="149">
        <f t="shared" si="22"/>
        <v>0.66504542328843619</v>
      </c>
      <c r="AZ36" s="149">
        <f t="shared" si="22"/>
        <v>0.6129450905884205</v>
      </c>
      <c r="BA36" s="149">
        <f t="shared" si="22"/>
        <v>0.56492635077273778</v>
      </c>
      <c r="BB36" s="150">
        <f t="shared" si="22"/>
        <v>0.52066944771680901</v>
      </c>
    </row>
    <row r="37" spans="2:54" ht="14" customHeight="1" thickBot="1">
      <c r="C37" s="402"/>
      <c r="D37" s="405"/>
      <c r="E37" s="402"/>
      <c r="F37" s="405"/>
      <c r="K37" s="390" t="s">
        <v>24</v>
      </c>
      <c r="L37" s="492"/>
      <c r="M37" s="153"/>
      <c r="N37" s="114"/>
      <c r="O37" s="54"/>
      <c r="P37" s="54"/>
      <c r="Q37" s="54"/>
      <c r="R37" s="54"/>
      <c r="S37" s="54"/>
      <c r="T37" s="54"/>
      <c r="U37" s="54"/>
      <c r="V37" s="55">
        <f>M19</f>
        <v>233560</v>
      </c>
      <c r="W37" s="84"/>
      <c r="X37" s="110"/>
      <c r="Y37" s="15"/>
      <c r="AA37" s="487" t="s">
        <v>29</v>
      </c>
      <c r="AB37" s="512"/>
      <c r="AC37" s="154"/>
      <c r="AD37" s="155">
        <f t="shared" ref="AD37:AL37" si="23">AD35*AD36</f>
        <v>-1327000</v>
      </c>
      <c r="AE37" s="155">
        <f t="shared" si="23"/>
        <v>193358.11981566821</v>
      </c>
      <c r="AF37" s="155">
        <f t="shared" si="23"/>
        <v>184496.64728492856</v>
      </c>
      <c r="AG37" s="155">
        <f t="shared" si="23"/>
        <v>167864.92672596738</v>
      </c>
      <c r="AH37" s="155">
        <f t="shared" si="23"/>
        <v>131447.00927937723</v>
      </c>
      <c r="AI37" s="155">
        <f t="shared" si="23"/>
        <v>216333.46406963895</v>
      </c>
      <c r="AJ37" s="155">
        <f t="shared" si="23"/>
        <v>198484.83592162188</v>
      </c>
      <c r="AK37" s="155">
        <f t="shared" si="23"/>
        <v>182261.39477579499</v>
      </c>
      <c r="AL37" s="156">
        <f t="shared" si="23"/>
        <v>772517.71030660381</v>
      </c>
      <c r="AQ37" s="487" t="s">
        <v>29</v>
      </c>
      <c r="AR37" s="512"/>
      <c r="AS37" s="157"/>
      <c r="AT37" s="158">
        <f t="shared" ref="AT37:BB37" si="24">AT35*AT36</f>
        <v>-1327000</v>
      </c>
      <c r="AU37" s="155">
        <f t="shared" si="24"/>
        <v>220644.29493087562</v>
      </c>
      <c r="AV37" s="155">
        <f t="shared" si="24"/>
        <v>209645.19577820727</v>
      </c>
      <c r="AW37" s="155">
        <f t="shared" si="24"/>
        <v>191043.31243405837</v>
      </c>
      <c r="AX37" s="155">
        <f t="shared" si="24"/>
        <v>152809.57675227214</v>
      </c>
      <c r="AY37" s="155">
        <f t="shared" si="24"/>
        <v>249791.89931528026</v>
      </c>
      <c r="AZ37" s="155">
        <f t="shared" si="24"/>
        <v>229322.10342912539</v>
      </c>
      <c r="BA37" s="155">
        <f t="shared" si="24"/>
        <v>210682.83948317147</v>
      </c>
      <c r="BB37" s="156">
        <f t="shared" si="24"/>
        <v>798712.59022123646</v>
      </c>
    </row>
    <row r="38" spans="2:54">
      <c r="C38" s="403"/>
      <c r="D38" s="406"/>
      <c r="E38" s="403"/>
      <c r="F38" s="406"/>
      <c r="K38" s="390" t="s">
        <v>25</v>
      </c>
      <c r="L38" s="492"/>
      <c r="M38" s="153"/>
      <c r="N38" s="114"/>
      <c r="O38" s="54"/>
      <c r="P38" s="54"/>
      <c r="Q38" s="54"/>
      <c r="R38" s="54"/>
      <c r="S38" s="54"/>
      <c r="T38" s="54"/>
      <c r="U38" s="54"/>
      <c r="V38" s="55">
        <f>M20</f>
        <v>120000</v>
      </c>
      <c r="W38" s="84"/>
      <c r="X38" s="110"/>
      <c r="Y38" s="15"/>
    </row>
    <row r="39" spans="2:54">
      <c r="C39" s="4">
        <v>12000</v>
      </c>
      <c r="D39" s="159">
        <v>0.3</v>
      </c>
      <c r="E39" s="4">
        <v>18000</v>
      </c>
      <c r="F39" s="159">
        <v>0.1</v>
      </c>
      <c r="K39" s="390" t="s">
        <v>26</v>
      </c>
      <c r="L39" s="492"/>
      <c r="M39" s="160">
        <v>7.0000000000000007E-2</v>
      </c>
      <c r="N39" s="114"/>
      <c r="O39" s="54"/>
      <c r="P39" s="54"/>
      <c r="Q39" s="54"/>
      <c r="R39" s="54"/>
      <c r="S39" s="54"/>
      <c r="T39" s="54"/>
      <c r="U39" s="54"/>
      <c r="V39" s="55">
        <f>M21</f>
        <v>806932.5418439114</v>
      </c>
      <c r="W39" s="84"/>
      <c r="X39" s="110"/>
      <c r="Y39" s="15"/>
      <c r="AB39" s="161" t="s">
        <v>33</v>
      </c>
      <c r="AC39" s="162">
        <f>SUM(AD37:AL37)</f>
        <v>719764.10817960114</v>
      </c>
      <c r="AR39" s="161" t="s">
        <v>33</v>
      </c>
      <c r="AS39" s="162">
        <f>SUM(AT37:BB37)</f>
        <v>935651.81234422687</v>
      </c>
      <c r="AU39" s="163">
        <f>-(1-(AS39/AC39))</f>
        <v>0.29994230291732715</v>
      </c>
    </row>
    <row r="40" spans="2:54">
      <c r="C40" s="4">
        <v>15000</v>
      </c>
      <c r="D40" s="159">
        <v>0.4</v>
      </c>
      <c r="E40" s="4">
        <v>23000</v>
      </c>
      <c r="F40" s="159">
        <v>0.35</v>
      </c>
      <c r="K40" s="390" t="s">
        <v>22</v>
      </c>
      <c r="L40" s="492"/>
      <c r="M40" s="153"/>
      <c r="N40" s="114"/>
      <c r="O40" s="54"/>
      <c r="P40" s="54"/>
      <c r="Q40" s="54"/>
      <c r="R40" s="54"/>
      <c r="S40" s="54"/>
      <c r="T40" s="54"/>
      <c r="U40" s="118"/>
      <c r="V40" s="164">
        <f>-(N34+R34)</f>
        <v>50000</v>
      </c>
      <c r="W40" s="84"/>
      <c r="X40" s="110"/>
      <c r="Y40" s="15"/>
      <c r="AC40" s="18">
        <f>NPV(AC36,AE35:AL35)+AD35</f>
        <v>719764.10817960068</v>
      </c>
      <c r="AS40" s="18">
        <f>NPV(AS36,AU35:BB35)+AT35</f>
        <v>935651.81234422699</v>
      </c>
    </row>
    <row r="41" spans="2:54">
      <c r="C41" s="4">
        <v>18000</v>
      </c>
      <c r="D41" s="159">
        <v>0.2</v>
      </c>
      <c r="E41" s="4">
        <v>27000</v>
      </c>
      <c r="F41" s="159">
        <v>0.3</v>
      </c>
      <c r="K41" s="407"/>
      <c r="L41" s="518"/>
      <c r="M41" s="165"/>
      <c r="N41" s="114"/>
      <c r="O41" s="54"/>
      <c r="P41" s="54"/>
      <c r="Q41" s="54"/>
      <c r="R41" s="54"/>
      <c r="S41" s="54"/>
      <c r="T41" s="54"/>
      <c r="U41" s="118"/>
      <c r="V41" s="83"/>
      <c r="W41" s="84"/>
      <c r="X41" s="84"/>
      <c r="Y41" s="15"/>
    </row>
    <row r="42" spans="2:54">
      <c r="C42" s="4">
        <v>21000</v>
      </c>
      <c r="D42" s="159">
        <v>0.1</v>
      </c>
      <c r="E42" s="4">
        <v>31000</v>
      </c>
      <c r="F42" s="159">
        <v>0.15</v>
      </c>
      <c r="K42" s="411" t="s">
        <v>12</v>
      </c>
      <c r="L42" s="508"/>
      <c r="M42" s="166"/>
      <c r="N42" s="167">
        <f>SUM(N29:N41)</f>
        <v>-1327000</v>
      </c>
      <c r="O42" s="168">
        <f t="shared" ref="O42:V42" si="25">SUM(O29:O41)</f>
        <v>259500</v>
      </c>
      <c r="P42" s="168">
        <f t="shared" si="25"/>
        <v>259500</v>
      </c>
      <c r="Q42" s="168">
        <f t="shared" si="25"/>
        <v>259500</v>
      </c>
      <c r="R42" s="168">
        <f t="shared" si="25"/>
        <v>229500</v>
      </c>
      <c r="S42" s="168">
        <f t="shared" si="25"/>
        <v>408000</v>
      </c>
      <c r="T42" s="168">
        <f t="shared" si="25"/>
        <v>408000</v>
      </c>
      <c r="U42" s="168">
        <f t="shared" si="25"/>
        <v>408000</v>
      </c>
      <c r="V42" s="169">
        <f t="shared" si="25"/>
        <v>1618492.5418439114</v>
      </c>
      <c r="W42" s="170"/>
      <c r="X42" s="170"/>
      <c r="Y42" s="15"/>
      <c r="AA42" s="511" t="s">
        <v>92</v>
      </c>
      <c r="AB42" s="511"/>
      <c r="AC42" s="171" t="s">
        <v>20</v>
      </c>
      <c r="AD42" s="171" t="s">
        <v>93</v>
      </c>
      <c r="AQ42" s="511" t="s">
        <v>92</v>
      </c>
      <c r="AR42" s="511"/>
      <c r="AS42" s="171" t="s">
        <v>20</v>
      </c>
      <c r="AT42" s="171" t="s">
        <v>93</v>
      </c>
    </row>
    <row r="43" spans="2:54" ht="17" thickBot="1">
      <c r="C43" s="172"/>
      <c r="D43" s="173"/>
      <c r="E43" s="5">
        <v>34000</v>
      </c>
      <c r="F43" s="174">
        <v>0.1</v>
      </c>
      <c r="K43" s="390" t="s">
        <v>28</v>
      </c>
      <c r="L43" s="492"/>
      <c r="M43" s="160">
        <v>0.11</v>
      </c>
      <c r="N43" s="152">
        <f t="shared" ref="N43:V43" si="26">(1+$M$43)^-N24</f>
        <v>1</v>
      </c>
      <c r="O43" s="149">
        <f t="shared" si="26"/>
        <v>0.9009009009009008</v>
      </c>
      <c r="P43" s="149">
        <f t="shared" si="26"/>
        <v>0.8116224332440547</v>
      </c>
      <c r="Q43" s="149">
        <f t="shared" si="26"/>
        <v>0.73119138130095018</v>
      </c>
      <c r="R43" s="149">
        <f t="shared" si="26"/>
        <v>0.65873097414500015</v>
      </c>
      <c r="S43" s="149">
        <f t="shared" si="26"/>
        <v>0.5934513280585586</v>
      </c>
      <c r="T43" s="149">
        <f t="shared" si="26"/>
        <v>0.53464083608879154</v>
      </c>
      <c r="U43" s="149">
        <f t="shared" si="26"/>
        <v>0.48165841089080319</v>
      </c>
      <c r="V43" s="150">
        <f t="shared" si="26"/>
        <v>0.43392649629802077</v>
      </c>
      <c r="W43" s="175"/>
      <c r="X43" s="175"/>
      <c r="Y43" s="15"/>
      <c r="AA43" s="176" t="s">
        <v>94</v>
      </c>
      <c r="AB43" s="177"/>
      <c r="AC43" s="178">
        <f>-AD19</f>
        <v>343000</v>
      </c>
      <c r="AD43" s="179">
        <f>-AD18</f>
        <v>327000</v>
      </c>
      <c r="AQ43" s="176" t="s">
        <v>94</v>
      </c>
      <c r="AR43" s="177"/>
      <c r="AS43" s="178">
        <f>-AT19</f>
        <v>343000</v>
      </c>
      <c r="AT43" s="179">
        <f>-AT18</f>
        <v>327000</v>
      </c>
    </row>
    <row r="44" spans="2:54" ht="17" thickBot="1">
      <c r="F44" s="17"/>
      <c r="K44" s="425" t="s">
        <v>29</v>
      </c>
      <c r="L44" s="512"/>
      <c r="M44" s="180"/>
      <c r="N44" s="158">
        <f t="shared" ref="N44:V44" si="27">N42*N43</f>
        <v>-1327000</v>
      </c>
      <c r="O44" s="155">
        <f t="shared" si="27"/>
        <v>233783.78378378376</v>
      </c>
      <c r="P44" s="155">
        <f t="shared" si="27"/>
        <v>210616.02142683219</v>
      </c>
      <c r="Q44" s="155">
        <f t="shared" si="27"/>
        <v>189744.16344759657</v>
      </c>
      <c r="R44" s="155">
        <f t="shared" si="27"/>
        <v>151178.75856627754</v>
      </c>
      <c r="S44" s="155">
        <f t="shared" si="27"/>
        <v>242128.14184789191</v>
      </c>
      <c r="T44" s="155">
        <f t="shared" si="27"/>
        <v>218133.46112422695</v>
      </c>
      <c r="U44" s="155">
        <f t="shared" si="27"/>
        <v>196516.6316434477</v>
      </c>
      <c r="V44" s="156">
        <f t="shared" si="27"/>
        <v>702306.79796680622</v>
      </c>
      <c r="W44" s="134"/>
      <c r="X44" s="134"/>
      <c r="Y44" s="15"/>
      <c r="AA44" s="177" t="s">
        <v>95</v>
      </c>
      <c r="AB44" s="177"/>
      <c r="AC44" s="181">
        <f>AC12</f>
        <v>0.04</v>
      </c>
      <c r="AD44" s="181">
        <f>AC11</f>
        <v>0.2</v>
      </c>
      <c r="AQ44" s="177" t="s">
        <v>95</v>
      </c>
      <c r="AR44" s="177"/>
      <c r="AS44" s="181">
        <f>AS12</f>
        <v>0.04</v>
      </c>
      <c r="AT44" s="181">
        <f>AS11</f>
        <v>0.2</v>
      </c>
    </row>
    <row r="45" spans="2:54" ht="16" customHeight="1" thickBot="1">
      <c r="B45" s="398" t="s">
        <v>80</v>
      </c>
      <c r="C45" s="398"/>
      <c r="D45" s="398"/>
      <c r="E45" s="398"/>
      <c r="F45" s="398"/>
      <c r="G45" s="398"/>
      <c r="H45" s="398"/>
      <c r="K45" s="388" t="s">
        <v>30</v>
      </c>
      <c r="L45" s="513"/>
      <c r="M45" s="514">
        <f>SUM(N44:V44)</f>
        <v>817407.7598068628</v>
      </c>
      <c r="N45" s="506"/>
      <c r="O45" s="110" t="s">
        <v>27</v>
      </c>
      <c r="P45" s="182"/>
      <c r="Q45" s="182"/>
      <c r="R45" s="182"/>
      <c r="S45" s="182"/>
      <c r="T45" s="182"/>
      <c r="U45" s="182"/>
      <c r="V45" s="182"/>
      <c r="W45" s="100"/>
      <c r="X45" s="100"/>
      <c r="Y45" s="15"/>
      <c r="AA45" s="177" t="s">
        <v>96</v>
      </c>
      <c r="AB45" s="177"/>
      <c r="AC45" s="183">
        <f>AC14</f>
        <v>0.22600000000000001</v>
      </c>
      <c r="AD45" s="183">
        <f>AC14</f>
        <v>0.22600000000000001</v>
      </c>
      <c r="AQ45" s="177" t="s">
        <v>96</v>
      </c>
      <c r="AR45" s="177"/>
      <c r="AS45" s="183">
        <f>AS14</f>
        <v>0.22600000000000001</v>
      </c>
      <c r="AT45" s="183">
        <f>AS14</f>
        <v>0.22600000000000001</v>
      </c>
    </row>
    <row r="46" spans="2:54" ht="14" customHeight="1">
      <c r="B46" s="398"/>
      <c r="C46" s="398"/>
      <c r="D46" s="398"/>
      <c r="E46" s="398"/>
      <c r="F46" s="398"/>
      <c r="G46" s="398"/>
      <c r="H46" s="398"/>
      <c r="U46" s="100"/>
      <c r="V46" s="100"/>
      <c r="W46" s="100"/>
      <c r="X46" s="100"/>
      <c r="Y46" s="15"/>
      <c r="AA46" s="177" t="s">
        <v>97</v>
      </c>
      <c r="AB46" s="177"/>
      <c r="AC46" s="183">
        <f>AC36</f>
        <v>8.5000000000000006E-2</v>
      </c>
      <c r="AD46" s="183">
        <f>AC36</f>
        <v>8.5000000000000006E-2</v>
      </c>
      <c r="AQ46" s="177" t="s">
        <v>97</v>
      </c>
      <c r="AR46" s="177"/>
      <c r="AS46" s="183">
        <f>AS36</f>
        <v>8.5000000000000006E-2</v>
      </c>
      <c r="AT46" s="183">
        <f>AS36</f>
        <v>8.5000000000000006E-2</v>
      </c>
    </row>
    <row r="47" spans="2:54" ht="14" customHeight="1" thickBot="1">
      <c r="B47" s="398"/>
      <c r="C47" s="398"/>
      <c r="D47" s="398"/>
      <c r="E47" s="398"/>
      <c r="F47" s="398"/>
      <c r="G47" s="398"/>
      <c r="H47" s="398"/>
      <c r="K47" s="515" t="s">
        <v>31</v>
      </c>
      <c r="L47" s="499"/>
      <c r="M47" s="184"/>
      <c r="N47" s="184"/>
      <c r="O47" s="100"/>
      <c r="Q47" s="99" t="s">
        <v>38</v>
      </c>
      <c r="U47" s="100"/>
      <c r="V47" s="100"/>
      <c r="W47" s="100"/>
      <c r="X47" s="100"/>
      <c r="Y47" s="15"/>
      <c r="AA47" s="177" t="s">
        <v>98</v>
      </c>
      <c r="AB47" s="177"/>
      <c r="AC47" s="178">
        <f>AC43*(1-AC44/2)*(1-AC44)^(AL5-1)</f>
        <v>252591.55529127689</v>
      </c>
      <c r="AD47" s="178">
        <f>AD43*(1-AD44/2)*(1-AD44)^(AL5-1)</f>
        <v>61719.183360000046</v>
      </c>
      <c r="AQ47" s="177" t="s">
        <v>98</v>
      </c>
      <c r="AR47" s="177"/>
      <c r="AS47" s="178">
        <f>AS43*(1-AS44/2)*(1-AS44)^(BB5-1)</f>
        <v>252591.55529127689</v>
      </c>
      <c r="AT47" s="178">
        <f>AT43*(1-AT44/2)*(1-AT44)^(BB5-1)</f>
        <v>61719.183360000046</v>
      </c>
    </row>
    <row r="48" spans="2:54">
      <c r="B48" s="398"/>
      <c r="C48" s="398"/>
      <c r="D48" s="398"/>
      <c r="E48" s="398"/>
      <c r="F48" s="398"/>
      <c r="G48" s="398"/>
      <c r="H48" s="398"/>
      <c r="K48" s="386" t="s">
        <v>122</v>
      </c>
      <c r="L48" s="507"/>
      <c r="M48" s="516">
        <f>PMT(M43,V24,-1)</f>
        <v>0.19432105421050014</v>
      </c>
      <c r="N48" s="517"/>
      <c r="O48" s="100"/>
      <c r="Q48" s="185" t="s">
        <v>40</v>
      </c>
      <c r="R48" s="186" t="s">
        <v>41</v>
      </c>
      <c r="S48" s="187" t="s">
        <v>42</v>
      </c>
      <c r="T48" s="100"/>
      <c r="U48" s="100"/>
      <c r="Y48" s="15"/>
      <c r="AA48" s="177" t="s">
        <v>99</v>
      </c>
      <c r="AB48" s="177"/>
      <c r="AC48" s="178">
        <f>AL25</f>
        <v>120000</v>
      </c>
      <c r="AD48" s="178">
        <f>AL24</f>
        <v>233560</v>
      </c>
      <c r="AQ48" s="177" t="s">
        <v>99</v>
      </c>
      <c r="AR48" s="177"/>
      <c r="AS48" s="178">
        <f>BB25</f>
        <v>120000</v>
      </c>
      <c r="AT48" s="178">
        <f>BB24</f>
        <v>233560</v>
      </c>
    </row>
    <row r="49" spans="2:46" ht="16" customHeight="1" thickBot="1">
      <c r="B49" s="398" t="s">
        <v>79</v>
      </c>
      <c r="C49" s="398"/>
      <c r="D49" s="398"/>
      <c r="E49" s="398"/>
      <c r="F49" s="398"/>
      <c r="G49" s="398"/>
      <c r="H49" s="398"/>
      <c r="K49" s="467" t="s">
        <v>34</v>
      </c>
      <c r="L49" s="512"/>
      <c r="M49" s="418">
        <f>M45*M48</f>
        <v>158839.53760551286</v>
      </c>
      <c r="N49" s="530"/>
      <c r="O49" s="188" t="s">
        <v>55</v>
      </c>
      <c r="Q49" s="189">
        <v>0</v>
      </c>
      <c r="R49" s="190">
        <f>M53</f>
        <v>-1346761.92922435</v>
      </c>
      <c r="S49" s="191">
        <f>R49</f>
        <v>-1346761.92922435</v>
      </c>
      <c r="T49" s="100"/>
      <c r="U49" s="100"/>
      <c r="Y49" s="15"/>
      <c r="AA49" s="177" t="s">
        <v>100</v>
      </c>
      <c r="AB49" s="177"/>
      <c r="AC49" s="178">
        <f>AC47-AC48</f>
        <v>132591.55529127689</v>
      </c>
      <c r="AD49" s="178">
        <f>AD47-AD48</f>
        <v>-171840.81663999995</v>
      </c>
      <c r="AQ49" s="177" t="s">
        <v>100</v>
      </c>
      <c r="AR49" s="177"/>
      <c r="AS49" s="178">
        <f>AS47-AS48</f>
        <v>132591.55529127689</v>
      </c>
      <c r="AT49" s="178">
        <f>AT47-AT48</f>
        <v>-171840.81663999995</v>
      </c>
    </row>
    <row r="50" spans="2:46" ht="14" customHeight="1">
      <c r="B50" s="398"/>
      <c r="C50" s="398"/>
      <c r="D50" s="398"/>
      <c r="E50" s="398"/>
      <c r="F50" s="398"/>
      <c r="G50" s="398"/>
      <c r="H50" s="398"/>
      <c r="K50" s="192"/>
      <c r="L50" s="26"/>
      <c r="M50" s="193"/>
      <c r="N50" s="194"/>
      <c r="Q50" s="189">
        <v>1</v>
      </c>
      <c r="R50" s="190">
        <f>O44</f>
        <v>233783.78378378376</v>
      </c>
      <c r="S50" s="191">
        <f t="shared" ref="S50:S57" si="28">S49+R50</f>
        <v>-1112978.1454405664</v>
      </c>
      <c r="T50" s="100"/>
      <c r="Y50" s="15"/>
      <c r="AA50" s="177" t="s">
        <v>101</v>
      </c>
      <c r="AB50" s="177"/>
      <c r="AC50" s="195">
        <f>AC49*AC45</f>
        <v>29965.691495828578</v>
      </c>
      <c r="AD50" s="196">
        <f>AD49*AD45</f>
        <v>-38836.024560639991</v>
      </c>
      <c r="AQ50" s="177" t="s">
        <v>101</v>
      </c>
      <c r="AR50" s="177"/>
      <c r="AS50" s="195">
        <f>AS49*AS45</f>
        <v>29965.691495828578</v>
      </c>
      <c r="AT50" s="196">
        <f>AT49*AT45</f>
        <v>-38836.024560639991</v>
      </c>
    </row>
    <row r="51" spans="2:46" ht="14" customHeight="1" thickBot="1">
      <c r="B51" s="398"/>
      <c r="C51" s="398"/>
      <c r="D51" s="398"/>
      <c r="E51" s="398"/>
      <c r="F51" s="398"/>
      <c r="G51" s="398"/>
      <c r="H51" s="398"/>
      <c r="K51" s="99" t="s">
        <v>32</v>
      </c>
      <c r="L51" s="99"/>
      <c r="M51" s="194"/>
      <c r="N51" s="194"/>
      <c r="O51" s="100"/>
      <c r="Q51" s="189">
        <v>2</v>
      </c>
      <c r="R51" s="190">
        <f>P44</f>
        <v>210616.02142683219</v>
      </c>
      <c r="S51" s="191">
        <f t="shared" si="28"/>
        <v>-902362.12401373417</v>
      </c>
      <c r="T51" s="100"/>
      <c r="Y51" s="15"/>
      <c r="AA51" s="177" t="s">
        <v>102</v>
      </c>
      <c r="AB51" s="177"/>
      <c r="AC51" s="196">
        <f>(AC45*AC44)/(AC46+AC44)*AC49</f>
        <v>9589.0212786651464</v>
      </c>
      <c r="AD51" s="195">
        <f>(AD45*AD44)/(AD46+AD44)*AD49</f>
        <v>-27253.350568870166</v>
      </c>
      <c r="AQ51" s="177" t="s">
        <v>102</v>
      </c>
      <c r="AR51" s="177"/>
      <c r="AS51" s="196">
        <f>(AS45*AS44)/(AS46+AS44)*AS49</f>
        <v>9589.0212786651464</v>
      </c>
      <c r="AT51" s="195">
        <f>(AT45*AT44)/(AT46+AT44)*AT49</f>
        <v>-27253.350568870166</v>
      </c>
    </row>
    <row r="52" spans="2:46" ht="14" customHeight="1">
      <c r="B52" s="398"/>
      <c r="C52" s="398"/>
      <c r="D52" s="398"/>
      <c r="E52" s="398"/>
      <c r="F52" s="398"/>
      <c r="G52" s="398"/>
      <c r="H52" s="398"/>
      <c r="K52" s="197" t="s">
        <v>33</v>
      </c>
      <c r="L52" s="198"/>
      <c r="M52" s="199">
        <f>M45</f>
        <v>817407.7598068628</v>
      </c>
      <c r="N52" s="200"/>
      <c r="O52" s="100"/>
      <c r="Q52" s="189">
        <v>3</v>
      </c>
      <c r="R52" s="190">
        <f>Q44</f>
        <v>189744.16344759657</v>
      </c>
      <c r="S52" s="191">
        <f t="shared" si="28"/>
        <v>-712617.96056613757</v>
      </c>
      <c r="T52" s="100"/>
      <c r="Y52" s="15"/>
    </row>
    <row r="53" spans="2:46" ht="17" thickBot="1">
      <c r="B53" s="398"/>
      <c r="C53" s="398"/>
      <c r="D53" s="398"/>
      <c r="E53" s="398"/>
      <c r="F53" s="398"/>
      <c r="G53" s="398"/>
      <c r="H53" s="398"/>
      <c r="K53" s="201" t="s">
        <v>35</v>
      </c>
      <c r="L53" s="99"/>
      <c r="M53" s="194">
        <f>N42+(R34*R43)</f>
        <v>-1346761.92922435</v>
      </c>
      <c r="N53" s="202"/>
      <c r="O53" s="100"/>
      <c r="Q53" s="189">
        <v>4</v>
      </c>
      <c r="R53" s="190">
        <f>R29*R43</f>
        <v>170940.68779062753</v>
      </c>
      <c r="S53" s="191">
        <f t="shared" si="28"/>
        <v>-541677.27277551009</v>
      </c>
      <c r="T53" s="100"/>
      <c r="Y53" s="15"/>
    </row>
    <row r="54" spans="2:46" ht="17" thickBot="1">
      <c r="B54" s="398"/>
      <c r="C54" s="398"/>
      <c r="D54" s="398"/>
      <c r="E54" s="398"/>
      <c r="F54" s="398"/>
      <c r="G54" s="398"/>
      <c r="H54" s="398"/>
      <c r="K54" s="531" t="s">
        <v>36</v>
      </c>
      <c r="L54" s="532"/>
      <c r="M54" s="533">
        <f>(M45/-N42)+1</f>
        <v>1.6159817330873119</v>
      </c>
      <c r="N54" s="534"/>
      <c r="O54" s="188" t="s">
        <v>55</v>
      </c>
      <c r="Q54" s="189">
        <v>5</v>
      </c>
      <c r="R54" s="190">
        <f>S44</f>
        <v>242128.14184789191</v>
      </c>
      <c r="S54" s="191">
        <f t="shared" si="28"/>
        <v>-299549.13092761819</v>
      </c>
      <c r="T54" s="100"/>
      <c r="Y54" s="15"/>
      <c r="AA54" s="203" t="s">
        <v>31</v>
      </c>
    </row>
    <row r="55" spans="2:46">
      <c r="Q55" s="189">
        <v>6</v>
      </c>
      <c r="R55" s="190">
        <f>T29</f>
        <v>408000</v>
      </c>
      <c r="S55" s="191">
        <f t="shared" si="28"/>
        <v>108450.86907238181</v>
      </c>
      <c r="T55" s="100"/>
      <c r="Y55" s="15"/>
      <c r="AA55" s="204"/>
      <c r="AB55" s="205"/>
      <c r="AC55" s="198"/>
      <c r="AD55" s="206"/>
      <c r="AE55" s="207"/>
    </row>
    <row r="56" spans="2:46" ht="17" thickBot="1">
      <c r="B56" s="400" t="s">
        <v>86</v>
      </c>
      <c r="C56" s="400"/>
      <c r="D56" s="400"/>
      <c r="E56" s="400"/>
      <c r="F56" s="400"/>
      <c r="G56" s="400"/>
      <c r="H56" s="400"/>
      <c r="K56" s="208" t="s">
        <v>37</v>
      </c>
      <c r="L56" s="208"/>
      <c r="M56" s="209"/>
      <c r="N56" s="209"/>
      <c r="O56" s="100"/>
      <c r="Q56" s="189">
        <v>7</v>
      </c>
      <c r="R56" s="190">
        <f>U44</f>
        <v>196516.6316434477</v>
      </c>
      <c r="S56" s="191">
        <f t="shared" si="28"/>
        <v>304967.50071582955</v>
      </c>
      <c r="T56" s="100"/>
      <c r="Y56" s="15"/>
      <c r="AA56" s="210"/>
      <c r="AB56" s="211" t="str">
        <f>AB39</f>
        <v>VAN</v>
      </c>
      <c r="AC56" s="212">
        <f>AC39</f>
        <v>719764.10817960114</v>
      </c>
      <c r="AD56" s="213"/>
      <c r="AE56" s="214"/>
    </row>
    <row r="57" spans="2:46" ht="17" thickBot="1">
      <c r="K57" s="204"/>
      <c r="L57" s="205"/>
      <c r="M57" s="198" t="s">
        <v>64</v>
      </c>
      <c r="N57" s="206"/>
      <c r="O57" s="207"/>
      <c r="P57" s="100"/>
      <c r="Q57" s="215">
        <v>8</v>
      </c>
      <c r="R57" s="216">
        <f>V44</f>
        <v>702306.79796680622</v>
      </c>
      <c r="S57" s="217">
        <f t="shared" si="28"/>
        <v>1007274.2986826358</v>
      </c>
      <c r="T57" s="100"/>
      <c r="Y57" s="15"/>
      <c r="AA57" s="210"/>
      <c r="AB57" s="211" t="str">
        <f>AR39</f>
        <v>VAN</v>
      </c>
      <c r="AC57" s="212">
        <f>AS39</f>
        <v>935651.81234422687</v>
      </c>
      <c r="AD57" s="213"/>
      <c r="AE57" s="214"/>
    </row>
    <row r="58" spans="2:46">
      <c r="B58" s="7" t="s">
        <v>63</v>
      </c>
      <c r="K58" s="210" t="s">
        <v>43</v>
      </c>
      <c r="L58" s="208"/>
      <c r="M58" s="218">
        <v>0.22</v>
      </c>
      <c r="N58" s="213" t="s">
        <v>44</v>
      </c>
      <c r="O58" s="214">
        <f>NPV(M58,O42:V42)+N42</f>
        <v>12464.91275245999</v>
      </c>
      <c r="P58" s="218"/>
      <c r="Q58" s="219" t="s">
        <v>69</v>
      </c>
      <c r="R58" s="144" t="s">
        <v>70</v>
      </c>
      <c r="S58" s="54"/>
      <c r="T58" s="100"/>
      <c r="Y58" s="15"/>
      <c r="AA58" s="210"/>
      <c r="AB58" s="208"/>
      <c r="AC58" s="100"/>
      <c r="AD58" s="100"/>
      <c r="AE58" s="220"/>
    </row>
    <row r="59" spans="2:46" ht="17" thickBot="1">
      <c r="K59" s="210" t="s">
        <v>45</v>
      </c>
      <c r="L59" s="208"/>
      <c r="M59" s="218">
        <v>0.23</v>
      </c>
      <c r="N59" s="213" t="s">
        <v>46</v>
      </c>
      <c r="O59" s="214">
        <f>NPV(M59,O42:V42)+N42</f>
        <v>-37307.617119209375</v>
      </c>
      <c r="P59" s="218"/>
      <c r="Q59" s="221">
        <f>Q54</f>
        <v>5</v>
      </c>
      <c r="R59" s="222">
        <f>(-S54/R55)*365</f>
        <v>267.97900193279571</v>
      </c>
      <c r="S59" s="54"/>
      <c r="T59" s="188" t="s">
        <v>55</v>
      </c>
      <c r="Y59" s="15"/>
      <c r="AA59" s="210"/>
      <c r="AB59" s="208"/>
      <c r="AC59" s="100"/>
      <c r="AD59" s="209"/>
      <c r="AE59" s="220"/>
    </row>
    <row r="60" spans="2:46" ht="17" thickBot="1">
      <c r="B60" s="7" t="s">
        <v>109</v>
      </c>
      <c r="K60" s="210"/>
      <c r="L60" s="208"/>
      <c r="M60" s="100"/>
      <c r="N60" s="100"/>
      <c r="O60" s="220"/>
      <c r="P60" s="223"/>
      <c r="S60" s="224"/>
      <c r="Y60" s="15"/>
      <c r="AA60" s="225"/>
      <c r="AB60" s="182"/>
      <c r="AC60" s="519" t="s">
        <v>116</v>
      </c>
      <c r="AD60" s="520"/>
      <c r="AE60" s="226">
        <f>-(1-(AC57/AC56))</f>
        <v>0.29994230291732715</v>
      </c>
    </row>
    <row r="61" spans="2:46" ht="17" thickBot="1">
      <c r="K61" s="210"/>
      <c r="L61" s="208"/>
      <c r="M61" s="100"/>
      <c r="N61" s="209"/>
      <c r="O61" s="220"/>
      <c r="P61" s="227"/>
      <c r="Y61" s="15"/>
      <c r="AA61" s="521" t="s">
        <v>117</v>
      </c>
      <c r="AB61" s="522"/>
      <c r="AC61" s="522"/>
      <c r="AD61" s="522"/>
      <c r="AE61" s="523"/>
    </row>
    <row r="62" spans="2:46" ht="17" thickBot="1">
      <c r="B62" s="453" t="s">
        <v>85</v>
      </c>
      <c r="C62" s="453"/>
      <c r="D62" s="453"/>
      <c r="E62" s="453"/>
      <c r="F62" s="453"/>
      <c r="G62" s="453"/>
      <c r="H62" s="453"/>
      <c r="K62" s="228"/>
      <c r="L62" s="229"/>
      <c r="M62" s="229"/>
      <c r="N62" s="230" t="s">
        <v>47</v>
      </c>
      <c r="O62" s="231">
        <f>M58+((O58/(O58-O59))*(M59-M58))</f>
        <v>0.22250437596493464</v>
      </c>
      <c r="P62" s="188" t="s">
        <v>55</v>
      </c>
      <c r="Y62" s="15"/>
      <c r="AA62" s="524"/>
      <c r="AB62" s="525"/>
      <c r="AC62" s="525"/>
      <c r="AD62" s="525"/>
      <c r="AE62" s="526"/>
    </row>
    <row r="63" spans="2:46" ht="17" thickBot="1">
      <c r="B63" s="453" t="s">
        <v>82</v>
      </c>
      <c r="C63" s="453"/>
      <c r="D63" s="453"/>
      <c r="E63" s="453"/>
      <c r="F63" s="453"/>
      <c r="G63" s="453"/>
      <c r="H63" s="453"/>
      <c r="K63" s="100"/>
      <c r="L63" s="100"/>
      <c r="M63" s="100"/>
      <c r="N63" s="209"/>
      <c r="O63" s="232">
        <f>IRR(N42:V42)</f>
        <v>0.22245054001201181</v>
      </c>
      <c r="P63" s="100"/>
      <c r="Y63" s="15"/>
      <c r="AA63" s="527"/>
      <c r="AB63" s="528"/>
      <c r="AC63" s="528"/>
      <c r="AD63" s="528"/>
      <c r="AE63" s="529"/>
    </row>
    <row r="64" spans="2:46">
      <c r="B64" s="453" t="s">
        <v>118</v>
      </c>
      <c r="C64" s="453"/>
      <c r="D64" s="453"/>
      <c r="E64" s="453"/>
      <c r="F64" s="453"/>
      <c r="G64" s="453"/>
      <c r="H64" s="453"/>
      <c r="Y64" s="15"/>
    </row>
    <row r="65" spans="2:25" ht="17" thickBot="1">
      <c r="B65" s="453" t="s">
        <v>83</v>
      </c>
      <c r="C65" s="453"/>
      <c r="D65" s="453"/>
      <c r="E65" s="453"/>
      <c r="F65" s="453"/>
      <c r="G65" s="453"/>
      <c r="H65" s="453"/>
      <c r="K65" s="99" t="s">
        <v>39</v>
      </c>
      <c r="L65" s="100"/>
      <c r="M65" s="100"/>
      <c r="N65" s="100"/>
      <c r="O65" s="100"/>
      <c r="P65" s="100"/>
      <c r="Q65" s="100"/>
      <c r="R65" s="100"/>
      <c r="S65" s="100"/>
      <c r="T65" s="100"/>
      <c r="U65" s="100"/>
      <c r="Y65" s="15"/>
    </row>
    <row r="66" spans="2:25" ht="16" customHeight="1">
      <c r="B66" s="449" t="s">
        <v>119</v>
      </c>
      <c r="C66" s="449"/>
      <c r="D66" s="449"/>
      <c r="E66" s="449"/>
      <c r="F66" s="449"/>
      <c r="G66" s="449"/>
      <c r="H66" s="449"/>
      <c r="K66" s="197" t="s">
        <v>48</v>
      </c>
      <c r="L66" s="206"/>
      <c r="M66" s="233">
        <v>0.1</v>
      </c>
      <c r="N66" s="198"/>
      <c r="O66" s="198"/>
      <c r="P66" s="198"/>
      <c r="Q66" s="198"/>
      <c r="R66" s="198"/>
      <c r="S66" s="198"/>
      <c r="T66" s="198"/>
      <c r="U66" s="198"/>
      <c r="V66" s="198"/>
      <c r="W66" s="207"/>
      <c r="Y66" s="15"/>
    </row>
    <row r="67" spans="2:25">
      <c r="B67" s="449"/>
      <c r="C67" s="449"/>
      <c r="D67" s="449"/>
      <c r="E67" s="449"/>
      <c r="F67" s="449"/>
      <c r="G67" s="449"/>
      <c r="H67" s="449"/>
      <c r="K67" s="201" t="s">
        <v>2</v>
      </c>
      <c r="L67" s="209"/>
      <c r="M67" s="234">
        <f>M43</f>
        <v>0.11</v>
      </c>
      <c r="N67" s="100"/>
      <c r="O67" s="100"/>
      <c r="P67" s="100"/>
      <c r="Q67" s="100"/>
      <c r="R67" s="100"/>
      <c r="S67" s="100"/>
      <c r="T67" s="100"/>
      <c r="U67" s="100"/>
      <c r="V67" s="100"/>
      <c r="W67" s="220"/>
      <c r="Y67" s="15"/>
    </row>
    <row r="68" spans="2:25">
      <c r="B68" s="453" t="s">
        <v>84</v>
      </c>
      <c r="C68" s="453"/>
      <c r="D68" s="453"/>
      <c r="E68" s="453"/>
      <c r="F68" s="453"/>
      <c r="G68" s="453"/>
      <c r="H68" s="453"/>
      <c r="K68" s="201"/>
      <c r="L68" s="209"/>
      <c r="M68" s="235">
        <v>0</v>
      </c>
      <c r="N68" s="99">
        <v>1</v>
      </c>
      <c r="O68" s="99">
        <v>2</v>
      </c>
      <c r="P68" s="99">
        <v>3</v>
      </c>
      <c r="Q68" s="99">
        <v>4</v>
      </c>
      <c r="R68" s="99">
        <v>5</v>
      </c>
      <c r="S68" s="99">
        <v>6</v>
      </c>
      <c r="T68" s="99">
        <v>7</v>
      </c>
      <c r="U68" s="99">
        <v>8</v>
      </c>
      <c r="V68" s="99"/>
      <c r="W68" s="236"/>
      <c r="Y68" s="15"/>
    </row>
    <row r="69" spans="2:25">
      <c r="B69" s="453" t="s">
        <v>87</v>
      </c>
      <c r="C69" s="453"/>
      <c r="D69" s="453"/>
      <c r="E69" s="453"/>
      <c r="F69" s="453"/>
      <c r="G69" s="453"/>
      <c r="H69" s="453"/>
      <c r="K69" s="237"/>
      <c r="L69" s="209"/>
      <c r="M69" s="100"/>
      <c r="N69" s="238">
        <f>(1+$M$66)^($U$68-N68)</f>
        <v>1.9487171000000012</v>
      </c>
      <c r="O69" s="238">
        <f t="shared" ref="O69:U69" si="29">(1+$M$66)^($U$68-O68)</f>
        <v>1.7715610000000008</v>
      </c>
      <c r="P69" s="238">
        <f t="shared" si="29"/>
        <v>1.6105100000000006</v>
      </c>
      <c r="Q69" s="238">
        <f t="shared" si="29"/>
        <v>1.4641000000000004</v>
      </c>
      <c r="R69" s="238">
        <f t="shared" si="29"/>
        <v>1.3310000000000004</v>
      </c>
      <c r="S69" s="238">
        <f t="shared" si="29"/>
        <v>1.2100000000000002</v>
      </c>
      <c r="T69" s="238">
        <f t="shared" si="29"/>
        <v>1.1000000000000001</v>
      </c>
      <c r="U69" s="238">
        <f t="shared" si="29"/>
        <v>1</v>
      </c>
      <c r="V69" s="238"/>
      <c r="W69" s="239"/>
      <c r="Y69" s="15"/>
    </row>
    <row r="70" spans="2:25">
      <c r="B70" s="453" t="s">
        <v>56</v>
      </c>
      <c r="C70" s="453"/>
      <c r="D70" s="453"/>
      <c r="E70" s="453"/>
      <c r="F70" s="453"/>
      <c r="G70" s="453"/>
      <c r="H70" s="453"/>
      <c r="K70" s="237"/>
      <c r="L70" s="209"/>
      <c r="M70" s="100" t="s">
        <v>49</v>
      </c>
      <c r="N70" s="227">
        <f t="shared" ref="N70:U70" si="30">O42*N69</f>
        <v>505692.08745000028</v>
      </c>
      <c r="O70" s="227">
        <f t="shared" si="30"/>
        <v>459720.07950000023</v>
      </c>
      <c r="P70" s="227">
        <f t="shared" si="30"/>
        <v>417927.34500000015</v>
      </c>
      <c r="Q70" s="227">
        <f t="shared" si="30"/>
        <v>336010.95000000007</v>
      </c>
      <c r="R70" s="227">
        <f t="shared" si="30"/>
        <v>543048.00000000012</v>
      </c>
      <c r="S70" s="227">
        <f t="shared" si="30"/>
        <v>493680.00000000006</v>
      </c>
      <c r="T70" s="227">
        <f t="shared" si="30"/>
        <v>448800.00000000006</v>
      </c>
      <c r="U70" s="227">
        <f t="shared" si="30"/>
        <v>1618492.5418439114</v>
      </c>
      <c r="V70" s="227"/>
      <c r="W70" s="214"/>
      <c r="Y70" s="15"/>
    </row>
    <row r="71" spans="2:25">
      <c r="K71" s="201" t="s">
        <v>50</v>
      </c>
      <c r="L71" s="240">
        <f>SUM(N70:U70)</f>
        <v>4823371.003793912</v>
      </c>
      <c r="M71" s="213"/>
      <c r="N71" s="213"/>
      <c r="O71" s="213"/>
      <c r="P71" s="213"/>
      <c r="Q71" s="213"/>
      <c r="R71" s="209"/>
      <c r="S71" s="209"/>
      <c r="T71" s="209"/>
      <c r="U71" s="100"/>
      <c r="V71" s="100"/>
      <c r="W71" s="220"/>
      <c r="Y71" s="15"/>
    </row>
    <row r="72" spans="2:25">
      <c r="B72" s="7" t="s">
        <v>107</v>
      </c>
      <c r="K72" s="201" t="s">
        <v>51</v>
      </c>
      <c r="L72" s="240">
        <f>N44</f>
        <v>-1327000</v>
      </c>
      <c r="M72" s="100"/>
      <c r="N72" s="100"/>
      <c r="O72" s="100"/>
      <c r="P72" s="100"/>
      <c r="Q72" s="100"/>
      <c r="R72" s="209"/>
      <c r="S72" s="209"/>
      <c r="T72" s="209"/>
      <c r="U72" s="100"/>
      <c r="V72" s="100"/>
      <c r="W72" s="220"/>
      <c r="Y72" s="15"/>
    </row>
    <row r="73" spans="2:25">
      <c r="B73" s="8" t="s">
        <v>8</v>
      </c>
      <c r="K73" s="237"/>
      <c r="L73" s="100"/>
      <c r="M73" s="100"/>
      <c r="N73" s="100"/>
      <c r="O73" s="100"/>
      <c r="P73" s="100"/>
      <c r="Q73" s="100"/>
      <c r="R73" s="100"/>
      <c r="S73" s="100"/>
      <c r="T73" s="100"/>
      <c r="U73" s="100"/>
      <c r="V73" s="100"/>
      <c r="W73" s="220"/>
      <c r="Y73" s="15"/>
    </row>
    <row r="74" spans="2:25" ht="17" thickBot="1">
      <c r="B74" s="8" t="s">
        <v>110</v>
      </c>
      <c r="K74" s="237"/>
      <c r="L74" s="100" t="s">
        <v>52</v>
      </c>
      <c r="M74" s="223">
        <f>((L71/-L72)^(1/U68))-1</f>
        <v>0.17505979813414729</v>
      </c>
      <c r="N74" s="100"/>
      <c r="O74" s="100"/>
      <c r="P74" s="100"/>
      <c r="Q74" s="100"/>
      <c r="R74" s="100"/>
      <c r="S74" s="100"/>
      <c r="T74" s="100"/>
      <c r="U74" s="100"/>
      <c r="V74" s="100"/>
      <c r="W74" s="220"/>
      <c r="Y74" s="15"/>
    </row>
    <row r="75" spans="2:25" ht="17" customHeight="1" thickBot="1">
      <c r="B75" s="449" t="s">
        <v>111</v>
      </c>
      <c r="C75" s="449"/>
      <c r="D75" s="449"/>
      <c r="E75" s="449"/>
      <c r="F75" s="449"/>
      <c r="G75" s="449"/>
      <c r="H75" s="449"/>
      <c r="K75" s="228"/>
      <c r="L75" s="229"/>
      <c r="M75" s="229"/>
      <c r="N75" s="229"/>
      <c r="O75" s="229"/>
      <c r="P75" s="229"/>
      <c r="Q75" s="229"/>
      <c r="R75" s="229"/>
      <c r="S75" s="229"/>
      <c r="T75" s="229"/>
      <c r="U75" s="229"/>
      <c r="V75" s="241" t="s">
        <v>52</v>
      </c>
      <c r="W75" s="231">
        <f>M74</f>
        <v>0.17505979813414729</v>
      </c>
      <c r="X75" s="188" t="s">
        <v>55</v>
      </c>
      <c r="Y75" s="15"/>
    </row>
    <row r="76" spans="2:25">
      <c r="B76" s="449"/>
      <c r="C76" s="449"/>
      <c r="D76" s="449"/>
      <c r="E76" s="449"/>
      <c r="F76" s="449"/>
      <c r="G76" s="449"/>
      <c r="H76" s="449"/>
      <c r="W76" s="242">
        <f>MIRR(N42:V42,M67,M66)</f>
        <v>0.17505979813414729</v>
      </c>
      <c r="Y76" s="15"/>
    </row>
    <row r="77" spans="2:25">
      <c r="B77" s="8" t="s">
        <v>112</v>
      </c>
      <c r="Y77" s="15"/>
    </row>
    <row r="78" spans="2:25" ht="17" thickBot="1">
      <c r="B78" s="451" t="s">
        <v>113</v>
      </c>
      <c r="C78" s="451"/>
      <c r="D78" s="451"/>
      <c r="E78" s="451"/>
      <c r="F78" s="451"/>
      <c r="G78" s="451"/>
      <c r="H78" s="451"/>
      <c r="K78" s="208" t="s">
        <v>88</v>
      </c>
      <c r="L78" s="208"/>
      <c r="M78" s="209"/>
      <c r="N78" s="209"/>
      <c r="O78" s="100"/>
      <c r="Y78" s="15"/>
    </row>
    <row r="79" spans="2:25">
      <c r="B79" s="451"/>
      <c r="C79" s="451"/>
      <c r="D79" s="451"/>
      <c r="E79" s="451"/>
      <c r="F79" s="451"/>
      <c r="G79" s="451"/>
      <c r="H79" s="451"/>
      <c r="K79" s="454"/>
      <c r="L79" s="455"/>
      <c r="M79" s="455"/>
      <c r="N79" s="455"/>
      <c r="O79" s="455"/>
      <c r="P79" s="455"/>
      <c r="Q79" s="456"/>
      <c r="Y79" s="15"/>
    </row>
    <row r="80" spans="2:25" ht="16" customHeight="1">
      <c r="B80" s="451" t="s">
        <v>114</v>
      </c>
      <c r="C80" s="451"/>
      <c r="D80" s="451"/>
      <c r="E80" s="451"/>
      <c r="F80" s="451"/>
      <c r="G80" s="451"/>
      <c r="H80" s="451"/>
      <c r="K80" s="457"/>
      <c r="L80" s="458"/>
      <c r="M80" s="458"/>
      <c r="N80" s="458"/>
      <c r="O80" s="458"/>
      <c r="P80" s="458"/>
      <c r="Q80" s="459"/>
      <c r="Y80" s="15"/>
    </row>
    <row r="81" spans="2:25" ht="14" customHeight="1">
      <c r="B81" s="451"/>
      <c r="C81" s="451"/>
      <c r="D81" s="451"/>
      <c r="E81" s="451"/>
      <c r="F81" s="451"/>
      <c r="G81" s="451"/>
      <c r="H81" s="451"/>
      <c r="K81" s="457"/>
      <c r="L81" s="458"/>
      <c r="M81" s="458"/>
      <c r="N81" s="458"/>
      <c r="O81" s="458"/>
      <c r="P81" s="458"/>
      <c r="Q81" s="459"/>
      <c r="Y81" s="15"/>
    </row>
    <row r="82" spans="2:25" ht="15" customHeight="1" thickBot="1">
      <c r="B82" s="451"/>
      <c r="C82" s="451"/>
      <c r="D82" s="451"/>
      <c r="E82" s="451"/>
      <c r="F82" s="451"/>
      <c r="G82" s="451"/>
      <c r="H82" s="451"/>
      <c r="K82" s="460"/>
      <c r="L82" s="461"/>
      <c r="M82" s="461"/>
      <c r="N82" s="461"/>
      <c r="O82" s="461"/>
      <c r="P82" s="461"/>
      <c r="Q82" s="462"/>
      <c r="Y82" s="15"/>
    </row>
    <row r="83" spans="2:25">
      <c r="B83" s="451"/>
      <c r="C83" s="451"/>
      <c r="D83" s="451"/>
      <c r="E83" s="451"/>
      <c r="F83" s="451"/>
      <c r="G83" s="451"/>
      <c r="H83" s="451"/>
      <c r="K83" s="192"/>
      <c r="L83" s="192"/>
      <c r="M83" s="84"/>
      <c r="N83" s="243"/>
      <c r="O83" s="84"/>
      <c r="P83" s="227"/>
    </row>
    <row r="84" spans="2:25">
      <c r="K84" s="84"/>
      <c r="L84" s="84"/>
      <c r="M84" s="84"/>
      <c r="N84" s="26"/>
      <c r="O84" s="244"/>
      <c r="P84" s="188"/>
    </row>
    <row r="85" spans="2:25">
      <c r="B85" s="8" t="s">
        <v>31</v>
      </c>
      <c r="K85" s="100"/>
      <c r="L85" s="100"/>
      <c r="M85" s="100"/>
      <c r="N85" s="209"/>
      <c r="O85" s="232"/>
      <c r="P85" s="100"/>
    </row>
    <row r="86" spans="2:25">
      <c r="B86" s="447" t="s">
        <v>115</v>
      </c>
      <c r="C86" s="447"/>
      <c r="D86" s="447"/>
      <c r="E86" s="447"/>
      <c r="F86" s="447"/>
      <c r="G86" s="447"/>
      <c r="H86" s="447"/>
      <c r="I86" s="447"/>
    </row>
    <row r="87" spans="2:25">
      <c r="B87" s="447"/>
      <c r="C87" s="447"/>
      <c r="D87" s="447"/>
      <c r="E87" s="447"/>
      <c r="F87" s="447"/>
      <c r="G87" s="447"/>
      <c r="H87" s="447"/>
      <c r="I87" s="447"/>
    </row>
    <row r="88" spans="2:25">
      <c r="X88" s="100"/>
    </row>
    <row r="89" spans="2:25">
      <c r="S89" s="100"/>
      <c r="T89" s="100"/>
      <c r="U89" s="100"/>
    </row>
    <row r="90" spans="2:25">
      <c r="S90" s="100"/>
      <c r="T90" s="100"/>
      <c r="U90" s="100"/>
    </row>
    <row r="91" spans="2:25">
      <c r="S91" s="100"/>
      <c r="T91" s="100"/>
      <c r="U91" s="100"/>
    </row>
    <row r="92" spans="2:25">
      <c r="S92" s="100"/>
      <c r="T92" s="100"/>
      <c r="U92" s="100"/>
    </row>
    <row r="93" spans="2:25">
      <c r="S93" s="100"/>
      <c r="T93" s="100"/>
      <c r="U93" s="100"/>
    </row>
    <row r="94" spans="2:25">
      <c r="S94" s="100"/>
      <c r="T94" s="100"/>
      <c r="U94" s="100"/>
    </row>
    <row r="95" spans="2:25">
      <c r="Q95" s="100"/>
      <c r="R95" s="100"/>
      <c r="S95" s="100"/>
      <c r="T95" s="100"/>
      <c r="U95" s="100"/>
    </row>
    <row r="111" spans="2:2">
      <c r="B111" s="7"/>
    </row>
  </sheetData>
  <mergeCells count="131">
    <mergeCell ref="K79:Q82"/>
    <mergeCell ref="B80:H83"/>
    <mergeCell ref="B86:I87"/>
    <mergeCell ref="B66:H67"/>
    <mergeCell ref="B68:H68"/>
    <mergeCell ref="B69:H69"/>
    <mergeCell ref="B70:H70"/>
    <mergeCell ref="B75:H76"/>
    <mergeCell ref="B78:H79"/>
    <mergeCell ref="AC60:AD60"/>
    <mergeCell ref="AA61:AE63"/>
    <mergeCell ref="B62:H62"/>
    <mergeCell ref="B63:H63"/>
    <mergeCell ref="B64:H64"/>
    <mergeCell ref="B65:H65"/>
    <mergeCell ref="B49:H54"/>
    <mergeCell ref="K49:L49"/>
    <mergeCell ref="M49:N49"/>
    <mergeCell ref="K54:L54"/>
    <mergeCell ref="M54:N54"/>
    <mergeCell ref="B56:H56"/>
    <mergeCell ref="K44:L44"/>
    <mergeCell ref="B45:H48"/>
    <mergeCell ref="K45:L45"/>
    <mergeCell ref="M45:N45"/>
    <mergeCell ref="K47:L47"/>
    <mergeCell ref="K48:L48"/>
    <mergeCell ref="M48:N48"/>
    <mergeCell ref="K40:L40"/>
    <mergeCell ref="K41:L41"/>
    <mergeCell ref="K42:L42"/>
    <mergeCell ref="AA42:AB42"/>
    <mergeCell ref="AQ42:AR42"/>
    <mergeCell ref="K43:L43"/>
    <mergeCell ref="AQ36:AR36"/>
    <mergeCell ref="K37:L37"/>
    <mergeCell ref="AA37:AB37"/>
    <mergeCell ref="AQ37:AR37"/>
    <mergeCell ref="K38:L38"/>
    <mergeCell ref="K39:L39"/>
    <mergeCell ref="C36:C38"/>
    <mergeCell ref="D36:D38"/>
    <mergeCell ref="E36:E38"/>
    <mergeCell ref="F36:F38"/>
    <mergeCell ref="K36:L36"/>
    <mergeCell ref="AA36:AB36"/>
    <mergeCell ref="K34:L34"/>
    <mergeCell ref="AA34:AB34"/>
    <mergeCell ref="AQ34:AR34"/>
    <mergeCell ref="C35:D35"/>
    <mergeCell ref="E35:F35"/>
    <mergeCell ref="K35:L35"/>
    <mergeCell ref="AA35:AB35"/>
    <mergeCell ref="AQ35:AR35"/>
    <mergeCell ref="K32:L32"/>
    <mergeCell ref="AA32:AB32"/>
    <mergeCell ref="AQ32:AR32"/>
    <mergeCell ref="K33:L33"/>
    <mergeCell ref="AA33:AB33"/>
    <mergeCell ref="AQ33:AR33"/>
    <mergeCell ref="B29:H33"/>
    <mergeCell ref="K29:M29"/>
    <mergeCell ref="AA29:AB29"/>
    <mergeCell ref="AQ29:AR29"/>
    <mergeCell ref="K30:L30"/>
    <mergeCell ref="AA30:AB30"/>
    <mergeCell ref="AQ30:AR30"/>
    <mergeCell ref="K31:L31"/>
    <mergeCell ref="AA31:AB31"/>
    <mergeCell ref="AQ31:AR31"/>
    <mergeCell ref="K27:L27"/>
    <mergeCell ref="AA27:AB27"/>
    <mergeCell ref="AQ27:AR27"/>
    <mergeCell ref="K28:L28"/>
    <mergeCell ref="AA28:AB28"/>
    <mergeCell ref="AQ28:AR28"/>
    <mergeCell ref="B24:H28"/>
    <mergeCell ref="K24:L24"/>
    <mergeCell ref="AA24:AB24"/>
    <mergeCell ref="AQ24:AR24"/>
    <mergeCell ref="K25:L25"/>
    <mergeCell ref="AA25:AB25"/>
    <mergeCell ref="AQ25:AR25"/>
    <mergeCell ref="K26:L26"/>
    <mergeCell ref="AA26:AB26"/>
    <mergeCell ref="AQ26:AR26"/>
    <mergeCell ref="B20:H23"/>
    <mergeCell ref="AA20:AB20"/>
    <mergeCell ref="AQ20:AR20"/>
    <mergeCell ref="AA21:AB21"/>
    <mergeCell ref="AQ21:AR21"/>
    <mergeCell ref="AA22:AB22"/>
    <mergeCell ref="AQ22:AR22"/>
    <mergeCell ref="AA23:AB23"/>
    <mergeCell ref="AQ23:AR23"/>
    <mergeCell ref="AQ15:AR15"/>
    <mergeCell ref="AA16:AB16"/>
    <mergeCell ref="AQ16:AR16"/>
    <mergeCell ref="B17:H19"/>
    <mergeCell ref="AA17:AB17"/>
    <mergeCell ref="AQ17:AR17"/>
    <mergeCell ref="AA18:AB18"/>
    <mergeCell ref="AQ18:AR18"/>
    <mergeCell ref="AA19:AB19"/>
    <mergeCell ref="AQ19:AR19"/>
    <mergeCell ref="B11:H16"/>
    <mergeCell ref="AA11:AB11"/>
    <mergeCell ref="AQ11:AR11"/>
    <mergeCell ref="AA12:AB12"/>
    <mergeCell ref="AQ12:AR12"/>
    <mergeCell ref="AA13:AB13"/>
    <mergeCell ref="AQ13:AR13"/>
    <mergeCell ref="AA14:AB14"/>
    <mergeCell ref="AQ14:AR14"/>
    <mergeCell ref="AA15:AB15"/>
    <mergeCell ref="AA8:AB8"/>
    <mergeCell ref="AQ8:AR8"/>
    <mergeCell ref="AA9:AB9"/>
    <mergeCell ref="AQ9:AR9"/>
    <mergeCell ref="AA10:AB10"/>
    <mergeCell ref="AQ10:AR10"/>
    <mergeCell ref="E1:F1"/>
    <mergeCell ref="B2:F2"/>
    <mergeCell ref="G2:H2"/>
    <mergeCell ref="B3:H10"/>
    <mergeCell ref="AA5:AB5"/>
    <mergeCell ref="AQ5:AR5"/>
    <mergeCell ref="AA6:AB6"/>
    <mergeCell ref="AQ6:AR6"/>
    <mergeCell ref="AA7:AB7"/>
    <mergeCell ref="AQ7:AR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Feuilles de calcul</vt:lpstr>
      </vt:variant>
      <vt:variant>
        <vt:i4>5</vt:i4>
      </vt:variant>
    </vt:vector>
  </HeadingPairs>
  <TitlesOfParts>
    <vt:vector size="5" baseType="lpstr">
      <vt:lpstr>Directives</vt:lpstr>
      <vt:lpstr>Ennoncé</vt:lpstr>
      <vt:lpstr>Feuil3</vt:lpstr>
      <vt:lpstr>Feuil4</vt:lpstr>
      <vt:lpstr>Feuil5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Anas Ramdani</dc:creator>
  <cp:lastModifiedBy>Christopher Rose</cp:lastModifiedBy>
  <dcterms:created xsi:type="dcterms:W3CDTF">2020-03-12T19:48:50Z</dcterms:created>
  <dcterms:modified xsi:type="dcterms:W3CDTF">2020-06-18T13:10:18Z</dcterms:modified>
</cp:coreProperties>
</file>