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Laurent\Documents\Polytechnique\Économie\TP\"/>
    </mc:Choice>
  </mc:AlternateContent>
  <xr:revisionPtr revIDLastSave="0" documentId="13_ncr:1_{CFB9F0E1-ACF2-454C-882F-BD91F7575A94}" xr6:coauthVersionLast="46" xr6:coauthVersionMax="46" xr10:uidLastSave="{00000000-0000-0000-0000-000000000000}"/>
  <bookViews>
    <workbookView xWindow="-98" yWindow="-98" windowWidth="20715" windowHeight="13276" xr2:uid="{643877A0-6DE1-B544-A7AC-5222C99E1B04}"/>
  </bookViews>
  <sheets>
    <sheet name="Énoncé"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1" i="1" l="1"/>
  <c r="T18" i="1"/>
  <c r="U18" i="1"/>
  <c r="V18" i="1"/>
  <c r="W18" i="1"/>
  <c r="X18" i="1"/>
  <c r="Y18" i="1"/>
  <c r="S18" i="1"/>
  <c r="X17" i="1"/>
  <c r="Y17" i="1"/>
  <c r="W17" i="1"/>
  <c r="U17" i="1"/>
  <c r="V17" i="1"/>
  <c r="T17" i="1"/>
  <c r="Y53" i="1"/>
  <c r="U53" i="1"/>
  <c r="Y16" i="1"/>
  <c r="X16" i="1"/>
  <c r="X19" i="1" s="1"/>
  <c r="W16" i="1"/>
  <c r="V16" i="1"/>
  <c r="V19" i="1" s="1"/>
  <c r="U16" i="1"/>
  <c r="T16" i="1"/>
  <c r="T19" i="1" s="1"/>
  <c r="S28" i="1"/>
  <c r="S31" i="1"/>
  <c r="U46" i="1"/>
  <c r="V46" i="1"/>
  <c r="W46" i="1"/>
  <c r="X46" i="1"/>
  <c r="Y46" i="1"/>
  <c r="T46" i="1"/>
  <c r="Y21" i="1"/>
  <c r="X21" i="1"/>
  <c r="W21" i="1"/>
  <c r="V21" i="1"/>
  <c r="U21" i="1"/>
  <c r="T21" i="1"/>
  <c r="S20" i="1"/>
  <c r="Z5" i="1"/>
  <c r="Z4" i="1"/>
  <c r="U19" i="1" l="1"/>
  <c r="U20" i="1" s="1"/>
  <c r="Y19" i="1"/>
  <c r="Y20" i="1" s="1"/>
  <c r="W19" i="1"/>
  <c r="W20" i="1" s="1"/>
  <c r="V20" i="1"/>
  <c r="X20" i="1"/>
  <c r="T20" i="1"/>
  <c r="U10" i="1" l="1"/>
  <c r="U12" i="1"/>
  <c r="Y36" i="1" s="1"/>
  <c r="U11" i="1"/>
  <c r="T12" i="1"/>
  <c r="S30" i="1" s="1"/>
  <c r="T11" i="1"/>
  <c r="Y34" i="1" l="1"/>
  <c r="Z7" i="1"/>
  <c r="Z11" i="1" s="1"/>
  <c r="Y40" i="1" s="1"/>
  <c r="Z6" i="1"/>
  <c r="Z12" i="1" s="1"/>
  <c r="Y35" i="1"/>
  <c r="Y6" i="1"/>
  <c r="S29" i="1"/>
  <c r="S45" i="1" s="1"/>
  <c r="S47" i="1" s="1"/>
  <c r="W22" i="1"/>
  <c r="W23" i="1" s="1"/>
  <c r="W24" i="1" s="1"/>
  <c r="W25" i="1" s="1"/>
  <c r="W26" i="1" s="1"/>
  <c r="W45" i="1" s="1"/>
  <c r="W47" i="1" s="1"/>
  <c r="V22" i="1"/>
  <c r="V23" i="1" s="1"/>
  <c r="V24" i="1" s="1"/>
  <c r="V25" i="1" s="1"/>
  <c r="V26" i="1" s="1"/>
  <c r="V45" i="1" s="1"/>
  <c r="V47" i="1" s="1"/>
  <c r="X22" i="1"/>
  <c r="X23" i="1" s="1"/>
  <c r="X24" i="1" s="1"/>
  <c r="X25" i="1" s="1"/>
  <c r="X26" i="1" s="1"/>
  <c r="X45" i="1" s="1"/>
  <c r="X47" i="1" s="1"/>
  <c r="Y4" i="1"/>
  <c r="T22" i="1"/>
  <c r="T23" i="1" s="1"/>
  <c r="T24" i="1" s="1"/>
  <c r="T25" i="1" s="1"/>
  <c r="T26" i="1" s="1"/>
  <c r="T45" i="1" s="1"/>
  <c r="T47" i="1" s="1"/>
  <c r="Y5" i="1"/>
  <c r="Y7" i="1" s="1"/>
  <c r="Y22" i="1"/>
  <c r="Y23" i="1" s="1"/>
  <c r="Y24" i="1" s="1"/>
  <c r="Y25" i="1" s="1"/>
  <c r="Y26" i="1" s="1"/>
  <c r="U22" i="1"/>
  <c r="U23" i="1" s="1"/>
  <c r="U24" i="1" s="1"/>
  <c r="U25" i="1" s="1"/>
  <c r="U26" i="1" s="1"/>
  <c r="U45" i="1" s="1"/>
  <c r="U47" i="1" s="1"/>
  <c r="Y12" i="1" l="1"/>
  <c r="Y11" i="1"/>
  <c r="Y41" i="1" s="1"/>
  <c r="Y45" i="1"/>
  <c r="Y47" i="1" s="1"/>
  <c r="Q48" i="1" s="1"/>
  <c r="T58" i="1" l="1"/>
  <c r="V58" i="1"/>
  <c r="Z58" i="1"/>
  <c r="V57" i="1"/>
  <c r="U56" i="1"/>
  <c r="Z56" i="1"/>
  <c r="X58" i="1"/>
  <c r="AA57" i="1"/>
  <c r="S56" i="1"/>
  <c r="Y56" i="1"/>
  <c r="Y58" i="1"/>
  <c r="U57" i="1"/>
  <c r="T56" i="1"/>
  <c r="S58" i="1"/>
  <c r="W58" i="1"/>
  <c r="S57" i="1"/>
  <c r="W57" i="1"/>
  <c r="Z57" i="1"/>
  <c r="V56" i="1"/>
  <c r="X56" i="1"/>
  <c r="AA58" i="1"/>
  <c r="T57" i="1"/>
  <c r="W56" i="1"/>
  <c r="U58" i="1"/>
  <c r="X57" i="1"/>
  <c r="AA56" i="1"/>
  <c r="Y57" i="1"/>
</calcChain>
</file>

<file path=xl/sharedStrings.xml><?xml version="1.0" encoding="utf-8"?>
<sst xmlns="http://schemas.openxmlformats.org/spreadsheetml/2006/main" count="103" uniqueCount="81">
  <si>
    <t>Vous travaillez depuis plus de 7 ans pour l’entreprise Buro inc. qui se spécialise dans la confection de bureaux de travail sur mesure pour les particuliers. Le télétravail étant de plus en plus normalisé, l’idée d’étendre votre offre semble aller de soi. Ces derniers mois, la compagnie a investi 18 000 $ en recherche et développement et a également engagé un consultant externe dans le but d’accélérer le processus. La facture pour le travail effectué par le consultant vient d’arriver, elle est de 15 000 $ et vous avez 30 jours pour faire le payement.</t>
  </si>
  <si>
    <t xml:space="preserve">Pour que le projet d’une durée de 6 ans puisse être réalisé, l’entreprise devra faire l’acquisition d’un nouveau bâtiment et de son terrain. Le nouvel immeuble idéal a été trouvé tout près de l’usine principale. Après analyse du compte de taxes, il est possible de constater que le terrain est évalué à 550 000 $ et que le bâtiment qui se trouve sur le terrain est évalué à 315 000 $. Après négociations, vous convenez qu’un prix acceptable pour l’acquisition du terrain et de la bâtisse serait 1 040 000 $. </t>
  </si>
  <si>
    <t xml:space="preserve">Pour que la transaction soit conclue, il sera également nécessaire de débourser des frais notariés de 3 550 $ et des droit s de mutation de 23 600 $. </t>
  </si>
  <si>
    <t>Au bout des 6 années, l’immeuble aura une valeur de revente de 275 000 $ et le terrain prendra 3% de valeur chaque année.  À la fin des 6 années, le terrain sera vendu à sa valeur marchande.</t>
  </si>
  <si>
    <t>Pour que le projet soit mené à terme, l’entreprise devra également investir dans du nouvel équipement. Ce dernier est évalué à 240 000 $, installation et formations incluses. La vie utile de cet équipement serait de 15 ans. À la fin de ces 15 années, la valeur de revente sera de 22 500 $. Pour ce genre d’équipement, il est considéré que la perte de valeur est la même chaque année.</t>
  </si>
  <si>
    <t xml:space="preserve">Après de nombreuses réunions avec le département des ventes, le département de marketing ainsi que le consultant, il est conclu que la quantité de bureaux que l’on pourrait vendre est la variable la plus incertaine du projet. Certaines valeurs pour cette variable ont donc été établies et la distribution de probabilité ont été calculées : </t>
  </si>
  <si>
    <t>Années 1 à 3 (fin d’année)</t>
  </si>
  <si>
    <t>Années 4 à 6 (fin d’année)</t>
  </si>
  <si>
    <t xml:space="preserve">Puisque la production augmentera, il sera nécessaire qu’un fonds de roulement soit dédier en début de projet. Celui sera de 25 000 $ et ce fond de roulement sera récupéré à la fin du projet. </t>
  </si>
  <si>
    <t>Le comité a déterminé que l’on pouvait s’attendre à une contribution marginal unitaire (marge sur coût variable unitaire) avant impôts de 280 $. Les charges d’exploitation fixes avant impôts, autre que l’amortissement comptable, devraient être de 115 000 $ par année pour les trois premières années et augmenteront par la suite à 195 000 $ pour les 3 années suivantes.</t>
  </si>
  <si>
    <t xml:space="preserve">Travail à faire : </t>
  </si>
  <si>
    <r>
      <t>A.</t>
    </r>
    <r>
      <rPr>
        <sz val="14"/>
        <color theme="1"/>
        <rFont val="Times New Roman"/>
        <family val="1"/>
      </rPr>
      <t xml:space="preserve">   </t>
    </r>
    <r>
      <rPr>
        <sz val="14"/>
        <color theme="1"/>
        <rFont val="Times"/>
        <family val="1"/>
      </rPr>
      <t xml:space="preserve">Calculer le coût d’acquisition et la valeur de récupération de l’équipement, du bâtiment et du terrain. </t>
    </r>
  </si>
  <si>
    <r>
      <t>B.</t>
    </r>
    <r>
      <rPr>
        <sz val="14"/>
        <color theme="1"/>
        <rFont val="Times New Roman"/>
        <family val="1"/>
      </rPr>
      <t xml:space="preserve">    </t>
    </r>
    <r>
      <rPr>
        <sz val="14"/>
        <color theme="1"/>
        <rFont val="Times"/>
        <family val="1"/>
      </rPr>
      <t xml:space="preserve">Calculer l’ajustement fiscal sur disposition d’actif en donnant le détail des calculs pour chaque catégorie avec et sans fermeture </t>
    </r>
  </si>
  <si>
    <r>
      <t>C.</t>
    </r>
    <r>
      <rPr>
        <sz val="14"/>
        <color theme="1"/>
        <rFont val="Times New Roman"/>
        <family val="1"/>
      </rPr>
      <t xml:space="preserve">    </t>
    </r>
    <r>
      <rPr>
        <sz val="14"/>
        <color theme="1"/>
        <rFont val="Times"/>
        <family val="1"/>
      </rPr>
      <t xml:space="preserve">Calculer la VAN après impôts en considérant que : </t>
    </r>
  </si>
  <si>
    <r>
      <t>-</t>
    </r>
    <r>
      <rPr>
        <sz val="14"/>
        <color theme="1"/>
        <rFont val="Times New Roman"/>
        <family val="1"/>
      </rPr>
      <t xml:space="preserve">       </t>
    </r>
    <r>
      <rPr>
        <sz val="14"/>
        <color theme="1"/>
        <rFont val="Times"/>
        <family val="1"/>
      </rPr>
      <t>Le taux de déduction pour amortissement fiscal (DPA) qui s’applique à l’équipement est de 20% calculé sur le solde non amorti</t>
    </r>
  </si>
  <si>
    <r>
      <t>-</t>
    </r>
    <r>
      <rPr>
        <sz val="14"/>
        <color theme="1"/>
        <rFont val="Times New Roman"/>
        <family val="1"/>
      </rPr>
      <t xml:space="preserve">       </t>
    </r>
    <r>
      <rPr>
        <sz val="14"/>
        <color theme="1"/>
        <rFont val="Times"/>
        <family val="1"/>
      </rPr>
      <t xml:space="preserve">Le taux de DPA qui s’applique à l’immeuble est de 3% calculé sur le solde non amorti </t>
    </r>
  </si>
  <si>
    <r>
      <t>-</t>
    </r>
    <r>
      <rPr>
        <sz val="14"/>
        <color theme="1"/>
        <rFont val="Times New Roman"/>
        <family val="1"/>
      </rPr>
      <t xml:space="preserve">       </t>
    </r>
    <r>
      <rPr>
        <sz val="14"/>
        <color theme="1"/>
        <rFont val="Times"/>
        <family val="1"/>
      </rPr>
      <t xml:space="preserve">L’entreprise est assujettie à un taux d’impôt marginal de 21,5% et son taux de rendement acceptable minimum (TRAM) est de 9% après impôt. </t>
    </r>
  </si>
  <si>
    <r>
      <t>-</t>
    </r>
    <r>
      <rPr>
        <sz val="14"/>
        <color theme="1"/>
        <rFont val="Times New Roman"/>
        <family val="1"/>
      </rPr>
      <t xml:space="preserve">       </t>
    </r>
    <r>
      <rPr>
        <sz val="14"/>
        <color theme="1"/>
        <rFont val="Times"/>
        <family val="1"/>
      </rPr>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r>
  </si>
  <si>
    <r>
      <t>D.</t>
    </r>
    <r>
      <rPr>
        <sz val="14"/>
        <color theme="1"/>
        <rFont val="Times New Roman"/>
        <family val="1"/>
      </rPr>
      <t xml:space="preserve">   </t>
    </r>
    <r>
      <rPr>
        <sz val="14"/>
        <color theme="1"/>
        <rFont val="Times"/>
        <family val="1"/>
      </rPr>
      <t xml:space="preserve">On vous demande finalement d’effectuer une analyse de sensibilité sur la contribution marginale en la faisant varier de plus de 10% (refaire le tableau) </t>
    </r>
  </si>
  <si>
    <r>
      <t>E.</t>
    </r>
    <r>
      <rPr>
        <sz val="14"/>
        <color theme="1"/>
        <rFont val="Times New Roman"/>
        <family val="1"/>
      </rPr>
      <t xml:space="preserve">    </t>
    </r>
    <r>
      <rPr>
        <sz val="14"/>
        <color theme="1"/>
        <rFont val="Times"/>
        <family val="1"/>
      </rPr>
      <t>Tirer une conclusion sur le projet. Indiquer l’impact en % sur la VAN.</t>
    </r>
  </si>
  <si>
    <t>TP 5 - VAN après impôts</t>
  </si>
  <si>
    <t>a) Coût d'acquisition et valeur de récupération</t>
  </si>
  <si>
    <t>b) Ajustement fiscal sur disposition d'actif</t>
  </si>
  <si>
    <t>Ajustement fiscal des valeur de récupération</t>
  </si>
  <si>
    <t>Immeuble</t>
  </si>
  <si>
    <t>Équipements</t>
  </si>
  <si>
    <t xml:space="preserve">Débours </t>
  </si>
  <si>
    <t>Valeur de récupération</t>
  </si>
  <si>
    <t xml:space="preserve">Équipement </t>
  </si>
  <si>
    <t>Ajustement fiscal avec fermeture</t>
  </si>
  <si>
    <t>Terrain</t>
  </si>
  <si>
    <t>Ajustement fiscal sans fermeture</t>
  </si>
  <si>
    <t>c) VAN après impôt</t>
  </si>
  <si>
    <t xml:space="preserve">Année </t>
  </si>
  <si>
    <t>Données (Taux %)</t>
  </si>
  <si>
    <t>Ventes en unité</t>
  </si>
  <si>
    <t>Flux monétaires nets d'exploitation</t>
  </si>
  <si>
    <t>Flux monétaires nets après impôts</t>
  </si>
  <si>
    <t>Investissements</t>
  </si>
  <si>
    <t>Valeurs de récupération</t>
  </si>
  <si>
    <t>Ajustement fiscal sur disposition d'actif</t>
  </si>
  <si>
    <t>Flux monétaires</t>
  </si>
  <si>
    <t>Facteur d'actualisation</t>
  </si>
  <si>
    <t>Flux monétaires actualisés</t>
  </si>
  <si>
    <t>VAN :</t>
  </si>
  <si>
    <t>d) Analyse de sensibilité</t>
  </si>
  <si>
    <t>Données</t>
  </si>
  <si>
    <t>e) Impact sur la VAN</t>
  </si>
  <si>
    <t>Ventes annuelles prévues</t>
  </si>
  <si>
    <t>Probabilités</t>
  </si>
  <si>
    <t>FNACC</t>
  </si>
  <si>
    <t>VAei</t>
  </si>
  <si>
    <t>VAai fermeture</t>
  </si>
  <si>
    <t>VAai non fermeture</t>
  </si>
  <si>
    <t>Charges fixes</t>
  </si>
  <si>
    <t>Contribution marginale à l'unité</t>
  </si>
  <si>
    <t>Contribution marginale totale</t>
  </si>
  <si>
    <t>DPA (équipement)</t>
  </si>
  <si>
    <t>DPA (immeuble)</t>
  </si>
  <si>
    <t>Revenus imposables</t>
  </si>
  <si>
    <t>Impôt</t>
  </si>
  <si>
    <t>Bénéfices nets après impôt</t>
  </si>
  <si>
    <t>Équipement</t>
  </si>
  <si>
    <t>R&amp;D</t>
  </si>
  <si>
    <t>Fonds de roulement</t>
  </si>
  <si>
    <t>VAN</t>
  </si>
  <si>
    <t>Variation des ventes</t>
  </si>
  <si>
    <t>Variation des charges fixes</t>
  </si>
  <si>
    <t>Variation des contributions marginales u</t>
  </si>
  <si>
    <t>Pourcentage sur la VAN</t>
  </si>
  <si>
    <t>Si on varie les ventes ainsi que la contribution marginale à l'unité de plus ou moins 1%, on obtient une VAN qui variera de plus ou moins 1,19%. Cependant la variation des charges fixes ont peu d'effet sur la VAN. Ainsi l'entreprise, pour maximiser ses profits, pourra augmenter ses ventes ou bien augmenter ses prix.</t>
  </si>
  <si>
    <t>NOM :</t>
  </si>
  <si>
    <t>Bergeron</t>
  </si>
  <si>
    <t>Prén. :</t>
  </si>
  <si>
    <t>Laurent</t>
  </si>
  <si>
    <t>Matricule</t>
  </si>
  <si>
    <t>Gr.</t>
  </si>
  <si>
    <t>Sean</t>
  </si>
  <si>
    <t>Bronden</t>
  </si>
  <si>
    <t>Zerbato</t>
  </si>
  <si>
    <t>Sébastien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</si>
</sst>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 #,##0.00_)\ &quot;$&quot;_ ;_ * \(#,##0.00\)\ &quot;$&quot;_ ;_ * &quot;-&quot;??_)\ &quot;$&quot;_ ;_ @_ "/>
    <numFmt numFmtId="164" formatCode="_ * #,##0_)\ &quot;$&quot;_ ;_ * \(#,##0\)\ &quot;$&quot;_ ;_ * &quot;-&quot;??_)\ &quot;$&quot;_ ;_ @_ "/>
    <numFmt numFmtId="165" formatCode="#,##0\ &quot;$&quot;_-"/>
    <numFmt numFmtId="166" formatCode="#,##0&quot; ans&quot;"/>
    <numFmt numFmtId="167" formatCode="#,##0&quot; u&quot;"/>
    <numFmt numFmtId="168" formatCode="#,##0\ &quot;$&quot;_-;[Red]#,##0\ &quot;$&quot;\-"/>
    <numFmt numFmtId="169" formatCode="#,##0\ &quot;$&quot;"/>
    <numFmt numFmtId="170" formatCode="0.0000"/>
    <numFmt numFmtId="171" formatCode="_ * #,##0.000_)\ &quot;$&quot;_ ;_ * \(#,##0.000\)\ &quot;$&quot;_ ;_ * &quot;-&quot;??_)\ &quot;$&quot;_ ;_ @_ "/>
    <numFmt numFmtId="172" formatCode="#,##0.00\ &quot;$&quot;"/>
  </numFmts>
  <fonts count="14">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4"/>
      <color rgb="FF000000"/>
      <name val="Times"/>
      <family val="1"/>
    </font>
    <font>
      <sz val="14"/>
      <color theme="1"/>
      <name val="Times"/>
      <family val="1"/>
    </font>
    <font>
      <b/>
      <sz val="14"/>
      <color theme="1"/>
      <name val="Times"/>
      <family val="1"/>
    </font>
    <font>
      <sz val="14"/>
      <color theme="1"/>
      <name val="Times New Roman"/>
      <family val="1"/>
    </font>
    <font>
      <b/>
      <sz val="12"/>
      <color rgb="FF000000"/>
      <name val="Calibri"/>
      <family val="2"/>
      <scheme val="minor"/>
    </font>
    <font>
      <b/>
      <sz val="12"/>
      <name val="Calibri"/>
      <family val="2"/>
      <scheme val="minor"/>
    </font>
    <font>
      <sz val="12"/>
      <color rgb="FF000000"/>
      <name val="Calibri"/>
      <family val="2"/>
      <scheme val="minor"/>
    </font>
    <font>
      <sz val="12"/>
      <name val="Calibri"/>
      <family val="2"/>
      <scheme val="minor"/>
    </font>
    <font>
      <sz val="14"/>
      <color theme="1"/>
      <name val="Times Roman"/>
    </font>
    <font>
      <b/>
      <sz val="20"/>
      <color rgb="FF000000"/>
      <name val="Times"/>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D8D8D8"/>
        <bgColor rgb="FFD8D8D8"/>
      </patternFill>
    </fill>
    <fill>
      <patternFill patternType="solid">
        <fgColor rgb="FFFFFF00"/>
        <bgColor rgb="FFFFFF00"/>
      </patternFill>
    </fill>
  </fills>
  <borders count="6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rgb="FF000000"/>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thin">
        <color indexed="64"/>
      </top>
      <bottom/>
      <diagonal/>
    </border>
    <border>
      <left style="medium">
        <color rgb="FF000000"/>
      </left>
      <right style="medium">
        <color rgb="FF000000"/>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rgb="FF000000"/>
      </left>
      <right style="medium">
        <color rgb="FF000000"/>
      </right>
      <top/>
      <bottom style="medium">
        <color indexed="64"/>
      </bottom>
      <diagonal/>
    </border>
    <border>
      <left style="medium">
        <color rgb="FF000000"/>
      </left>
      <right/>
      <top style="medium">
        <color indexed="64"/>
      </top>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bottom/>
      <diagonal/>
    </border>
    <border>
      <left/>
      <right style="thin">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medium">
        <color rgb="FF000000"/>
      </top>
      <bottom/>
      <diagonal/>
    </border>
    <border>
      <left/>
      <right/>
      <top style="thick">
        <color indexed="64"/>
      </top>
      <bottom/>
      <diagonal/>
    </border>
    <border>
      <left style="medium">
        <color rgb="FF000000"/>
      </left>
      <right style="medium">
        <color rgb="FF000000"/>
      </right>
      <top style="thick">
        <color indexed="64"/>
      </top>
      <bottom/>
      <diagonal/>
    </border>
    <border>
      <left style="medium">
        <color rgb="FF000000"/>
      </left>
      <right/>
      <top style="thick">
        <color indexed="64"/>
      </top>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top style="thick">
        <color indexed="64"/>
      </top>
      <bottom/>
      <diagonal/>
    </border>
    <border>
      <left/>
      <right style="medium">
        <color indexed="64"/>
      </right>
      <top style="thick">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8">
    <xf numFmtId="0" fontId="0" fillId="0" borderId="0" xfId="0"/>
    <xf numFmtId="0" fontId="3" fillId="0" borderId="0" xfId="0" applyFont="1"/>
    <xf numFmtId="0" fontId="3" fillId="2" borderId="0" xfId="0" applyFont="1" applyFill="1" applyBorder="1" applyAlignment="1">
      <alignment horizontal="left" wrapText="1"/>
    </xf>
    <xf numFmtId="0" fontId="3" fillId="0" borderId="0" xfId="0" applyFont="1" applyBorder="1"/>
    <xf numFmtId="0" fontId="4"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0" fillId="2" borderId="0" xfId="0" applyFill="1" applyBorder="1"/>
    <xf numFmtId="0" fontId="0" fillId="2" borderId="8" xfId="0" applyFill="1" applyBorder="1"/>
    <xf numFmtId="0" fontId="0" fillId="2" borderId="9" xfId="0" applyFill="1" applyBorder="1"/>
    <xf numFmtId="0" fontId="0" fillId="2" borderId="6" xfId="0" applyFill="1" applyBorder="1"/>
    <xf numFmtId="0" fontId="0" fillId="2" borderId="10" xfId="0" applyFill="1" applyBorder="1"/>
    <xf numFmtId="0" fontId="3" fillId="2" borderId="0" xfId="0" applyFont="1" applyFill="1"/>
    <xf numFmtId="0" fontId="3" fillId="2" borderId="0" xfId="0" applyFont="1" applyFill="1" applyAlignment="1"/>
    <xf numFmtId="0" fontId="2" fillId="0" borderId="0" xfId="0" applyFont="1"/>
    <xf numFmtId="0" fontId="1" fillId="0" borderId="0" xfId="0" applyFont="1"/>
    <xf numFmtId="164" fontId="2" fillId="0" borderId="0" xfId="0" applyNumberFormat="1" applyFont="1"/>
    <xf numFmtId="0" fontId="1" fillId="0" borderId="15" xfId="0" applyFont="1" applyBorder="1"/>
    <xf numFmtId="0" fontId="1" fillId="0" borderId="16" xfId="0" applyFont="1" applyBorder="1"/>
    <xf numFmtId="0" fontId="1" fillId="0" borderId="17" xfId="0" applyFont="1" applyBorder="1"/>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 fillId="0" borderId="18" xfId="0" applyFont="1" applyBorder="1"/>
    <xf numFmtId="164" fontId="1" fillId="0" borderId="0" xfId="1" applyNumberFormat="1" applyFont="1" applyBorder="1" applyAlignment="1"/>
    <xf numFmtId="10" fontId="1" fillId="0" borderId="19" xfId="2" applyNumberFormat="1" applyFont="1" applyBorder="1" applyAlignment="1"/>
    <xf numFmtId="0" fontId="10" fillId="0" borderId="18" xfId="0" applyFont="1" applyBorder="1" applyAlignment="1">
      <alignment vertical="center"/>
    </xf>
    <xf numFmtId="0" fontId="1" fillId="0" borderId="0" xfId="0" applyFont="1" applyAlignment="1">
      <alignment vertical="center"/>
    </xf>
    <xf numFmtId="164" fontId="1" fillId="0" borderId="0" xfId="0" applyNumberFormat="1" applyFont="1" applyAlignment="1">
      <alignment vertical="center"/>
    </xf>
    <xf numFmtId="165" fontId="10" fillId="0" borderId="19" xfId="0" applyNumberFormat="1" applyFont="1" applyBorder="1" applyAlignment="1">
      <alignment vertical="center"/>
    </xf>
    <xf numFmtId="0" fontId="1" fillId="0" borderId="18" xfId="0" applyFont="1" applyBorder="1" applyAlignment="1">
      <alignment vertical="center"/>
    </xf>
    <xf numFmtId="0" fontId="2" fillId="0" borderId="0" xfId="0" applyFont="1" applyAlignment="1">
      <alignment horizontal="right"/>
    </xf>
    <xf numFmtId="0" fontId="1" fillId="0" borderId="19" xfId="0" applyFont="1" applyBorder="1"/>
    <xf numFmtId="0" fontId="2" fillId="0" borderId="18" xfId="0" applyFont="1" applyBorder="1" applyAlignment="1">
      <alignment horizontal="right"/>
    </xf>
    <xf numFmtId="164" fontId="1" fillId="0" borderId="0" xfId="0" applyNumberFormat="1" applyFont="1"/>
    <xf numFmtId="164" fontId="1" fillId="0" borderId="19" xfId="0" applyNumberFormat="1" applyFont="1" applyBorder="1" applyAlignment="1">
      <alignment vertical="center"/>
    </xf>
    <xf numFmtId="0" fontId="1" fillId="0" borderId="1" xfId="0" applyFont="1" applyBorder="1"/>
    <xf numFmtId="0" fontId="2" fillId="0" borderId="1" xfId="0" applyFont="1" applyBorder="1" applyAlignment="1">
      <alignment horizontal="center"/>
    </xf>
    <xf numFmtId="0" fontId="2" fillId="0" borderId="2" xfId="0" applyFont="1" applyBorder="1"/>
    <xf numFmtId="0" fontId="2" fillId="0" borderId="18" xfId="0" applyFont="1" applyBorder="1"/>
    <xf numFmtId="166" fontId="1" fillId="0" borderId="0" xfId="0" applyNumberFormat="1" applyFont="1"/>
    <xf numFmtId="164" fontId="1" fillId="3" borderId="15" xfId="1" applyNumberFormat="1" applyFont="1" applyFill="1" applyBorder="1" applyAlignment="1"/>
    <xf numFmtId="44" fontId="1" fillId="3" borderId="17" xfId="1" applyFont="1" applyFill="1" applyBorder="1" applyAlignment="1"/>
    <xf numFmtId="44" fontId="1" fillId="0" borderId="0" xfId="1" applyFont="1" applyBorder="1" applyAlignment="1"/>
    <xf numFmtId="164" fontId="1" fillId="3" borderId="18" xfId="1" applyNumberFormat="1" applyFont="1" applyFill="1" applyBorder="1" applyAlignment="1"/>
    <xf numFmtId="44" fontId="1" fillId="3" borderId="19" xfId="1" applyFont="1" applyFill="1" applyBorder="1" applyAlignment="1"/>
    <xf numFmtId="164" fontId="1" fillId="3" borderId="0" xfId="0" applyNumberFormat="1" applyFont="1" applyFill="1" applyAlignment="1">
      <alignment vertical="center"/>
    </xf>
    <xf numFmtId="164" fontId="1" fillId="3" borderId="19" xfId="0" applyNumberFormat="1" applyFont="1" applyFill="1" applyBorder="1" applyAlignment="1">
      <alignment vertical="center"/>
    </xf>
    <xf numFmtId="0" fontId="2" fillId="0" borderId="20" xfId="0" applyFont="1" applyBorder="1"/>
    <xf numFmtId="9" fontId="1" fillId="0" borderId="21" xfId="0" applyNumberFormat="1" applyFont="1" applyBorder="1"/>
    <xf numFmtId="0" fontId="1" fillId="0" borderId="21" xfId="0" applyFont="1" applyBorder="1"/>
    <xf numFmtId="164" fontId="1" fillId="3" borderId="20" xfId="1" applyNumberFormat="1" applyFont="1" applyFill="1" applyBorder="1" applyAlignment="1"/>
    <xf numFmtId="44" fontId="1" fillId="3" borderId="5" xfId="1" applyFont="1" applyFill="1" applyBorder="1" applyAlignment="1"/>
    <xf numFmtId="0" fontId="1" fillId="0" borderId="20" xfId="0" applyFont="1" applyBorder="1" applyAlignment="1">
      <alignment vertical="center"/>
    </xf>
    <xf numFmtId="0" fontId="1" fillId="0" borderId="21" xfId="0" applyFont="1" applyBorder="1" applyAlignment="1">
      <alignment vertical="center"/>
    </xf>
    <xf numFmtId="164" fontId="1" fillId="3" borderId="21" xfId="0" applyNumberFormat="1" applyFont="1" applyFill="1" applyBorder="1" applyAlignment="1">
      <alignment vertical="center"/>
    </xf>
    <xf numFmtId="164" fontId="1" fillId="3" borderId="5" xfId="0" applyNumberFormat="1" applyFont="1" applyFill="1" applyBorder="1" applyAlignment="1">
      <alignment vertical="center"/>
    </xf>
    <xf numFmtId="0" fontId="2" fillId="4" borderId="24" xfId="0" applyFont="1" applyFill="1" applyBorder="1" applyAlignment="1">
      <alignment horizontal="center"/>
    </xf>
    <xf numFmtId="0" fontId="2" fillId="0" borderId="25" xfId="0" applyFont="1" applyBorder="1" applyAlignment="1">
      <alignment horizontal="center"/>
    </xf>
    <xf numFmtId="0" fontId="2" fillId="0" borderId="23" xfId="0" applyFont="1" applyBorder="1" applyAlignment="1">
      <alignment horizontal="center"/>
    </xf>
    <xf numFmtId="0" fontId="2" fillId="0" borderId="26" xfId="0" applyFont="1" applyBorder="1" applyAlignment="1">
      <alignment horizontal="center"/>
    </xf>
    <xf numFmtId="9" fontId="1" fillId="4" borderId="29" xfId="0" applyNumberFormat="1" applyFont="1" applyFill="1" applyBorder="1" applyAlignment="1">
      <alignment horizontal="center"/>
    </xf>
    <xf numFmtId="167" fontId="1" fillId="0" borderId="30" xfId="0" applyNumberFormat="1" applyFont="1" applyBorder="1" applyAlignment="1">
      <alignment horizontal="center"/>
    </xf>
    <xf numFmtId="167" fontId="1" fillId="0" borderId="31" xfId="0" applyNumberFormat="1" applyFont="1" applyBorder="1" applyAlignment="1">
      <alignment horizontal="center"/>
    </xf>
    <xf numFmtId="167" fontId="1" fillId="0" borderId="32" xfId="0" applyNumberFormat="1" applyFont="1" applyBorder="1" applyAlignment="1">
      <alignment horizontal="center"/>
    </xf>
    <xf numFmtId="168" fontId="1" fillId="4" borderId="33" xfId="0" applyNumberFormat="1" applyFont="1" applyFill="1" applyBorder="1" applyAlignment="1">
      <alignment horizontal="center"/>
    </xf>
    <xf numFmtId="164" fontId="1" fillId="0" borderId="15" xfId="0" applyNumberFormat="1" applyFont="1" applyBorder="1" applyAlignment="1">
      <alignment horizontal="center"/>
    </xf>
    <xf numFmtId="164" fontId="1" fillId="0" borderId="16" xfId="0" applyNumberFormat="1" applyFont="1" applyBorder="1" applyAlignment="1">
      <alignment horizontal="center"/>
    </xf>
    <xf numFmtId="164" fontId="1" fillId="0" borderId="17" xfId="0" applyNumberFormat="1" applyFont="1" applyBorder="1" applyAlignment="1">
      <alignment horizontal="center"/>
    </xf>
    <xf numFmtId="164" fontId="1" fillId="0" borderId="18" xfId="0" applyNumberFormat="1" applyFont="1" applyBorder="1" applyAlignment="1">
      <alignment horizontal="center"/>
    </xf>
    <xf numFmtId="164" fontId="1" fillId="0" borderId="0" xfId="0" applyNumberFormat="1" applyFont="1" applyAlignment="1">
      <alignment horizontal="center"/>
    </xf>
    <xf numFmtId="164" fontId="1" fillId="0" borderId="19" xfId="0" applyNumberFormat="1" applyFont="1" applyBorder="1" applyAlignment="1">
      <alignment horizontal="center"/>
    </xf>
    <xf numFmtId="164" fontId="1" fillId="0" borderId="20" xfId="0" applyNumberFormat="1" applyFont="1" applyBorder="1" applyAlignment="1">
      <alignment horizontal="center"/>
    </xf>
    <xf numFmtId="164" fontId="1" fillId="0" borderId="21" xfId="0" applyNumberFormat="1" applyFont="1" applyBorder="1"/>
    <xf numFmtId="164" fontId="1" fillId="0" borderId="5" xfId="0" applyNumberFormat="1" applyFont="1" applyBorder="1"/>
    <xf numFmtId="0" fontId="2" fillId="4" borderId="29" xfId="0" applyFont="1" applyFill="1" applyBorder="1"/>
    <xf numFmtId="164" fontId="1" fillId="0" borderId="35" xfId="0" applyNumberFormat="1" applyFont="1" applyBorder="1"/>
    <xf numFmtId="164" fontId="10" fillId="0" borderId="35" xfId="0" applyNumberFormat="1" applyFont="1" applyBorder="1"/>
    <xf numFmtId="164" fontId="10" fillId="0" borderId="36" xfId="0" applyNumberFormat="1" applyFont="1" applyBorder="1"/>
    <xf numFmtId="168" fontId="1" fillId="4" borderId="37" xfId="0" applyNumberFormat="1" applyFont="1" applyFill="1" applyBorder="1" applyAlignment="1">
      <alignment horizontal="center"/>
    </xf>
    <xf numFmtId="164" fontId="10" fillId="0" borderId="0" xfId="0" applyNumberFormat="1" applyFont="1"/>
    <xf numFmtId="164" fontId="10" fillId="0" borderId="19" xfId="0" applyNumberFormat="1" applyFont="1" applyBorder="1"/>
    <xf numFmtId="0" fontId="2" fillId="4" borderId="37" xfId="0" applyFont="1" applyFill="1" applyBorder="1" applyAlignment="1">
      <alignment horizontal="left"/>
    </xf>
    <xf numFmtId="0" fontId="2" fillId="4" borderId="29" xfId="0" applyFont="1" applyFill="1" applyBorder="1" applyAlignment="1">
      <alignment horizontal="left"/>
    </xf>
    <xf numFmtId="164" fontId="1" fillId="0" borderId="38" xfId="0" applyNumberFormat="1" applyFont="1" applyBorder="1"/>
    <xf numFmtId="164" fontId="10" fillId="0" borderId="28" xfId="0" applyNumberFormat="1" applyFont="1" applyBorder="1"/>
    <xf numFmtId="164" fontId="10" fillId="0" borderId="39" xfId="0" applyNumberFormat="1" applyFont="1" applyBorder="1"/>
    <xf numFmtId="0" fontId="1" fillId="4" borderId="37" xfId="0" applyFont="1" applyFill="1" applyBorder="1" applyAlignment="1">
      <alignment horizontal="center"/>
    </xf>
    <xf numFmtId="164" fontId="1" fillId="0" borderId="33" xfId="0" applyNumberFormat="1" applyFont="1" applyBorder="1" applyAlignment="1">
      <alignment horizontal="center"/>
    </xf>
    <xf numFmtId="164" fontId="1" fillId="0" borderId="18" xfId="0" applyNumberFormat="1" applyFont="1" applyBorder="1" applyAlignment="1">
      <alignment horizontal="right"/>
    </xf>
    <xf numFmtId="9" fontId="1" fillId="4" borderId="41" xfId="0" applyNumberFormat="1" applyFont="1" applyFill="1" applyBorder="1" applyAlignment="1">
      <alignment horizontal="center"/>
    </xf>
    <xf numFmtId="164" fontId="1" fillId="0" borderId="8" xfId="0" applyNumberFormat="1" applyFont="1" applyBorder="1" applyAlignment="1">
      <alignment horizontal="center"/>
    </xf>
    <xf numFmtId="164" fontId="1" fillId="0" borderId="8" xfId="0" applyNumberFormat="1" applyFont="1" applyBorder="1"/>
    <xf numFmtId="0" fontId="1" fillId="0" borderId="42" xfId="0" applyFont="1" applyBorder="1"/>
    <xf numFmtId="9" fontId="1" fillId="4" borderId="37" xfId="0" applyNumberFormat="1" applyFont="1" applyFill="1" applyBorder="1" applyAlignment="1">
      <alignment horizontal="center"/>
    </xf>
    <xf numFmtId="164" fontId="1" fillId="0" borderId="19" xfId="0" applyNumberFormat="1" applyFont="1" applyBorder="1"/>
    <xf numFmtId="9" fontId="1" fillId="4" borderId="43" xfId="0" applyNumberFormat="1" applyFont="1" applyFill="1" applyBorder="1" applyAlignment="1">
      <alignment horizontal="center"/>
    </xf>
    <xf numFmtId="164" fontId="1" fillId="0" borderId="0" xfId="0" applyNumberFormat="1" applyFont="1" applyAlignment="1">
      <alignment horizontal="right"/>
    </xf>
    <xf numFmtId="9" fontId="1" fillId="4" borderId="44" xfId="0" applyNumberFormat="1" applyFont="1" applyFill="1" applyBorder="1" applyAlignment="1">
      <alignment horizontal="center"/>
    </xf>
    <xf numFmtId="164" fontId="1" fillId="0" borderId="16" xfId="0" applyNumberFormat="1" applyFont="1" applyBorder="1"/>
    <xf numFmtId="164" fontId="1" fillId="0" borderId="16" xfId="0" applyNumberFormat="1" applyFont="1" applyBorder="1" applyAlignment="1">
      <alignment horizontal="right"/>
    </xf>
    <xf numFmtId="164" fontId="1" fillId="0" borderId="17" xfId="0" applyNumberFormat="1" applyFont="1" applyBorder="1"/>
    <xf numFmtId="9" fontId="1" fillId="4" borderId="4" xfId="0" applyNumberFormat="1" applyFont="1" applyFill="1" applyBorder="1" applyAlignment="1">
      <alignment horizontal="center"/>
    </xf>
    <xf numFmtId="164" fontId="1" fillId="0" borderId="21" xfId="0" applyNumberFormat="1" applyFont="1" applyBorder="1" applyAlignment="1">
      <alignment horizontal="center"/>
    </xf>
    <xf numFmtId="164" fontId="1" fillId="0" borderId="21" xfId="0" applyNumberFormat="1" applyFont="1" applyBorder="1" applyAlignment="1">
      <alignment horizontal="right"/>
    </xf>
    <xf numFmtId="0" fontId="1" fillId="0" borderId="5" xfId="0" applyFont="1" applyBorder="1"/>
    <xf numFmtId="164" fontId="2" fillId="0" borderId="0" xfId="0" applyNumberFormat="1" applyFont="1" applyAlignment="1">
      <alignment horizontal="center"/>
    </xf>
    <xf numFmtId="164" fontId="2" fillId="0" borderId="19" xfId="0" applyNumberFormat="1" applyFont="1" applyBorder="1" applyAlignment="1">
      <alignment horizontal="center"/>
    </xf>
    <xf numFmtId="170" fontId="1" fillId="0" borderId="0" xfId="0" applyNumberFormat="1" applyFont="1" applyAlignment="1">
      <alignment horizontal="center"/>
    </xf>
    <xf numFmtId="170" fontId="1" fillId="0" borderId="19" xfId="0" applyNumberFormat="1" applyFont="1" applyBorder="1" applyAlignment="1">
      <alignment horizontal="center"/>
    </xf>
    <xf numFmtId="164" fontId="2" fillId="0" borderId="21" xfId="0" applyNumberFormat="1" applyFont="1" applyBorder="1" applyAlignment="1">
      <alignment horizontal="center"/>
    </xf>
    <xf numFmtId="164" fontId="2" fillId="0" borderId="5" xfId="0" applyNumberFormat="1" applyFont="1" applyBorder="1" applyAlignment="1">
      <alignment horizontal="center"/>
    </xf>
    <xf numFmtId="164" fontId="2" fillId="3" borderId="2" xfId="1" applyNumberFormat="1" applyFont="1" applyFill="1" applyBorder="1" applyAlignment="1">
      <alignment horizontal="left"/>
    </xf>
    <xf numFmtId="9" fontId="1" fillId="0" borderId="0" xfId="0" applyNumberFormat="1" applyFont="1"/>
    <xf numFmtId="0" fontId="2" fillId="0" borderId="16" xfId="0" applyFont="1" applyBorder="1" applyAlignment="1">
      <alignment horizontal="center"/>
    </xf>
    <xf numFmtId="0" fontId="2" fillId="0" borderId="17" xfId="0" applyFont="1" applyBorder="1" applyAlignment="1">
      <alignment horizontal="center"/>
    </xf>
    <xf numFmtId="164" fontId="1" fillId="0" borderId="0" xfId="1" applyNumberFormat="1" applyFont="1" applyBorder="1" applyAlignment="1">
      <alignment horizontal="center"/>
    </xf>
    <xf numFmtId="164" fontId="1" fillId="0" borderId="19" xfId="1" applyNumberFormat="1" applyFont="1" applyBorder="1" applyAlignment="1">
      <alignment horizontal="center"/>
    </xf>
    <xf numFmtId="164" fontId="1" fillId="0" borderId="3" xfId="1" applyNumberFormat="1" applyFont="1" applyBorder="1" applyAlignment="1">
      <alignment horizontal="center"/>
    </xf>
    <xf numFmtId="164" fontId="1" fillId="0" borderId="2" xfId="1" applyNumberFormat="1" applyFont="1" applyBorder="1" applyAlignment="1">
      <alignment horizontal="center"/>
    </xf>
    <xf numFmtId="10" fontId="2" fillId="5" borderId="17" xfId="0" applyNumberFormat="1" applyFont="1" applyFill="1" applyBorder="1"/>
    <xf numFmtId="0" fontId="2" fillId="0" borderId="21" xfId="0" applyFont="1" applyBorder="1" applyAlignment="1"/>
    <xf numFmtId="0" fontId="2" fillId="0" borderId="15" xfId="0" applyFont="1" applyBorder="1" applyAlignment="1">
      <alignment vertical="center"/>
    </xf>
    <xf numFmtId="0" fontId="2" fillId="0" borderId="18" xfId="0" applyFont="1" applyBorder="1" applyAlignment="1">
      <alignment vertical="center"/>
    </xf>
    <xf numFmtId="0" fontId="2" fillId="0" borderId="20" xfId="0" applyFont="1" applyBorder="1" applyAlignment="1">
      <alignment vertical="center"/>
    </xf>
    <xf numFmtId="0" fontId="12" fillId="0" borderId="14" xfId="0" applyFont="1" applyBorder="1" applyAlignment="1">
      <alignment horizontal="center" vertical="center" wrapText="1"/>
    </xf>
    <xf numFmtId="0" fontId="12" fillId="0" borderId="48" xfId="0" applyFont="1" applyBorder="1" applyAlignment="1">
      <alignment horizontal="center" vertical="center" wrapText="1"/>
    </xf>
    <xf numFmtId="0" fontId="3" fillId="2" borderId="49" xfId="0" applyFont="1" applyFill="1" applyBorder="1"/>
    <xf numFmtId="0" fontId="12" fillId="0" borderId="51" xfId="0" applyFont="1" applyBorder="1" applyAlignment="1">
      <alignment horizontal="center" vertical="center" wrapText="1"/>
    </xf>
    <xf numFmtId="3" fontId="12" fillId="0" borderId="14" xfId="0" applyNumberFormat="1" applyFont="1" applyBorder="1" applyAlignment="1">
      <alignment horizontal="center"/>
    </xf>
    <xf numFmtId="9" fontId="12" fillId="0" borderId="51" xfId="0" applyNumberFormat="1" applyFont="1" applyBorder="1" applyAlignment="1">
      <alignment horizontal="center"/>
    </xf>
    <xf numFmtId="9" fontId="4" fillId="2" borderId="51" xfId="0" applyNumberFormat="1" applyFont="1" applyFill="1" applyBorder="1" applyAlignment="1">
      <alignment horizontal="center" vertical="center" wrapText="1"/>
    </xf>
    <xf numFmtId="9" fontId="4" fillId="2" borderId="54" xfId="0" applyNumberFormat="1" applyFont="1" applyFill="1" applyBorder="1" applyAlignment="1">
      <alignment horizontal="center" vertical="center" wrapText="1"/>
    </xf>
    <xf numFmtId="0" fontId="2" fillId="0" borderId="18" xfId="0" applyFont="1" applyBorder="1" applyAlignment="1">
      <alignment vertical="top"/>
    </xf>
    <xf numFmtId="171" fontId="1" fillId="0" borderId="0" xfId="0" applyNumberFormat="1" applyFont="1" applyAlignment="1">
      <alignment vertical="center"/>
    </xf>
    <xf numFmtId="44" fontId="1" fillId="0" borderId="0" xfId="0" applyNumberFormat="1" applyFont="1" applyAlignment="1">
      <alignment vertical="center"/>
    </xf>
    <xf numFmtId="169" fontId="1" fillId="0" borderId="0" xfId="0" applyNumberFormat="1" applyFont="1" applyAlignment="1">
      <alignment vertical="center"/>
    </xf>
    <xf numFmtId="169" fontId="1" fillId="0" borderId="19" xfId="0" applyNumberFormat="1" applyFont="1" applyBorder="1" applyAlignment="1">
      <alignment vertical="center"/>
    </xf>
    <xf numFmtId="1" fontId="1" fillId="0" borderId="19" xfId="0" applyNumberFormat="1" applyFont="1" applyBorder="1" applyAlignment="1">
      <alignment vertical="center"/>
    </xf>
    <xf numFmtId="3" fontId="4" fillId="2" borderId="14" xfId="0" applyNumberFormat="1" applyFont="1" applyFill="1" applyBorder="1" applyAlignment="1">
      <alignment horizontal="center" vertical="center" wrapText="1"/>
    </xf>
    <xf numFmtId="3" fontId="4" fillId="2" borderId="53" xfId="0" applyNumberFormat="1" applyFont="1" applyFill="1" applyBorder="1" applyAlignment="1">
      <alignment horizontal="center" vertical="center" wrapText="1"/>
    </xf>
    <xf numFmtId="3" fontId="4" fillId="2" borderId="55" xfId="0" applyNumberFormat="1" applyFont="1" applyFill="1" applyBorder="1" applyAlignment="1">
      <alignment horizontal="center" vertical="center" wrapText="1"/>
    </xf>
    <xf numFmtId="169" fontId="1" fillId="0" borderId="21" xfId="0" applyNumberFormat="1" applyFont="1" applyBorder="1"/>
    <xf numFmtId="172" fontId="10" fillId="0" borderId="35" xfId="0" applyNumberFormat="1" applyFont="1" applyBorder="1"/>
    <xf numFmtId="169" fontId="10" fillId="0" borderId="35" xfId="0" applyNumberFormat="1" applyFont="1" applyBorder="1"/>
    <xf numFmtId="169" fontId="10" fillId="0" borderId="0" xfId="0" applyNumberFormat="1" applyFont="1"/>
    <xf numFmtId="169" fontId="10" fillId="0" borderId="28" xfId="0" applyNumberFormat="1" applyFont="1" applyBorder="1"/>
    <xf numFmtId="44" fontId="1" fillId="0" borderId="0" xfId="0" applyNumberFormat="1" applyFont="1"/>
    <xf numFmtId="164" fontId="1" fillId="4" borderId="37" xfId="0" applyNumberFormat="1" applyFont="1" applyFill="1" applyBorder="1" applyAlignment="1">
      <alignment horizontal="center"/>
    </xf>
    <xf numFmtId="164" fontId="1" fillId="4" borderId="45" xfId="0" applyNumberFormat="1" applyFont="1" applyFill="1" applyBorder="1" applyAlignment="1">
      <alignment horizontal="center"/>
    </xf>
    <xf numFmtId="164" fontId="2" fillId="0" borderId="1" xfId="0" applyNumberFormat="1" applyFont="1" applyBorder="1" applyAlignment="1">
      <alignment horizontal="center"/>
    </xf>
    <xf numFmtId="9" fontId="2" fillId="0" borderId="16" xfId="0" applyNumberFormat="1" applyFont="1" applyBorder="1" applyAlignment="1">
      <alignment horizontal="center"/>
    </xf>
    <xf numFmtId="9" fontId="2" fillId="0" borderId="46" xfId="0" applyNumberFormat="1" applyFont="1" applyBorder="1" applyAlignment="1">
      <alignment horizontal="center"/>
    </xf>
    <xf numFmtId="9" fontId="1" fillId="4" borderId="30" xfId="0" applyNumberFormat="1" applyFont="1" applyFill="1" applyBorder="1" applyAlignment="1">
      <alignment horizontal="center"/>
    </xf>
    <xf numFmtId="169" fontId="1" fillId="0" borderId="15" xfId="0" applyNumberFormat="1" applyFont="1" applyBorder="1" applyAlignment="1">
      <alignment horizontal="center"/>
    </xf>
    <xf numFmtId="168" fontId="1" fillId="4" borderId="58" xfId="0" applyNumberFormat="1" applyFont="1" applyFill="1" applyBorder="1" applyAlignment="1">
      <alignment horizontal="center"/>
    </xf>
    <xf numFmtId="164" fontId="1" fillId="0" borderId="59" xfId="0" applyNumberFormat="1" applyFont="1" applyBorder="1" applyAlignment="1">
      <alignment horizontal="center"/>
    </xf>
    <xf numFmtId="164" fontId="1" fillId="0" borderId="57" xfId="1" applyNumberFormat="1" applyFont="1" applyBorder="1" applyAlignment="1">
      <alignment horizontal="center"/>
    </xf>
    <xf numFmtId="168" fontId="1" fillId="4" borderId="60" xfId="0" applyNumberFormat="1" applyFont="1" applyFill="1" applyBorder="1" applyAlignment="1">
      <alignment horizontal="center"/>
    </xf>
    <xf numFmtId="164" fontId="1" fillId="0" borderId="61" xfId="0" applyNumberFormat="1" applyFont="1" applyBorder="1" applyAlignment="1">
      <alignment horizontal="center"/>
    </xf>
    <xf numFmtId="10" fontId="1" fillId="0" borderId="0" xfId="1" applyNumberFormat="1" applyFont="1" applyBorder="1" applyAlignment="1">
      <alignment horizontal="center"/>
    </xf>
    <xf numFmtId="10" fontId="1" fillId="0" borderId="19" xfId="1" applyNumberFormat="1" applyFont="1" applyBorder="1" applyAlignment="1">
      <alignment horizontal="center"/>
    </xf>
    <xf numFmtId="10" fontId="10" fillId="0" borderId="19" xfId="2" applyNumberFormat="1" applyFont="1" applyBorder="1"/>
    <xf numFmtId="0" fontId="0" fillId="0" borderId="0" xfId="0" applyFont="1" applyBorder="1"/>
    <xf numFmtId="164" fontId="1" fillId="0" borderId="0" xfId="0" applyNumberFormat="1" applyFont="1" applyBorder="1" applyAlignment="1">
      <alignment horizontal="center"/>
    </xf>
    <xf numFmtId="164" fontId="1" fillId="0" borderId="63" xfId="1" applyNumberFormat="1" applyFont="1" applyBorder="1" applyAlignment="1">
      <alignment horizontal="center"/>
    </xf>
    <xf numFmtId="10" fontId="1" fillId="0" borderId="0" xfId="0" applyNumberFormat="1" applyFont="1" applyBorder="1"/>
    <xf numFmtId="10" fontId="1" fillId="0" borderId="0" xfId="2" applyNumberFormat="1" applyFont="1" applyBorder="1"/>
    <xf numFmtId="164" fontId="10" fillId="0" borderId="21" xfId="0" applyNumberFormat="1" applyFont="1" applyBorder="1"/>
    <xf numFmtId="164" fontId="10" fillId="0" borderId="5" xfId="0" applyNumberFormat="1" applyFont="1" applyBorder="1"/>
    <xf numFmtId="49" fontId="2" fillId="0" borderId="64" xfId="0" applyNumberFormat="1" applyFont="1" applyBorder="1"/>
    <xf numFmtId="49" fontId="10" fillId="0" borderId="64" xfId="0" applyNumberFormat="1" applyFont="1" applyBorder="1"/>
    <xf numFmtId="0" fontId="2" fillId="0" borderId="65" xfId="0" applyFont="1" applyBorder="1"/>
    <xf numFmtId="49" fontId="2" fillId="0" borderId="65" xfId="0" applyNumberFormat="1" applyFont="1" applyBorder="1"/>
    <xf numFmtId="0" fontId="1" fillId="0" borderId="65" xfId="0" applyFont="1" applyBorder="1"/>
    <xf numFmtId="0" fontId="2" fillId="0" borderId="65" xfId="0" applyFont="1" applyBorder="1" applyAlignment="1">
      <alignment horizontal="right"/>
    </xf>
    <xf numFmtId="49" fontId="1" fillId="0" borderId="64" xfId="0" applyNumberFormat="1" applyFont="1" applyBorder="1" applyAlignment="1">
      <alignment horizontal="center"/>
    </xf>
    <xf numFmtId="0" fontId="11" fillId="0" borderId="66" xfId="0" applyFont="1" applyBorder="1"/>
    <xf numFmtId="0" fontId="4" fillId="2" borderId="6"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1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4" fillId="2" borderId="47"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6" xfId="0" applyFont="1" applyFill="1" applyBorder="1" applyAlignment="1">
      <alignment vertical="center" wrapText="1"/>
    </xf>
    <xf numFmtId="0" fontId="4" fillId="2" borderId="0" xfId="0" applyFont="1" applyFill="1" applyBorder="1" applyAlignment="1">
      <alignment vertical="center" wrapText="1"/>
    </xf>
    <xf numFmtId="0" fontId="4" fillId="2" borderId="10" xfId="0" applyFont="1" applyFill="1" applyBorder="1" applyAlignment="1">
      <alignment vertical="center" wrapText="1"/>
    </xf>
    <xf numFmtId="0" fontId="2" fillId="0" borderId="18" xfId="0" applyFont="1" applyBorder="1" applyAlignment="1">
      <alignment vertical="top"/>
    </xf>
    <xf numFmtId="0" fontId="1" fillId="0" borderId="0" xfId="0" applyFont="1"/>
    <xf numFmtId="0" fontId="8" fillId="0" borderId="15" xfId="0" applyFont="1" applyBorder="1" applyAlignment="1">
      <alignment horizontal="left" vertical="center"/>
    </xf>
    <xf numFmtId="0" fontId="8" fillId="0" borderId="16" xfId="0" applyFont="1" applyBorder="1" applyAlignment="1">
      <alignment horizontal="left" vertical="center"/>
    </xf>
    <xf numFmtId="0" fontId="2" fillId="0" borderId="22" xfId="0" applyFont="1" applyBorder="1" applyAlignment="1">
      <alignment vertical="top"/>
    </xf>
    <xf numFmtId="0" fontId="11" fillId="0" borderId="23" xfId="0" applyFont="1" applyBorder="1"/>
    <xf numFmtId="0" fontId="2" fillId="0" borderId="27" xfId="0" applyFont="1" applyBorder="1" applyAlignment="1">
      <alignment vertical="top"/>
    </xf>
    <xf numFmtId="0" fontId="11" fillId="0" borderId="28" xfId="0" applyFont="1" applyBorder="1"/>
    <xf numFmtId="0" fontId="11" fillId="0" borderId="34" xfId="0" applyFont="1" applyBorder="1"/>
    <xf numFmtId="0" fontId="11" fillId="0" borderId="0" xfId="0" applyFont="1"/>
    <xf numFmtId="0" fontId="2" fillId="0" borderId="40" xfId="0" applyFont="1" applyBorder="1" applyAlignment="1">
      <alignment vertical="top"/>
    </xf>
    <xf numFmtId="0" fontId="11" fillId="0" borderId="8" xfId="0" applyFont="1" applyBorder="1"/>
    <xf numFmtId="0" fontId="0" fillId="0" borderId="56" xfId="0" applyFont="1" applyBorder="1" applyAlignment="1">
      <alignment vertical="top"/>
    </xf>
    <xf numFmtId="0" fontId="11" fillId="0" borderId="31" xfId="0" applyFont="1" applyBorder="1"/>
    <xf numFmtId="0" fontId="2" fillId="0" borderId="15" xfId="0" applyFont="1" applyBorder="1" applyAlignment="1">
      <alignment horizontal="left" vertical="top"/>
    </xf>
    <xf numFmtId="0" fontId="11" fillId="0" borderId="16" xfId="0" applyFont="1" applyBorder="1"/>
    <xf numFmtId="0" fontId="10" fillId="0" borderId="18" xfId="0" applyFont="1" applyBorder="1" applyAlignment="1">
      <alignment horizontal="left"/>
    </xf>
    <xf numFmtId="0" fontId="10" fillId="0" borderId="0" xfId="0" applyFont="1" applyAlignment="1">
      <alignment horizontal="left"/>
    </xf>
    <xf numFmtId="0" fontId="2" fillId="0" borderId="18" xfId="0" applyFont="1" applyBorder="1" applyAlignment="1">
      <alignment horizontal="left" vertical="top"/>
    </xf>
    <xf numFmtId="0" fontId="2" fillId="0" borderId="20" xfId="0" applyFont="1" applyBorder="1" applyAlignment="1">
      <alignment horizontal="left" vertical="top"/>
    </xf>
    <xf numFmtId="0" fontId="1" fillId="0" borderId="21" xfId="0" applyFont="1" applyBorder="1"/>
    <xf numFmtId="164" fontId="2" fillId="0" borderId="18" xfId="0" applyNumberFormat="1" applyFont="1" applyBorder="1" applyAlignment="1">
      <alignment vertical="top"/>
    </xf>
    <xf numFmtId="164" fontId="11" fillId="0" borderId="0" xfId="0" applyNumberFormat="1" applyFont="1"/>
    <xf numFmtId="164" fontId="1" fillId="0" borderId="0" xfId="0" applyNumberFormat="1" applyFont="1"/>
    <xf numFmtId="164" fontId="2" fillId="0" borderId="20" xfId="0" applyNumberFormat="1" applyFont="1" applyBorder="1" applyAlignment="1">
      <alignment vertical="top"/>
    </xf>
    <xf numFmtId="164" fontId="11" fillId="0" borderId="21" xfId="0" applyNumberFormat="1" applyFont="1" applyBorder="1"/>
    <xf numFmtId="0" fontId="0" fillId="0" borderId="62" xfId="0" applyFont="1" applyBorder="1" applyAlignment="1">
      <alignment vertical="top"/>
    </xf>
    <xf numFmtId="0" fontId="0" fillId="0" borderId="57" xfId="0" applyFont="1" applyBorder="1"/>
    <xf numFmtId="0" fontId="0" fillId="0" borderId="1" xfId="0" applyFont="1" applyBorder="1" applyAlignment="1">
      <alignment vertical="top"/>
    </xf>
    <xf numFmtId="0" fontId="0" fillId="0" borderId="3" xfId="0" applyFont="1" applyBorder="1"/>
    <xf numFmtId="0" fontId="2" fillId="0" borderId="20" xfId="0" applyFont="1" applyBorder="1" applyAlignment="1">
      <alignment vertical="top"/>
    </xf>
    <xf numFmtId="0" fontId="2" fillId="0" borderId="1" xfId="0" applyFont="1" applyBorder="1" applyAlignment="1">
      <alignment horizontal="left"/>
    </xf>
    <xf numFmtId="0" fontId="2" fillId="0" borderId="3" xfId="0" applyFont="1" applyBorder="1" applyAlignment="1">
      <alignment horizontal="left"/>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1" fillId="0" borderId="0" xfId="0" applyFont="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5" xfId="0" applyFont="1" applyBorder="1" applyAlignment="1">
      <alignment horizontal="left" vertical="top" wrapText="1"/>
    </xf>
  </cellXfs>
  <cellStyles count="3">
    <cellStyle name="Monétaire" xfId="1" builtinId="4"/>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C0B5-2EC6-C944-8FCF-1C792D8358DF}">
  <dimension ref="B2:AA64"/>
  <sheetViews>
    <sheetView tabSelected="1" topLeftCell="A26" zoomScale="56" zoomScaleNormal="56" workbookViewId="0">
      <selection activeCell="I46" sqref="I46"/>
    </sheetView>
  </sheetViews>
  <sheetFormatPr baseColWidth="10" defaultRowHeight="18"/>
  <cols>
    <col min="1" max="1" width="10.8125" customWidth="1"/>
    <col min="3" max="5" width="12.1875" style="1" customWidth="1"/>
    <col min="6" max="6" width="14.3125" style="1" customWidth="1"/>
    <col min="7" max="9" width="14.3125" customWidth="1"/>
    <col min="16" max="16" width="21.6875" bestFit="1" customWidth="1"/>
    <col min="17" max="17" width="14.75" bestFit="1" customWidth="1"/>
    <col min="18" max="18" width="16" bestFit="1" customWidth="1"/>
    <col min="19" max="19" width="15.375" bestFit="1" customWidth="1"/>
    <col min="20" max="20" width="12.125" bestFit="1" customWidth="1"/>
    <col min="21" max="21" width="20.8125" bestFit="1" customWidth="1"/>
    <col min="22" max="22" width="15.25" bestFit="1" customWidth="1"/>
    <col min="23" max="23" width="19" customWidth="1"/>
    <col min="24" max="24" width="11.875" bestFit="1" customWidth="1"/>
    <col min="25" max="26" width="15.25" bestFit="1" customWidth="1"/>
    <col min="27" max="27" width="11.8125" bestFit="1" customWidth="1"/>
  </cols>
  <sheetData>
    <row r="2" spans="2:27" ht="22.05" customHeight="1" thickBot="1">
      <c r="B2" s="188" t="s">
        <v>20</v>
      </c>
      <c r="C2" s="189"/>
      <c r="D2" s="189"/>
      <c r="E2" s="189"/>
      <c r="F2" s="189"/>
      <c r="G2" s="189"/>
      <c r="H2" s="7"/>
      <c r="I2" s="7"/>
      <c r="J2" s="7"/>
      <c r="K2" s="7"/>
      <c r="L2" s="7"/>
      <c r="M2" s="8"/>
      <c r="P2" s="119" t="s">
        <v>21</v>
      </c>
      <c r="Q2" s="119"/>
      <c r="R2" s="14"/>
      <c r="S2" s="14"/>
      <c r="T2" s="14"/>
      <c r="U2" s="14"/>
      <c r="V2" s="14"/>
      <c r="W2" s="15" t="s">
        <v>22</v>
      </c>
      <c r="X2" s="14"/>
      <c r="Y2" s="14"/>
      <c r="Z2" s="14"/>
      <c r="AA2" s="14"/>
    </row>
    <row r="3" spans="2:27">
      <c r="B3" s="9"/>
      <c r="C3" s="4"/>
      <c r="D3" s="2"/>
      <c r="E3" s="2"/>
      <c r="F3" s="2"/>
      <c r="G3" s="6"/>
      <c r="H3" s="6"/>
      <c r="I3" s="6"/>
      <c r="J3" s="6"/>
      <c r="K3" s="6"/>
      <c r="L3" s="6"/>
      <c r="M3" s="10"/>
      <c r="P3" s="16"/>
      <c r="Q3" s="17"/>
      <c r="R3" s="17"/>
      <c r="S3" s="17"/>
      <c r="T3" s="17"/>
      <c r="U3" s="18"/>
      <c r="V3" s="14"/>
      <c r="W3" s="198" t="s">
        <v>23</v>
      </c>
      <c r="X3" s="199"/>
      <c r="Y3" s="19" t="s">
        <v>24</v>
      </c>
      <c r="Z3" s="20" t="s">
        <v>25</v>
      </c>
      <c r="AA3" s="14"/>
    </row>
    <row r="4" spans="2:27" ht="81" customHeight="1">
      <c r="B4" s="193" t="s">
        <v>0</v>
      </c>
      <c r="C4" s="194"/>
      <c r="D4" s="194"/>
      <c r="E4" s="194"/>
      <c r="F4" s="194"/>
      <c r="G4" s="194"/>
      <c r="H4" s="194"/>
      <c r="I4" s="194"/>
      <c r="J4" s="194"/>
      <c r="K4" s="194"/>
      <c r="L4" s="194"/>
      <c r="M4" s="195"/>
      <c r="P4" s="21"/>
      <c r="Q4" s="22"/>
      <c r="R4" s="14"/>
      <c r="S4" s="14"/>
      <c r="T4" s="22"/>
      <c r="U4" s="23"/>
      <c r="V4" s="14"/>
      <c r="W4" s="24" t="s">
        <v>51</v>
      </c>
      <c r="X4" s="26"/>
      <c r="Y4" s="26">
        <f>T11*((0.215*0.03)/(0.09+0.03))*((2+0.09)/(2*(1+0.09)))</f>
        <v>20025.721686575274</v>
      </c>
      <c r="Z4" s="27">
        <f>T10*((0.215*0.2)/(0.09+0.2))*((2+0.09)/(2*(1+0.09)))</f>
        <v>34117.051565960137</v>
      </c>
      <c r="AA4" s="14"/>
    </row>
    <row r="5" spans="2:27">
      <c r="B5" s="9"/>
      <c r="C5" s="4"/>
      <c r="D5" s="2"/>
      <c r="E5" s="2"/>
      <c r="F5" s="2"/>
      <c r="G5" s="6"/>
      <c r="H5" s="6"/>
      <c r="I5" s="6"/>
      <c r="J5" s="6"/>
      <c r="K5" s="6"/>
      <c r="L5" s="6"/>
      <c r="M5" s="10"/>
      <c r="P5" s="21"/>
      <c r="Q5" s="22"/>
      <c r="R5" s="14"/>
      <c r="S5" s="14"/>
      <c r="T5" s="22"/>
      <c r="U5" s="23"/>
      <c r="V5" s="14"/>
      <c r="W5" s="28" t="s">
        <v>50</v>
      </c>
      <c r="X5" s="132"/>
      <c r="Y5" s="134">
        <f>T11*(1-(0.03/2))*((1-0.03)^(6-1))</f>
        <v>328711.43845925271</v>
      </c>
      <c r="Z5" s="135">
        <f>T10*(1-(0.2/2))*((1-0.2)^(6-1))</f>
        <v>70778.880000000048</v>
      </c>
      <c r="AA5" s="14"/>
    </row>
    <row r="6" spans="2:27" ht="84" customHeight="1">
      <c r="B6" s="176" t="s">
        <v>1</v>
      </c>
      <c r="C6" s="177"/>
      <c r="D6" s="177"/>
      <c r="E6" s="177"/>
      <c r="F6" s="177"/>
      <c r="G6" s="177"/>
      <c r="H6" s="177"/>
      <c r="I6" s="177"/>
      <c r="J6" s="177"/>
      <c r="K6" s="177"/>
      <c r="L6" s="177"/>
      <c r="M6" s="178"/>
      <c r="P6" s="21"/>
      <c r="Q6" s="22"/>
      <c r="R6" s="14"/>
      <c r="S6" s="29"/>
      <c r="T6" s="15"/>
      <c r="U6" s="30"/>
      <c r="V6" s="14"/>
      <c r="W6" s="28" t="s">
        <v>53</v>
      </c>
      <c r="X6" s="25"/>
      <c r="Y6" s="133">
        <f>U11*((0.215*0.03)/(0.09+0.03))*(1/(1.09^6))</f>
        <v>8813.5764254334081</v>
      </c>
      <c r="Z6" s="135">
        <f>U10*((0.215*0.2)/(0.09+0.2))*(1/(1.09^6))</f>
        <v>13527.043943235725</v>
      </c>
      <c r="AA6" s="14"/>
    </row>
    <row r="7" spans="2:27">
      <c r="B7" s="9"/>
      <c r="C7" s="5"/>
      <c r="D7" s="2"/>
      <c r="E7" s="2"/>
      <c r="F7" s="2"/>
      <c r="G7" s="6"/>
      <c r="H7" s="6"/>
      <c r="I7" s="6"/>
      <c r="J7" s="6"/>
      <c r="K7" s="6"/>
      <c r="L7" s="6"/>
      <c r="M7" s="10"/>
      <c r="P7" s="31"/>
      <c r="Q7" s="15"/>
      <c r="R7" s="14"/>
      <c r="S7" s="14"/>
      <c r="T7" s="14"/>
      <c r="U7" s="30"/>
      <c r="V7" s="14"/>
      <c r="W7" s="28" t="s">
        <v>52</v>
      </c>
      <c r="X7" s="25"/>
      <c r="Y7" s="134">
        <f>(Y5*(0.215*0.03)/(0.09+0.03)-(Y5-U11)*0.215)*(1/(1.09^6))</f>
        <v>3649.3233223724615</v>
      </c>
      <c r="Z7" s="136">
        <f>(Z5*(0.215*0.2)/(0.09+0.2)-(Z5-U10)*0.215)*(1/(1.09^6))</f>
        <v>16798.246011771189</v>
      </c>
      <c r="AA7" s="14"/>
    </row>
    <row r="8" spans="2:27" ht="32" customHeight="1" thickBot="1">
      <c r="B8" s="176" t="s">
        <v>2</v>
      </c>
      <c r="C8" s="177"/>
      <c r="D8" s="177"/>
      <c r="E8" s="177"/>
      <c r="F8" s="177"/>
      <c r="G8" s="177"/>
      <c r="H8" s="177"/>
      <c r="I8" s="177"/>
      <c r="J8" s="177"/>
      <c r="K8" s="177"/>
      <c r="L8" s="177"/>
      <c r="M8" s="178"/>
      <c r="P8" s="21"/>
      <c r="Q8" s="14"/>
      <c r="R8" s="14"/>
      <c r="S8" s="32"/>
      <c r="T8" s="32"/>
      <c r="U8" s="30"/>
      <c r="V8" s="14"/>
      <c r="W8" s="28"/>
      <c r="X8" s="25"/>
      <c r="Y8" s="26"/>
      <c r="Z8" s="33"/>
      <c r="AA8" s="14"/>
    </row>
    <row r="9" spans="2:27" ht="18.399999999999999" thickBot="1">
      <c r="B9" s="9"/>
      <c r="C9" s="4"/>
      <c r="D9" s="2"/>
      <c r="E9" s="2"/>
      <c r="F9" s="2"/>
      <c r="G9" s="6"/>
      <c r="H9" s="6"/>
      <c r="I9" s="6"/>
      <c r="J9" s="6"/>
      <c r="K9" s="6"/>
      <c r="L9" s="6"/>
      <c r="M9" s="10"/>
      <c r="P9" s="21"/>
      <c r="Q9" s="14"/>
      <c r="R9" s="14"/>
      <c r="S9" s="34"/>
      <c r="T9" s="35" t="s">
        <v>26</v>
      </c>
      <c r="U9" s="36" t="s">
        <v>27</v>
      </c>
      <c r="V9" s="14"/>
      <c r="W9" s="28"/>
      <c r="X9" s="25"/>
      <c r="Y9" s="26"/>
      <c r="Z9" s="33"/>
      <c r="AA9" s="14"/>
    </row>
    <row r="10" spans="2:27" ht="32" customHeight="1">
      <c r="B10" s="176" t="s">
        <v>3</v>
      </c>
      <c r="C10" s="177"/>
      <c r="D10" s="177"/>
      <c r="E10" s="177"/>
      <c r="F10" s="177"/>
      <c r="G10" s="177"/>
      <c r="H10" s="177"/>
      <c r="I10" s="177"/>
      <c r="J10" s="177"/>
      <c r="K10" s="177"/>
      <c r="L10" s="177"/>
      <c r="M10" s="178"/>
      <c r="P10" s="37"/>
      <c r="Q10" s="22"/>
      <c r="R10" s="38"/>
      <c r="S10" s="120" t="s">
        <v>28</v>
      </c>
      <c r="T10" s="39">
        <v>240000</v>
      </c>
      <c r="U10" s="40">
        <f>T10-(((T10-22500)/15)*6)</f>
        <v>153000</v>
      </c>
      <c r="V10" s="14"/>
      <c r="W10" s="28"/>
      <c r="X10" s="25"/>
      <c r="Y10" s="26"/>
      <c r="Z10" s="33"/>
      <c r="AA10" s="14"/>
    </row>
    <row r="11" spans="2:27">
      <c r="B11" s="9"/>
      <c r="C11" s="4"/>
      <c r="D11" s="2"/>
      <c r="E11" s="2"/>
      <c r="F11" s="2"/>
      <c r="G11" s="6"/>
      <c r="H11" s="6"/>
      <c r="I11" s="6"/>
      <c r="J11" s="6"/>
      <c r="K11" s="6"/>
      <c r="L11" s="6"/>
      <c r="M11" s="10"/>
      <c r="P11" s="37"/>
      <c r="Q11" s="41"/>
      <c r="R11" s="14"/>
      <c r="S11" s="121" t="s">
        <v>24</v>
      </c>
      <c r="T11" s="42">
        <f>(315000/(315000+550000))*(1040000+3550+23600)</f>
        <v>388615.31791907514</v>
      </c>
      <c r="U11" s="43">
        <f>275000</f>
        <v>275000</v>
      </c>
      <c r="V11" s="14"/>
      <c r="W11" s="28" t="s">
        <v>29</v>
      </c>
      <c r="X11" s="25"/>
      <c r="Y11" s="44">
        <f>Y4-Y7</f>
        <v>16376.398364202812</v>
      </c>
      <c r="Z11" s="45">
        <f>Z4-Z7</f>
        <v>17318.805554188948</v>
      </c>
      <c r="AA11" s="14"/>
    </row>
    <row r="12" spans="2:27" ht="64.05" customHeight="1" thickBot="1">
      <c r="B12" s="176" t="s">
        <v>4</v>
      </c>
      <c r="C12" s="177"/>
      <c r="D12" s="177"/>
      <c r="E12" s="177"/>
      <c r="F12" s="177"/>
      <c r="G12" s="177"/>
      <c r="H12" s="177"/>
      <c r="I12" s="177"/>
      <c r="J12" s="177"/>
      <c r="K12" s="177"/>
      <c r="L12" s="177"/>
      <c r="M12" s="178"/>
      <c r="P12" s="46"/>
      <c r="Q12" s="47"/>
      <c r="R12" s="48"/>
      <c r="S12" s="122" t="s">
        <v>30</v>
      </c>
      <c r="T12" s="49">
        <f>(550000/(315000+550000))*(1040000+3550+23600)</f>
        <v>678534.68208092486</v>
      </c>
      <c r="U12" s="50">
        <f>T12*(1.03^6)</f>
        <v>810205.89541330317</v>
      </c>
      <c r="V12" s="14"/>
      <c r="W12" s="51" t="s">
        <v>31</v>
      </c>
      <c r="X12" s="52"/>
      <c r="Y12" s="53">
        <f>Y4-Y6</f>
        <v>11212.145261141866</v>
      </c>
      <c r="Z12" s="54">
        <f>Z4-Z6</f>
        <v>20590.007622724414</v>
      </c>
      <c r="AA12" s="14"/>
    </row>
    <row r="13" spans="2:27">
      <c r="B13" s="9"/>
      <c r="C13" s="4"/>
      <c r="D13" s="2"/>
      <c r="E13" s="2"/>
      <c r="F13" s="2"/>
      <c r="G13" s="6"/>
      <c r="H13" s="6"/>
      <c r="I13" s="6"/>
      <c r="J13" s="6"/>
      <c r="K13" s="6"/>
      <c r="L13" s="6"/>
      <c r="M13" s="10"/>
      <c r="P13" s="14"/>
      <c r="Q13" s="14"/>
      <c r="R13" s="14"/>
      <c r="S13" s="14"/>
      <c r="T13" s="14"/>
      <c r="U13" s="14"/>
      <c r="V13" s="14"/>
      <c r="W13" s="14"/>
      <c r="X13" s="14"/>
      <c r="Y13" s="14"/>
      <c r="Z13" s="14"/>
      <c r="AA13" s="14"/>
    </row>
    <row r="14" spans="2:27" ht="61.05" customHeight="1" thickBot="1">
      <c r="B14" s="176" t="s">
        <v>5</v>
      </c>
      <c r="C14" s="177"/>
      <c r="D14" s="177"/>
      <c r="E14" s="177"/>
      <c r="F14" s="177"/>
      <c r="G14" s="177"/>
      <c r="H14" s="177"/>
      <c r="I14" s="177"/>
      <c r="J14" s="177"/>
      <c r="K14" s="177"/>
      <c r="L14" s="177"/>
      <c r="M14" s="178"/>
      <c r="P14" s="13" t="s">
        <v>32</v>
      </c>
      <c r="Q14" s="14"/>
      <c r="R14" s="14"/>
      <c r="S14" s="14"/>
      <c r="T14" s="14"/>
      <c r="U14" s="14"/>
      <c r="V14" s="14"/>
      <c r="W14" s="14"/>
      <c r="X14" s="14"/>
      <c r="Y14" s="14"/>
      <c r="Z14" s="14"/>
      <c r="AA14" s="14"/>
    </row>
    <row r="15" spans="2:27" ht="18.399999999999999" thickBot="1">
      <c r="B15" s="9"/>
      <c r="C15" s="4"/>
      <c r="D15" s="2"/>
      <c r="E15" s="2"/>
      <c r="F15" s="2"/>
      <c r="G15" s="6"/>
      <c r="H15" s="6"/>
      <c r="I15" s="6"/>
      <c r="J15" s="6"/>
      <c r="K15" s="6"/>
      <c r="L15" s="6"/>
      <c r="M15" s="10"/>
      <c r="P15" s="200" t="s">
        <v>33</v>
      </c>
      <c r="Q15" s="201"/>
      <c r="R15" s="55" t="s">
        <v>34</v>
      </c>
      <c r="S15" s="56">
        <v>0</v>
      </c>
      <c r="T15" s="57">
        <v>1</v>
      </c>
      <c r="U15" s="57">
        <v>2</v>
      </c>
      <c r="V15" s="57">
        <v>3</v>
      </c>
      <c r="W15" s="57">
        <v>4</v>
      </c>
      <c r="X15" s="57">
        <v>5</v>
      </c>
      <c r="Y15" s="57">
        <v>6</v>
      </c>
      <c r="Z15" s="57">
        <v>7</v>
      </c>
      <c r="AA15" s="58">
        <v>8</v>
      </c>
    </row>
    <row r="16" spans="2:27" ht="18.75" thickTop="1" thickBot="1">
      <c r="B16" s="9"/>
      <c r="C16" s="11"/>
      <c r="D16" s="11"/>
      <c r="E16" s="12"/>
      <c r="F16" s="190" t="s">
        <v>6</v>
      </c>
      <c r="G16" s="191"/>
      <c r="H16" s="192" t="s">
        <v>7</v>
      </c>
      <c r="I16" s="191"/>
      <c r="J16" s="6"/>
      <c r="K16" s="6"/>
      <c r="L16" s="6"/>
      <c r="M16" s="10"/>
      <c r="P16" s="202" t="s">
        <v>35</v>
      </c>
      <c r="Q16" s="203"/>
      <c r="R16" s="59"/>
      <c r="S16" s="60">
        <v>0</v>
      </c>
      <c r="T16" s="60">
        <f>(F18*G18+F19*G19+F20*G20+F21*G21)</f>
        <v>4775</v>
      </c>
      <c r="U16" s="61">
        <f>(F18*G18+F19*G19+F20*G20+F21*G21)</f>
        <v>4775</v>
      </c>
      <c r="V16" s="61">
        <f>(F18*G18+F19*G19+F20*G20+F21*G21)</f>
        <v>4775</v>
      </c>
      <c r="W16" s="61">
        <f>(H18*I18+H19*I19+H20*I20+H21*I21)</f>
        <v>6987.5</v>
      </c>
      <c r="X16" s="61">
        <f>(H18*I18+H19*I19+H20*I20+H21*I21)</f>
        <v>6987.5</v>
      </c>
      <c r="Y16" s="61">
        <f>(H18*I18+H19*I19+H20*I20+H21*I21)</f>
        <v>6987.5</v>
      </c>
      <c r="Z16" s="61"/>
      <c r="AA16" s="62"/>
    </row>
    <row r="17" spans="2:27" ht="52.9">
      <c r="B17" s="9"/>
      <c r="C17" s="11"/>
      <c r="D17" s="11"/>
      <c r="E17" s="11"/>
      <c r="F17" s="124" t="s">
        <v>48</v>
      </c>
      <c r="G17" s="126" t="s">
        <v>49</v>
      </c>
      <c r="H17" s="123" t="s">
        <v>48</v>
      </c>
      <c r="I17" s="126" t="s">
        <v>49</v>
      </c>
      <c r="J17" s="6"/>
      <c r="K17" s="6"/>
      <c r="L17" s="6"/>
      <c r="M17" s="10"/>
      <c r="P17" s="196" t="s">
        <v>54</v>
      </c>
      <c r="Q17" s="197"/>
      <c r="R17" s="63"/>
      <c r="S17" s="64">
        <v>0</v>
      </c>
      <c r="T17" s="65">
        <f>115000</f>
        <v>115000</v>
      </c>
      <c r="U17" s="65">
        <f t="shared" ref="U17:V17" si="0">115000</f>
        <v>115000</v>
      </c>
      <c r="V17" s="65">
        <f t="shared" si="0"/>
        <v>115000</v>
      </c>
      <c r="W17" s="65">
        <f>195000</f>
        <v>195000</v>
      </c>
      <c r="X17" s="65">
        <f t="shared" ref="X17:Y17" si="1">195000</f>
        <v>195000</v>
      </c>
      <c r="Y17" s="65">
        <f t="shared" si="1"/>
        <v>195000</v>
      </c>
      <c r="Z17" s="65"/>
      <c r="AA17" s="66"/>
    </row>
    <row r="18" spans="2:27">
      <c r="B18" s="9"/>
      <c r="C18" s="11"/>
      <c r="D18" s="11"/>
      <c r="E18" s="125"/>
      <c r="F18" s="127">
        <v>3500</v>
      </c>
      <c r="G18" s="128">
        <v>0.15</v>
      </c>
      <c r="H18" s="137">
        <v>5500</v>
      </c>
      <c r="I18" s="129">
        <v>0.2</v>
      </c>
      <c r="J18" s="6"/>
      <c r="K18" s="6"/>
      <c r="L18" s="6"/>
      <c r="M18" s="10"/>
      <c r="P18" s="196" t="s">
        <v>55</v>
      </c>
      <c r="Q18" s="197"/>
      <c r="R18" s="63"/>
      <c r="S18" s="67">
        <f>280</f>
        <v>280</v>
      </c>
      <c r="T18" s="67">
        <f>280</f>
        <v>280</v>
      </c>
      <c r="U18" s="67">
        <f>280</f>
        <v>280</v>
      </c>
      <c r="V18" s="67">
        <f>280</f>
        <v>280</v>
      </c>
      <c r="W18" s="67">
        <f>280</f>
        <v>280</v>
      </c>
      <c r="X18" s="67">
        <f>280</f>
        <v>280</v>
      </c>
      <c r="Y18" s="67">
        <f>280</f>
        <v>280</v>
      </c>
      <c r="Z18" s="68"/>
      <c r="AA18" s="69"/>
    </row>
    <row r="19" spans="2:27" ht="18.399999999999999" thickBot="1">
      <c r="B19" s="9"/>
      <c r="C19" s="11"/>
      <c r="D19" s="11"/>
      <c r="E19" s="125"/>
      <c r="F19" s="137">
        <v>4000</v>
      </c>
      <c r="G19" s="129">
        <v>0.3</v>
      </c>
      <c r="H19" s="137">
        <v>6750</v>
      </c>
      <c r="I19" s="129">
        <v>0.25</v>
      </c>
      <c r="J19" s="6"/>
      <c r="K19" s="6"/>
      <c r="L19" s="6"/>
      <c r="M19" s="10"/>
      <c r="P19" s="196" t="s">
        <v>56</v>
      </c>
      <c r="Q19" s="197"/>
      <c r="R19" s="63"/>
      <c r="S19" s="70">
        <v>0</v>
      </c>
      <c r="T19" s="140">
        <f>T18*T16</f>
        <v>1337000</v>
      </c>
      <c r="U19" s="140">
        <f t="shared" ref="U19:V19" si="2">U18*U16</f>
        <v>1337000</v>
      </c>
      <c r="V19" s="140">
        <f t="shared" si="2"/>
        <v>1337000</v>
      </c>
      <c r="W19" s="71">
        <f>W18*W16</f>
        <v>1956500</v>
      </c>
      <c r="X19" s="140">
        <f t="shared" ref="X19:Y19" si="3">X18*X16</f>
        <v>1956500</v>
      </c>
      <c r="Y19" s="71">
        <f t="shared" si="3"/>
        <v>1956500</v>
      </c>
      <c r="Z19" s="71"/>
      <c r="AA19" s="72"/>
    </row>
    <row r="20" spans="2:27" ht="18.399999999999999" thickBot="1">
      <c r="B20" s="9"/>
      <c r="C20" s="11"/>
      <c r="D20" s="11"/>
      <c r="E20" s="125"/>
      <c r="F20" s="137">
        <v>5000</v>
      </c>
      <c r="G20" s="129">
        <v>0.35</v>
      </c>
      <c r="H20" s="137">
        <v>7500</v>
      </c>
      <c r="I20" s="129">
        <v>0.4</v>
      </c>
      <c r="J20" s="6"/>
      <c r="K20" s="6"/>
      <c r="L20" s="6"/>
      <c r="M20" s="10"/>
      <c r="P20" s="202" t="s">
        <v>36</v>
      </c>
      <c r="Q20" s="204"/>
      <c r="R20" s="73"/>
      <c r="S20" s="74">
        <f>0</f>
        <v>0</v>
      </c>
      <c r="T20" s="142">
        <f>-T17+T19</f>
        <v>1222000</v>
      </c>
      <c r="U20" s="141">
        <f t="shared" ref="U20:V20" si="4">-U17+U19</f>
        <v>1222000</v>
      </c>
      <c r="V20" s="141">
        <f t="shared" si="4"/>
        <v>1222000</v>
      </c>
      <c r="W20" s="75">
        <f>-W17+W19</f>
        <v>1761500</v>
      </c>
      <c r="X20" s="142">
        <f t="shared" ref="X20:Y20" si="5">-X17+X19</f>
        <v>1761500</v>
      </c>
      <c r="Y20" s="75">
        <f t="shared" si="5"/>
        <v>1761500</v>
      </c>
      <c r="Z20" s="75"/>
      <c r="AA20" s="76"/>
    </row>
    <row r="21" spans="2:27" ht="18.399999999999999" thickBot="1">
      <c r="B21" s="9"/>
      <c r="C21" s="11"/>
      <c r="D21" s="11"/>
      <c r="E21" s="125"/>
      <c r="F21" s="138">
        <v>6500</v>
      </c>
      <c r="G21" s="130">
        <v>0.2</v>
      </c>
      <c r="H21" s="139">
        <v>8000</v>
      </c>
      <c r="I21" s="130">
        <v>0.15</v>
      </c>
      <c r="J21" s="6"/>
      <c r="K21" s="6"/>
      <c r="L21" s="6"/>
      <c r="M21" s="10"/>
      <c r="P21" s="196" t="s">
        <v>57</v>
      </c>
      <c r="Q21" s="197"/>
      <c r="R21" s="77"/>
      <c r="S21" s="32">
        <v>0</v>
      </c>
      <c r="T21" s="78">
        <f>T10*0.2*0.5</f>
        <v>24000</v>
      </c>
      <c r="U21" s="78">
        <f>T10*0.2*(1-0.2/2)*(1-0.2)^(U15-2)</f>
        <v>43200</v>
      </c>
      <c r="V21" s="78">
        <f>T10*0.2*(1-0.2/2)*(1-0.2)^(V15-2)</f>
        <v>34560</v>
      </c>
      <c r="W21" s="78">
        <f>T10*0.2*(1-0.2/2)*(1-0.2)^(W15-2)</f>
        <v>27648.000000000004</v>
      </c>
      <c r="X21" s="78">
        <f>T10*0.2*(1-0.2/2)*(1-0.2)^(X15-2)</f>
        <v>22118.400000000005</v>
      </c>
      <c r="Y21" s="78">
        <f>T10*0.2*(1-0.2/2)*(1-0.2)^(Y15-2)</f>
        <v>17694.720000000008</v>
      </c>
      <c r="Z21" s="78"/>
      <c r="AA21" s="79"/>
    </row>
    <row r="22" spans="2:27" ht="18.399999999999999" thickTop="1">
      <c r="B22" s="9"/>
      <c r="C22" s="4"/>
      <c r="D22" s="2"/>
      <c r="E22" s="2"/>
      <c r="F22" s="2"/>
      <c r="G22" s="6"/>
      <c r="H22" s="6"/>
      <c r="I22" s="6"/>
      <c r="J22" s="6"/>
      <c r="K22" s="6"/>
      <c r="L22" s="6"/>
      <c r="M22" s="10"/>
      <c r="P22" s="196" t="s">
        <v>58</v>
      </c>
      <c r="Q22" s="197"/>
      <c r="R22" s="80"/>
      <c r="S22" s="32">
        <v>0</v>
      </c>
      <c r="T22" s="78">
        <f>T11*0.03*0.5</f>
        <v>5829.2297687861264</v>
      </c>
      <c r="U22" s="78">
        <f>T11*0.03*(1-0.03/2)*(1-0.03)^(U15-2)</f>
        <v>11483.58264450867</v>
      </c>
      <c r="V22" s="78">
        <f>T11*0.03*(1-0.03/2)*(1-0.03)^(V15-2)</f>
        <v>11139.07516517341</v>
      </c>
      <c r="W22" s="78">
        <f>T11*0.03*(1-0.03/2)*(1-0.03)^(W15-2)</f>
        <v>10804.902910218207</v>
      </c>
      <c r="X22" s="78">
        <f>T11*0.03*(1-0.03/2)*(1-0.03)^(X15-2)</f>
        <v>10480.75582291166</v>
      </c>
      <c r="Y22" s="78">
        <f>T11*0.03*(1-0.03/2)*(1-0.03)^(Y15-2)</f>
        <v>10166.33314822431</v>
      </c>
      <c r="Z22" s="78"/>
      <c r="AA22" s="79"/>
    </row>
    <row r="23" spans="2:27" ht="39" customHeight="1">
      <c r="B23" s="176" t="s">
        <v>8</v>
      </c>
      <c r="C23" s="177"/>
      <c r="D23" s="177"/>
      <c r="E23" s="177"/>
      <c r="F23" s="177"/>
      <c r="G23" s="177"/>
      <c r="H23" s="177"/>
      <c r="I23" s="177"/>
      <c r="J23" s="177"/>
      <c r="K23" s="177"/>
      <c r="L23" s="177"/>
      <c r="M23" s="178"/>
      <c r="P23" s="196" t="s">
        <v>59</v>
      </c>
      <c r="Q23" s="197"/>
      <c r="R23" s="80"/>
      <c r="S23" s="32">
        <v>0</v>
      </c>
      <c r="T23" s="143">
        <f>T20-T21-T22</f>
        <v>1192170.7702312139</v>
      </c>
      <c r="U23" s="143">
        <f t="shared" ref="U23:Y23" si="6">U20-U21-U22</f>
        <v>1167316.4173554913</v>
      </c>
      <c r="V23" s="143">
        <f t="shared" si="6"/>
        <v>1176300.9248348265</v>
      </c>
      <c r="W23" s="143">
        <f t="shared" si="6"/>
        <v>1723047.0970897819</v>
      </c>
      <c r="X23" s="143">
        <f t="shared" si="6"/>
        <v>1728900.8441770885</v>
      </c>
      <c r="Y23" s="143">
        <f t="shared" si="6"/>
        <v>1733638.9468517757</v>
      </c>
      <c r="Z23" s="78"/>
      <c r="AA23" s="79"/>
    </row>
    <row r="24" spans="2:27">
      <c r="B24" s="9"/>
      <c r="C24" s="4"/>
      <c r="D24" s="2"/>
      <c r="E24" s="2"/>
      <c r="F24" s="2"/>
      <c r="G24" s="6"/>
      <c r="H24" s="6"/>
      <c r="I24" s="6"/>
      <c r="J24" s="6"/>
      <c r="K24" s="6"/>
      <c r="L24" s="6"/>
      <c r="M24" s="10"/>
      <c r="P24" s="196" t="s">
        <v>60</v>
      </c>
      <c r="Q24" s="197"/>
      <c r="R24" s="80"/>
      <c r="S24" s="32">
        <v>0</v>
      </c>
      <c r="T24" s="78">
        <f>(0.215)*T23</f>
        <v>256316.71559971099</v>
      </c>
      <c r="U24" s="78">
        <f t="shared" ref="U24:Y24" si="7">(0.215)*U23</f>
        <v>250973.02973143064</v>
      </c>
      <c r="V24" s="78">
        <f t="shared" si="7"/>
        <v>252904.69883948768</v>
      </c>
      <c r="W24" s="78">
        <f t="shared" si="7"/>
        <v>370455.12587430311</v>
      </c>
      <c r="X24" s="78">
        <f t="shared" si="7"/>
        <v>371713.68149807403</v>
      </c>
      <c r="Y24" s="78">
        <f t="shared" si="7"/>
        <v>372732.3735731318</v>
      </c>
      <c r="Z24" s="78"/>
      <c r="AA24" s="79"/>
    </row>
    <row r="25" spans="2:27" ht="58.05" customHeight="1" thickBot="1">
      <c r="B25" s="176" t="s">
        <v>9</v>
      </c>
      <c r="C25" s="177"/>
      <c r="D25" s="177"/>
      <c r="E25" s="177"/>
      <c r="F25" s="177"/>
      <c r="G25" s="177"/>
      <c r="H25" s="177"/>
      <c r="I25" s="177"/>
      <c r="J25" s="177"/>
      <c r="K25" s="177"/>
      <c r="L25" s="177"/>
      <c r="M25" s="178"/>
      <c r="P25" s="196" t="s">
        <v>61</v>
      </c>
      <c r="Q25" s="197"/>
      <c r="R25" s="80"/>
      <c r="S25" s="32">
        <v>0</v>
      </c>
      <c r="T25" s="143">
        <f>T20-T24</f>
        <v>965683.28440028895</v>
      </c>
      <c r="U25" s="143">
        <f t="shared" ref="U25:Y25" si="8">U20-U24</f>
        <v>971026.97026856942</v>
      </c>
      <c r="V25" s="143">
        <f t="shared" si="8"/>
        <v>969095.30116051226</v>
      </c>
      <c r="W25" s="143">
        <f t="shared" si="8"/>
        <v>1391044.874125697</v>
      </c>
      <c r="X25" s="143">
        <f t="shared" si="8"/>
        <v>1389786.318501926</v>
      </c>
      <c r="Y25" s="143">
        <f t="shared" si="8"/>
        <v>1388767.6264268681</v>
      </c>
      <c r="Z25" s="78"/>
      <c r="AA25" s="79"/>
    </row>
    <row r="26" spans="2:27" ht="19.05" customHeight="1" thickBot="1">
      <c r="B26" s="9"/>
      <c r="C26" s="5"/>
      <c r="D26" s="2"/>
      <c r="E26" s="2"/>
      <c r="F26" s="2"/>
      <c r="G26" s="6"/>
      <c r="H26" s="6"/>
      <c r="I26" s="6"/>
      <c r="J26" s="6"/>
      <c r="K26" s="6"/>
      <c r="L26" s="6"/>
      <c r="M26" s="10"/>
      <c r="P26" s="202" t="s">
        <v>37</v>
      </c>
      <c r="Q26" s="203"/>
      <c r="R26" s="81"/>
      <c r="S26" s="82"/>
      <c r="T26" s="144">
        <f>T25+T21+T22</f>
        <v>995512.51416907506</v>
      </c>
      <c r="U26" s="144">
        <f t="shared" ref="U26:Y26" si="9">U25+U21+U22</f>
        <v>1025710.5529130781</v>
      </c>
      <c r="V26" s="144">
        <f t="shared" si="9"/>
        <v>1014794.3763256856</v>
      </c>
      <c r="W26" s="144">
        <f t="shared" si="9"/>
        <v>1429497.7770359151</v>
      </c>
      <c r="X26" s="144">
        <f t="shared" si="9"/>
        <v>1422385.4743248376</v>
      </c>
      <c r="Y26" s="144">
        <f t="shared" si="9"/>
        <v>1416628.6795750924</v>
      </c>
      <c r="Z26" s="83"/>
      <c r="AA26" s="84"/>
    </row>
    <row r="27" spans="2:27" ht="17.25">
      <c r="B27" s="182" t="s">
        <v>10</v>
      </c>
      <c r="C27" s="183"/>
      <c r="D27" s="183"/>
      <c r="E27" s="183"/>
      <c r="F27" s="183"/>
      <c r="G27" s="183"/>
      <c r="H27" s="183"/>
      <c r="I27" s="183"/>
      <c r="J27" s="183"/>
      <c r="K27" s="183"/>
      <c r="L27" s="183"/>
      <c r="M27" s="184"/>
      <c r="P27" s="196" t="s">
        <v>38</v>
      </c>
      <c r="Q27" s="197"/>
      <c r="R27" s="85"/>
      <c r="S27" s="86"/>
      <c r="T27" s="32"/>
      <c r="U27" s="32"/>
      <c r="V27" s="32"/>
      <c r="W27" s="32"/>
      <c r="X27" s="32"/>
      <c r="Y27" s="32"/>
      <c r="Z27" s="32"/>
      <c r="AA27" s="30"/>
    </row>
    <row r="28" spans="2:27" ht="19.05" customHeight="1">
      <c r="B28" s="180" t="s">
        <v>11</v>
      </c>
      <c r="C28" s="179"/>
      <c r="D28" s="179"/>
      <c r="E28" s="179"/>
      <c r="F28" s="179"/>
      <c r="G28" s="179"/>
      <c r="H28" s="179"/>
      <c r="I28" s="179"/>
      <c r="J28" s="179"/>
      <c r="K28" s="179"/>
      <c r="L28" s="179"/>
      <c r="M28" s="181"/>
      <c r="P28" s="196" t="s">
        <v>62</v>
      </c>
      <c r="Q28" s="197"/>
      <c r="R28" s="85"/>
      <c r="S28" s="87">
        <f>-T10</f>
        <v>-240000</v>
      </c>
      <c r="T28" s="32">
        <v>0</v>
      </c>
      <c r="U28" s="32">
        <v>0</v>
      </c>
      <c r="V28" s="32">
        <v>0</v>
      </c>
      <c r="W28" s="32">
        <v>0</v>
      </c>
      <c r="X28" s="32">
        <v>0</v>
      </c>
      <c r="Y28" s="32">
        <v>0</v>
      </c>
      <c r="Z28" s="32"/>
      <c r="AA28" s="30"/>
    </row>
    <row r="29" spans="2:27">
      <c r="B29" s="9"/>
      <c r="C29" s="5"/>
      <c r="D29" s="2"/>
      <c r="E29" s="2"/>
      <c r="F29" s="2"/>
      <c r="G29" s="6"/>
      <c r="H29" s="6"/>
      <c r="I29" s="6"/>
      <c r="J29" s="6"/>
      <c r="K29" s="6"/>
      <c r="L29" s="6"/>
      <c r="M29" s="10"/>
      <c r="P29" s="196" t="s">
        <v>24</v>
      </c>
      <c r="Q29" s="197"/>
      <c r="R29" s="85"/>
      <c r="S29" s="87">
        <f>-T11</f>
        <v>-388615.31791907514</v>
      </c>
      <c r="T29" s="32">
        <v>0</v>
      </c>
      <c r="U29" s="32">
        <v>0</v>
      </c>
      <c r="V29" s="32">
        <v>0</v>
      </c>
      <c r="W29" s="32">
        <v>0</v>
      </c>
      <c r="X29" s="32">
        <v>0</v>
      </c>
      <c r="Y29" s="32">
        <v>0</v>
      </c>
      <c r="Z29" s="32"/>
      <c r="AA29" s="30"/>
    </row>
    <row r="30" spans="2:27" ht="17" customHeight="1">
      <c r="B30" s="180" t="s">
        <v>12</v>
      </c>
      <c r="C30" s="179"/>
      <c r="D30" s="179"/>
      <c r="E30" s="179"/>
      <c r="F30" s="179"/>
      <c r="G30" s="179"/>
      <c r="H30" s="179"/>
      <c r="I30" s="179"/>
      <c r="J30" s="179"/>
      <c r="K30" s="179"/>
      <c r="L30" s="179"/>
      <c r="M30" s="181"/>
      <c r="P30" s="196" t="s">
        <v>30</v>
      </c>
      <c r="Q30" s="197"/>
      <c r="R30" s="85"/>
      <c r="S30" s="87">
        <f>-T12</f>
        <v>-678534.68208092486</v>
      </c>
      <c r="T30" s="32">
        <v>0</v>
      </c>
      <c r="U30" s="32">
        <v>0</v>
      </c>
      <c r="V30" s="32">
        <v>0</v>
      </c>
      <c r="W30" s="32">
        <v>0</v>
      </c>
      <c r="X30" s="32">
        <v>0</v>
      </c>
      <c r="Y30" s="32">
        <v>0</v>
      </c>
      <c r="Z30" s="32"/>
      <c r="AA30" s="30"/>
    </row>
    <row r="31" spans="2:27">
      <c r="B31" s="9"/>
      <c r="C31" s="5"/>
      <c r="D31" s="2"/>
      <c r="E31" s="2"/>
      <c r="F31" s="2"/>
      <c r="G31" s="6"/>
      <c r="H31" s="6"/>
      <c r="I31" s="6"/>
      <c r="J31" s="6"/>
      <c r="K31" s="6"/>
      <c r="L31" s="6"/>
      <c r="M31" s="10"/>
      <c r="P31" s="196" t="s">
        <v>63</v>
      </c>
      <c r="Q31" s="205"/>
      <c r="R31" s="85"/>
      <c r="S31" s="87">
        <f>-(15000+18000)</f>
        <v>-33000</v>
      </c>
      <c r="T31" s="32">
        <v>0</v>
      </c>
      <c r="U31" s="32">
        <v>0</v>
      </c>
      <c r="V31" s="32">
        <v>0</v>
      </c>
      <c r="W31" s="32">
        <v>0</v>
      </c>
      <c r="X31" s="32">
        <v>0</v>
      </c>
      <c r="Y31" s="32">
        <v>0</v>
      </c>
      <c r="Z31" s="32"/>
      <c r="AA31" s="30"/>
    </row>
    <row r="32" spans="2:27" ht="17" customHeight="1">
      <c r="B32" s="180" t="s">
        <v>13</v>
      </c>
      <c r="C32" s="179"/>
      <c r="D32" s="179"/>
      <c r="E32" s="179"/>
      <c r="F32" s="179"/>
      <c r="G32" s="179"/>
      <c r="H32" s="179"/>
      <c r="I32" s="179"/>
      <c r="J32" s="179"/>
      <c r="K32" s="179"/>
      <c r="L32" s="179"/>
      <c r="M32" s="181"/>
      <c r="P32" s="196" t="s">
        <v>64</v>
      </c>
      <c r="Q32" s="205"/>
      <c r="R32" s="85"/>
      <c r="S32" s="32">
        <v>-25000</v>
      </c>
      <c r="T32" s="14"/>
      <c r="U32" s="14"/>
      <c r="V32" s="14"/>
      <c r="W32" s="14"/>
      <c r="X32" s="32"/>
      <c r="Y32" s="32"/>
      <c r="Z32" s="32"/>
      <c r="AA32" s="30"/>
    </row>
    <row r="33" spans="2:27" ht="17.649999999999999">
      <c r="B33" s="180" t="s">
        <v>14</v>
      </c>
      <c r="C33" s="179"/>
      <c r="D33" s="179"/>
      <c r="E33" s="179"/>
      <c r="F33" s="179"/>
      <c r="G33" s="179"/>
      <c r="H33" s="179"/>
      <c r="I33" s="179"/>
      <c r="J33" s="179"/>
      <c r="K33" s="179"/>
      <c r="L33" s="179"/>
      <c r="M33" s="181"/>
      <c r="P33" s="206" t="s">
        <v>39</v>
      </c>
      <c r="Q33" s="207"/>
      <c r="R33" s="88"/>
      <c r="S33" s="89"/>
      <c r="T33" s="90"/>
      <c r="U33" s="90"/>
      <c r="V33" s="90"/>
      <c r="W33" s="90"/>
      <c r="X33" s="90"/>
      <c r="Y33" s="90"/>
      <c r="Z33" s="90"/>
      <c r="AA33" s="91"/>
    </row>
    <row r="34" spans="2:27" ht="17.649999999999999">
      <c r="B34" s="180" t="s">
        <v>15</v>
      </c>
      <c r="C34" s="179"/>
      <c r="D34" s="179"/>
      <c r="E34" s="179"/>
      <c r="F34" s="179"/>
      <c r="G34" s="179"/>
      <c r="H34" s="179"/>
      <c r="I34" s="179"/>
      <c r="J34" s="179"/>
      <c r="K34" s="179"/>
      <c r="L34" s="179"/>
      <c r="M34" s="181"/>
      <c r="P34" s="196" t="s">
        <v>62</v>
      </c>
      <c r="Q34" s="197"/>
      <c r="R34" s="92"/>
      <c r="S34" s="68">
        <v>0</v>
      </c>
      <c r="T34" s="68">
        <v>0</v>
      </c>
      <c r="U34" s="68">
        <v>0</v>
      </c>
      <c r="V34" s="68">
        <v>0</v>
      </c>
      <c r="W34" s="68">
        <v>0</v>
      </c>
      <c r="X34" s="68">
        <v>0</v>
      </c>
      <c r="Y34" s="32">
        <f>U10</f>
        <v>153000</v>
      </c>
      <c r="Z34" s="32"/>
      <c r="AA34" s="93"/>
    </row>
    <row r="35" spans="2:27" ht="17.649999999999999">
      <c r="B35" s="180" t="s">
        <v>16</v>
      </c>
      <c r="C35" s="179"/>
      <c r="D35" s="179"/>
      <c r="E35" s="179"/>
      <c r="F35" s="179"/>
      <c r="G35" s="179"/>
      <c r="H35" s="179"/>
      <c r="I35" s="179"/>
      <c r="J35" s="179"/>
      <c r="K35" s="179"/>
      <c r="L35" s="179"/>
      <c r="M35" s="181"/>
      <c r="P35" s="196" t="s">
        <v>24</v>
      </c>
      <c r="Q35" s="197"/>
      <c r="R35" s="92"/>
      <c r="S35" s="68">
        <v>0</v>
      </c>
      <c r="T35" s="68">
        <v>0</v>
      </c>
      <c r="U35" s="68">
        <v>0</v>
      </c>
      <c r="V35" s="68">
        <v>0</v>
      </c>
      <c r="W35" s="68">
        <v>0</v>
      </c>
      <c r="X35" s="68">
        <v>0</v>
      </c>
      <c r="Y35" s="32">
        <f>U11</f>
        <v>275000</v>
      </c>
      <c r="Z35" s="32"/>
      <c r="AA35" s="93"/>
    </row>
    <row r="36" spans="2:27" ht="38" customHeight="1">
      <c r="B36" s="180" t="s">
        <v>17</v>
      </c>
      <c r="C36" s="179"/>
      <c r="D36" s="179"/>
      <c r="E36" s="179"/>
      <c r="F36" s="179"/>
      <c r="G36" s="179"/>
      <c r="H36" s="179"/>
      <c r="I36" s="179"/>
      <c r="J36" s="179"/>
      <c r="K36" s="179"/>
      <c r="L36" s="179"/>
      <c r="M36" s="181"/>
      <c r="P36" s="196" t="s">
        <v>30</v>
      </c>
      <c r="Q36" s="197"/>
      <c r="R36" s="92"/>
      <c r="S36" s="68">
        <v>0</v>
      </c>
      <c r="T36" s="68">
        <v>0</v>
      </c>
      <c r="U36" s="68">
        <v>0</v>
      </c>
      <c r="V36" s="68">
        <v>0</v>
      </c>
      <c r="W36" s="68">
        <v>0</v>
      </c>
      <c r="X36" s="68">
        <v>0</v>
      </c>
      <c r="Y36" s="32">
        <f>U12</f>
        <v>810205.89541330317</v>
      </c>
      <c r="Z36" s="32"/>
      <c r="AA36" s="93"/>
    </row>
    <row r="37" spans="2:27" ht="17.649999999999999">
      <c r="B37" s="9"/>
      <c r="C37" s="179"/>
      <c r="D37" s="179"/>
      <c r="E37" s="179"/>
      <c r="F37" s="179"/>
      <c r="G37" s="6"/>
      <c r="H37" s="6"/>
      <c r="I37" s="6"/>
      <c r="J37" s="6"/>
      <c r="K37" s="6"/>
      <c r="L37" s="6"/>
      <c r="M37" s="10"/>
      <c r="P37" s="196" t="s">
        <v>64</v>
      </c>
      <c r="Q37" s="197"/>
      <c r="R37" s="94"/>
      <c r="S37" s="68"/>
      <c r="T37" s="32"/>
      <c r="U37" s="32"/>
      <c r="V37" s="32"/>
      <c r="W37" s="32"/>
      <c r="X37" s="32"/>
      <c r="Y37" s="32">
        <v>25000</v>
      </c>
      <c r="Z37" s="95"/>
      <c r="AA37" s="93"/>
    </row>
    <row r="38" spans="2:27" ht="17" customHeight="1" thickBot="1">
      <c r="B38" s="180" t="s">
        <v>18</v>
      </c>
      <c r="C38" s="179"/>
      <c r="D38" s="179"/>
      <c r="E38" s="179"/>
      <c r="F38" s="179"/>
      <c r="G38" s="179"/>
      <c r="H38" s="179"/>
      <c r="I38" s="179"/>
      <c r="J38" s="179"/>
      <c r="K38" s="179"/>
      <c r="L38" s="179"/>
      <c r="M38" s="181"/>
      <c r="P38" s="196"/>
      <c r="Q38" s="197"/>
      <c r="R38" s="94"/>
      <c r="S38" s="14"/>
      <c r="T38" s="14"/>
      <c r="U38" s="14"/>
      <c r="V38" s="14"/>
      <c r="W38" s="14"/>
      <c r="X38" s="14"/>
      <c r="Y38" s="14"/>
      <c r="Z38" s="14"/>
      <c r="AA38" s="30"/>
    </row>
    <row r="39" spans="2:27" ht="17.649999999999999">
      <c r="B39" s="9"/>
      <c r="C39" s="179"/>
      <c r="D39" s="179"/>
      <c r="E39" s="179"/>
      <c r="F39" s="179"/>
      <c r="G39" s="6"/>
      <c r="H39" s="6"/>
      <c r="I39" s="6"/>
      <c r="J39" s="6"/>
      <c r="K39" s="6"/>
      <c r="L39" s="6"/>
      <c r="M39" s="10"/>
      <c r="P39" s="210" t="s">
        <v>40</v>
      </c>
      <c r="Q39" s="211"/>
      <c r="R39" s="96"/>
      <c r="S39" s="65"/>
      <c r="T39" s="97"/>
      <c r="U39" s="97"/>
      <c r="V39" s="97"/>
      <c r="W39" s="97"/>
      <c r="X39" s="97"/>
      <c r="Y39" s="97"/>
      <c r="Z39" s="98"/>
      <c r="AA39" s="99"/>
    </row>
    <row r="40" spans="2:27" ht="17.649999999999999">
      <c r="B40" s="185" t="s">
        <v>19</v>
      </c>
      <c r="C40" s="186"/>
      <c r="D40" s="186"/>
      <c r="E40" s="186"/>
      <c r="F40" s="186"/>
      <c r="G40" s="186"/>
      <c r="H40" s="186"/>
      <c r="I40" s="186"/>
      <c r="J40" s="186"/>
      <c r="K40" s="186"/>
      <c r="L40" s="186"/>
      <c r="M40" s="187"/>
      <c r="P40" s="212" t="s">
        <v>62</v>
      </c>
      <c r="Q40" s="213"/>
      <c r="R40" s="94"/>
      <c r="S40" s="145">
        <v>0</v>
      </c>
      <c r="T40" s="145">
        <v>0</v>
      </c>
      <c r="U40" s="145">
        <v>0</v>
      </c>
      <c r="V40" s="145">
        <v>0</v>
      </c>
      <c r="W40" s="145">
        <v>0</v>
      </c>
      <c r="X40" s="145">
        <v>0</v>
      </c>
      <c r="Y40" s="32">
        <f>Z11</f>
        <v>17318.805554188948</v>
      </c>
      <c r="Z40" s="95"/>
      <c r="AA40" s="93"/>
    </row>
    <row r="41" spans="2:27">
      <c r="C41" s="3"/>
      <c r="D41" s="3"/>
      <c r="E41" s="3"/>
      <c r="F41" s="3"/>
      <c r="P41" s="212" t="s">
        <v>24</v>
      </c>
      <c r="Q41" s="213"/>
      <c r="R41" s="94"/>
      <c r="S41" s="145">
        <v>0</v>
      </c>
      <c r="T41" s="145">
        <v>0</v>
      </c>
      <c r="U41" s="145">
        <v>0</v>
      </c>
      <c r="V41" s="145">
        <v>0</v>
      </c>
      <c r="W41" s="145">
        <v>0</v>
      </c>
      <c r="X41" s="145">
        <v>0</v>
      </c>
      <c r="Y41" s="32">
        <f>Y11</f>
        <v>16376.398364202812</v>
      </c>
      <c r="Z41" s="14"/>
      <c r="AA41" s="93"/>
    </row>
    <row r="42" spans="2:27">
      <c r="P42" s="212"/>
      <c r="Q42" s="213"/>
      <c r="R42" s="94"/>
      <c r="S42" s="14"/>
      <c r="T42" s="32"/>
      <c r="U42" s="32"/>
      <c r="V42" s="32"/>
      <c r="W42" s="32"/>
      <c r="X42" s="32"/>
      <c r="Y42" s="32"/>
      <c r="Z42" s="95"/>
      <c r="AA42" s="93"/>
    </row>
    <row r="43" spans="2:27" ht="15.75">
      <c r="B43" s="168" t="s">
        <v>71</v>
      </c>
      <c r="C43" s="169" t="s">
        <v>72</v>
      </c>
      <c r="D43" s="170" t="s">
        <v>73</v>
      </c>
      <c r="E43" s="174" t="s">
        <v>74</v>
      </c>
      <c r="F43" s="175"/>
      <c r="G43" s="171" t="s">
        <v>75</v>
      </c>
      <c r="H43" s="172">
        <v>1899336</v>
      </c>
      <c r="I43" s="173" t="s">
        <v>76</v>
      </c>
      <c r="J43" s="173">
        <v>3</v>
      </c>
      <c r="P43" s="214"/>
      <c r="Q43" s="197"/>
      <c r="R43" s="94"/>
      <c r="S43" s="68"/>
      <c r="T43" s="32"/>
      <c r="U43" s="32"/>
      <c r="V43" s="32"/>
      <c r="W43" s="32"/>
      <c r="X43" s="32"/>
      <c r="Y43" s="32"/>
      <c r="Z43" s="95"/>
      <c r="AA43" s="30"/>
    </row>
    <row r="44" spans="2:27" ht="16.149999999999999" thickBot="1">
      <c r="B44" s="168" t="s">
        <v>71</v>
      </c>
      <c r="C44" s="169" t="s">
        <v>77</v>
      </c>
      <c r="D44" s="170" t="s">
        <v>73</v>
      </c>
      <c r="E44" s="174" t="s">
        <v>78</v>
      </c>
      <c r="F44" s="175"/>
      <c r="G44" s="171" t="s">
        <v>75</v>
      </c>
      <c r="H44" s="172">
        <v>1847665</v>
      </c>
      <c r="I44" s="173" t="s">
        <v>76</v>
      </c>
      <c r="J44" s="173">
        <v>3</v>
      </c>
      <c r="P44" s="215"/>
      <c r="Q44" s="216"/>
      <c r="R44" s="100"/>
      <c r="S44" s="101"/>
      <c r="T44" s="71"/>
      <c r="U44" s="71"/>
      <c r="V44" s="71"/>
      <c r="W44" s="71"/>
      <c r="X44" s="71"/>
      <c r="Y44" s="71"/>
      <c r="Z44" s="102"/>
      <c r="AA44" s="103"/>
    </row>
    <row r="45" spans="2:27" ht="15.75">
      <c r="B45" s="168" t="s">
        <v>71</v>
      </c>
      <c r="C45" s="169" t="s">
        <v>79</v>
      </c>
      <c r="D45" s="170" t="s">
        <v>73</v>
      </c>
      <c r="E45" s="174" t="s">
        <v>80</v>
      </c>
      <c r="F45" s="175"/>
      <c r="G45" s="171" t="s">
        <v>75</v>
      </c>
      <c r="H45" s="172">
        <v>1573817</v>
      </c>
      <c r="I45" s="173" t="s">
        <v>76</v>
      </c>
      <c r="J45" s="173">
        <v>3</v>
      </c>
      <c r="P45" s="217" t="s">
        <v>41</v>
      </c>
      <c r="Q45" s="218"/>
      <c r="R45" s="146"/>
      <c r="S45" s="104">
        <f>S28+S29+S30+S31+S32</f>
        <v>-1365150</v>
      </c>
      <c r="T45" s="104">
        <f t="shared" ref="T45:X45" si="10">T26+T34+T35+T36+T40+T41</f>
        <v>995512.51416907506</v>
      </c>
      <c r="U45" s="104">
        <f t="shared" si="10"/>
        <v>1025710.5529130781</v>
      </c>
      <c r="V45" s="104">
        <f t="shared" si="10"/>
        <v>1014794.3763256856</v>
      </c>
      <c r="W45" s="104">
        <f t="shared" si="10"/>
        <v>1429497.7770359151</v>
      </c>
      <c r="X45" s="104">
        <f t="shared" si="10"/>
        <v>1422385.4743248376</v>
      </c>
      <c r="Y45" s="104">
        <f>Y26+Y34+Y35+Y36+Y40+Y41+Y37</f>
        <v>2713529.7789067868</v>
      </c>
      <c r="Z45" s="104"/>
      <c r="AA45" s="105"/>
    </row>
    <row r="46" spans="2:27">
      <c r="P46" s="217" t="s">
        <v>42</v>
      </c>
      <c r="Q46" s="219"/>
      <c r="R46" s="146"/>
      <c r="S46" s="68">
        <v>1</v>
      </c>
      <c r="T46" s="68">
        <f>(1/1.09)^T15</f>
        <v>0.9174311926605504</v>
      </c>
      <c r="U46" s="68">
        <f t="shared" ref="U46:Y46" si="11">(1/1.09)^U15</f>
        <v>0.84167999326655996</v>
      </c>
      <c r="V46" s="68">
        <f t="shared" si="11"/>
        <v>0.77218348006106408</v>
      </c>
      <c r="W46" s="68">
        <f t="shared" si="11"/>
        <v>0.7084252110651964</v>
      </c>
      <c r="X46" s="68">
        <f t="shared" si="11"/>
        <v>0.64993138629834524</v>
      </c>
      <c r="Y46" s="68">
        <f t="shared" si="11"/>
        <v>0.5962673268792158</v>
      </c>
      <c r="Z46" s="106"/>
      <c r="AA46" s="107"/>
    </row>
    <row r="47" spans="2:27" ht="18.399999999999999" thickBot="1">
      <c r="P47" s="220" t="s">
        <v>43</v>
      </c>
      <c r="Q47" s="221"/>
      <c r="R47" s="147"/>
      <c r="S47" s="108">
        <f>S45*S46</f>
        <v>-1365150</v>
      </c>
      <c r="T47" s="108">
        <f t="shared" ref="T47:Y47" si="12">T45*T46</f>
        <v>913314.2331826376</v>
      </c>
      <c r="U47" s="108">
        <f t="shared" si="12"/>
        <v>863320.05126931902</v>
      </c>
      <c r="V47" s="108">
        <f t="shared" si="12"/>
        <v>783607.45305756503</v>
      </c>
      <c r="W47" s="108">
        <f t="shared" si="12"/>
        <v>1012692.2644138972</v>
      </c>
      <c r="X47" s="108">
        <f t="shared" si="12"/>
        <v>924452.96317857096</v>
      </c>
      <c r="Y47" s="108">
        <f t="shared" si="12"/>
        <v>1617989.1476758993</v>
      </c>
      <c r="Z47" s="108"/>
      <c r="AA47" s="109"/>
    </row>
    <row r="48" spans="2:27" ht="18.399999999999999" thickBot="1">
      <c r="P48" s="148" t="s">
        <v>44</v>
      </c>
      <c r="Q48" s="110">
        <f>SUM(S47:Y47)</f>
        <v>4750226.1127778888</v>
      </c>
      <c r="R48" s="32"/>
      <c r="S48" s="32"/>
      <c r="T48" s="32"/>
      <c r="U48" s="32"/>
      <c r="V48" s="32"/>
      <c r="W48" s="32"/>
      <c r="X48" s="32"/>
      <c r="Y48" s="32"/>
      <c r="Z48" s="14"/>
      <c r="AA48" s="14"/>
    </row>
    <row r="49" spans="16:27">
      <c r="P49" s="14"/>
      <c r="Q49" s="14"/>
      <c r="R49" s="14"/>
      <c r="S49" s="14"/>
      <c r="T49" s="14"/>
      <c r="U49" s="14"/>
      <c r="V49" s="14"/>
      <c r="W49" s="14"/>
      <c r="X49" s="14"/>
      <c r="Y49" s="14"/>
      <c r="Z49" s="14"/>
      <c r="AA49" s="14"/>
    </row>
    <row r="50" spans="16:27" ht="18.399999999999999" thickBot="1">
      <c r="P50" s="13" t="s">
        <v>45</v>
      </c>
      <c r="Q50" s="14"/>
      <c r="R50" s="14"/>
      <c r="S50" s="111"/>
      <c r="T50" s="14"/>
      <c r="U50" s="14"/>
      <c r="V50" s="14"/>
      <c r="W50" s="14"/>
      <c r="X50" s="14"/>
      <c r="Y50" s="14"/>
      <c r="Z50" s="14"/>
      <c r="AA50" s="14"/>
    </row>
    <row r="51" spans="16:27" ht="18.399999999999999" thickBot="1">
      <c r="P51" s="200" t="s">
        <v>65</v>
      </c>
      <c r="Q51" s="201"/>
      <c r="R51" s="55" t="s">
        <v>46</v>
      </c>
      <c r="S51" s="150">
        <v>0.4</v>
      </c>
      <c r="T51" s="149">
        <v>-0.3</v>
      </c>
      <c r="U51" s="149">
        <v>-0.2</v>
      </c>
      <c r="V51" s="149">
        <v>-0.1</v>
      </c>
      <c r="W51" s="112">
        <v>0</v>
      </c>
      <c r="X51" s="112">
        <v>10</v>
      </c>
      <c r="Y51" s="112">
        <v>20</v>
      </c>
      <c r="Z51" s="112">
        <v>30</v>
      </c>
      <c r="AA51" s="113">
        <v>40</v>
      </c>
    </row>
    <row r="52" spans="16:27" ht="18.399999999999999" thickBot="1">
      <c r="P52" s="208" t="s">
        <v>66</v>
      </c>
      <c r="Q52" s="209"/>
      <c r="R52" s="151"/>
      <c r="S52" s="152">
        <v>2486737</v>
      </c>
      <c r="T52" s="65">
        <v>3052610</v>
      </c>
      <c r="U52" s="65">
        <v>3618482</v>
      </c>
      <c r="V52" s="65">
        <v>4184354</v>
      </c>
      <c r="W52" s="65">
        <v>4750226</v>
      </c>
      <c r="X52" s="65">
        <v>5316098</v>
      </c>
      <c r="Y52" s="65">
        <v>5881970</v>
      </c>
      <c r="Z52" s="65">
        <v>6447843</v>
      </c>
      <c r="AA52" s="66">
        <v>7013715</v>
      </c>
    </row>
    <row r="53" spans="16:27" ht="18.75" thickTop="1" thickBot="1">
      <c r="P53" s="222" t="s">
        <v>67</v>
      </c>
      <c r="Q53" s="223"/>
      <c r="R53" s="153"/>
      <c r="S53" s="154">
        <v>4961313</v>
      </c>
      <c r="T53" s="155">
        <v>4908541</v>
      </c>
      <c r="U53" s="155">
        <f>4855769</f>
        <v>4855769</v>
      </c>
      <c r="V53" s="155">
        <v>4802998</v>
      </c>
      <c r="W53" s="155">
        <v>4750226</v>
      </c>
      <c r="X53" s="155">
        <v>4697454</v>
      </c>
      <c r="Y53" s="155">
        <f>4644683</f>
        <v>4644683</v>
      </c>
      <c r="Z53" s="155">
        <v>4591911</v>
      </c>
      <c r="AA53" s="163">
        <v>4539139</v>
      </c>
    </row>
    <row r="54" spans="16:27" ht="18.399999999999999" thickBot="1">
      <c r="P54" s="224" t="s">
        <v>68</v>
      </c>
      <c r="Q54" s="225"/>
      <c r="R54" s="156"/>
      <c r="S54" s="157">
        <v>2486737</v>
      </c>
      <c r="T54" s="116">
        <v>3052610</v>
      </c>
      <c r="U54" s="116">
        <v>3618482</v>
      </c>
      <c r="V54" s="116">
        <v>4181354</v>
      </c>
      <c r="W54" s="116">
        <v>4750226</v>
      </c>
      <c r="X54" s="116">
        <v>5316098</v>
      </c>
      <c r="Y54" s="116">
        <v>5881970</v>
      </c>
      <c r="Z54" s="116">
        <v>6447843</v>
      </c>
      <c r="AA54" s="117">
        <v>7013715</v>
      </c>
    </row>
    <row r="55" spans="16:27" ht="18.399999999999999" thickBot="1">
      <c r="P55" s="131" t="s">
        <v>69</v>
      </c>
      <c r="Q55" s="161"/>
      <c r="R55" s="77"/>
      <c r="S55" s="162"/>
      <c r="T55" s="114"/>
      <c r="U55" s="114"/>
      <c r="V55" s="114"/>
      <c r="W55" s="114"/>
      <c r="X55" s="114"/>
      <c r="Y55" s="114"/>
      <c r="Z55" s="114"/>
      <c r="AA55" s="115"/>
    </row>
    <row r="56" spans="16:27" ht="18.399999999999999" thickBot="1">
      <c r="P56" s="208" t="s">
        <v>66</v>
      </c>
      <c r="Q56" s="209"/>
      <c r="R56" s="77"/>
      <c r="S56" s="164">
        <f>(ABS(S52-$Q$48)/$Q$48)*100%</f>
        <v>0.47650134099705438</v>
      </c>
      <c r="T56" s="164">
        <f t="shared" ref="T56:V56" si="13">(ABS(T52-$Q$48)/$Q$48)*100%</f>
        <v>0.35737585379596559</v>
      </c>
      <c r="U56" s="164">
        <f t="shared" si="13"/>
        <v>0.23825057711117148</v>
      </c>
      <c r="V56" s="164">
        <f t="shared" si="13"/>
        <v>0.11912530042637738</v>
      </c>
      <c r="W56" s="158">
        <f>(ABS(W52-$Q$48)/$Q$48)*100%</f>
        <v>2.3741583263058683E-8</v>
      </c>
      <c r="X56" s="158">
        <f>(ABS(X52-$Q$48)/$Q$48)*100%</f>
        <v>0.11912525294321084</v>
      </c>
      <c r="Y56" s="158">
        <f>(ABS(Y52-$Q$48)/$Q$48)*100%</f>
        <v>0.23825052962800497</v>
      </c>
      <c r="Z56" s="158">
        <f>(ABS(Z52-$Q$48)/$Q$48)*100%</f>
        <v>0.3573760168290937</v>
      </c>
      <c r="AA56" s="159">
        <f>(ABS(AA52-$Q$48)/$Q$48)*100%</f>
        <v>0.47650129351388781</v>
      </c>
    </row>
    <row r="57" spans="16:27" ht="18.75" thickTop="1" thickBot="1">
      <c r="P57" s="222" t="s">
        <v>67</v>
      </c>
      <c r="Q57" s="223"/>
      <c r="R57" s="94"/>
      <c r="S57" s="164">
        <f>(ABS(S53-$Q$48)/$Q$48)*100%</f>
        <v>4.4437229346682518E-2</v>
      </c>
      <c r="T57" s="164">
        <f t="shared" ref="T57:V57" si="14">(ABS(T53-$Q$48)/$Q$48)*100%</f>
        <v>3.3327863445542415E-2</v>
      </c>
      <c r="U57" s="164">
        <f t="shared" si="14"/>
        <v>2.2218497544402305E-2</v>
      </c>
      <c r="V57" s="164">
        <f t="shared" si="14"/>
        <v>1.1109342159556845E-2</v>
      </c>
      <c r="W57" s="158">
        <f>(ABS(W53-$Q$48)/$Q$48)*100%</f>
        <v>2.3741583263058683E-8</v>
      </c>
      <c r="X57" s="158">
        <f t="shared" ref="X57:Z57" si="15">(ABS(X53-$Q$48)/$Q$48)*100%</f>
        <v>1.110938964272337E-2</v>
      </c>
      <c r="Y57" s="158">
        <f t="shared" si="15"/>
        <v>2.2218545027568832E-2</v>
      </c>
      <c r="Z57" s="158">
        <f t="shared" si="15"/>
        <v>3.3327910928708938E-2</v>
      </c>
      <c r="AA57" s="159">
        <f>(ABS(AA53-$Q$48)/$Q$48)*100%</f>
        <v>4.4437276829849048E-2</v>
      </c>
    </row>
    <row r="58" spans="16:27" ht="18.399999999999999" thickBot="1">
      <c r="P58" s="224" t="s">
        <v>68</v>
      </c>
      <c r="Q58" s="225"/>
      <c r="R58" s="80"/>
      <c r="S58" s="165">
        <f>(ABS(S54-$Q$48)/$Q$48)*100%</f>
        <v>0.47650134099705438</v>
      </c>
      <c r="T58" s="165">
        <f>(ABS(T54-$Q$48)/$Q$48)*100%</f>
        <v>0.35737585379596559</v>
      </c>
      <c r="U58" s="165">
        <f>(ABS(U54-$Q$48)/$Q$48)*100%</f>
        <v>0.23825057711117148</v>
      </c>
      <c r="V58" s="165">
        <f>(ABS(V54-$Q$48)/$Q$48)*100%</f>
        <v>0.11975684931032</v>
      </c>
      <c r="W58" s="165">
        <f>(ABS(W54-$Q$48)/$Q$48)*100%</f>
        <v>2.3741583263058683E-8</v>
      </c>
      <c r="X58" s="165">
        <f>(ABS(X54-$Q$48)/$Q$48)*100%</f>
        <v>0.11912525294321084</v>
      </c>
      <c r="Y58" s="165">
        <f>(ABS(Y54-$Q$48)/$Q$48)*100%</f>
        <v>0.23825052962800497</v>
      </c>
      <c r="Z58" s="165">
        <f>(ABS(Z54-$Q$48)/$Q$48)*100%</f>
        <v>0.3573760168290937</v>
      </c>
      <c r="AA58" s="160">
        <f>(ABS(AA54-$Q$48)/$Q$48)*100%</f>
        <v>0.47650129351388781</v>
      </c>
    </row>
    <row r="59" spans="16:27" ht="18.399999999999999" thickBot="1">
      <c r="P59" s="226"/>
      <c r="Q59" s="216"/>
      <c r="R59" s="100"/>
      <c r="S59" s="71"/>
      <c r="T59" s="166"/>
      <c r="U59" s="166"/>
      <c r="V59" s="166"/>
      <c r="W59" s="166"/>
      <c r="X59" s="166"/>
      <c r="Y59" s="166"/>
      <c r="Z59" s="166"/>
      <c r="AA59" s="167"/>
    </row>
    <row r="60" spans="16:27" ht="18.399999999999999" thickBot="1">
      <c r="P60" s="14"/>
      <c r="Q60" s="14"/>
      <c r="R60" s="14"/>
      <c r="S60" s="14"/>
      <c r="T60" s="14"/>
      <c r="U60" s="14"/>
      <c r="V60" s="14"/>
      <c r="W60" s="14"/>
      <c r="X60" s="14"/>
      <c r="Y60" s="14"/>
      <c r="Z60" s="14"/>
      <c r="AA60" s="14"/>
    </row>
    <row r="61" spans="16:27" ht="18.399999999999999" thickBot="1">
      <c r="P61" s="227" t="s">
        <v>47</v>
      </c>
      <c r="Q61" s="228"/>
      <c r="R61" s="118">
        <f>X56/10</f>
        <v>1.1912525294321085E-2</v>
      </c>
      <c r="S61" s="14"/>
      <c r="T61" s="14"/>
      <c r="U61" s="14"/>
      <c r="V61" s="14"/>
      <c r="W61" s="14"/>
      <c r="X61" s="14"/>
      <c r="Y61" s="14"/>
      <c r="Z61" s="14"/>
      <c r="AA61" s="14"/>
    </row>
    <row r="62" spans="16:27">
      <c r="P62" s="229" t="s">
        <v>70</v>
      </c>
      <c r="Q62" s="230"/>
      <c r="R62" s="230"/>
      <c r="S62" s="230"/>
      <c r="T62" s="230"/>
      <c r="U62" s="230"/>
      <c r="V62" s="230"/>
      <c r="W62" s="230"/>
      <c r="X62" s="230"/>
      <c r="Y62" s="230"/>
      <c r="Z62" s="230"/>
      <c r="AA62" s="231"/>
    </row>
    <row r="63" spans="16:27">
      <c r="P63" s="232"/>
      <c r="Q63" s="233"/>
      <c r="R63" s="233"/>
      <c r="S63" s="233"/>
      <c r="T63" s="233"/>
      <c r="U63" s="233"/>
      <c r="V63" s="233"/>
      <c r="W63" s="233"/>
      <c r="X63" s="233"/>
      <c r="Y63" s="233"/>
      <c r="Z63" s="233"/>
      <c r="AA63" s="234"/>
    </row>
    <row r="64" spans="16:27" ht="18.399999999999999" thickBot="1">
      <c r="P64" s="235"/>
      <c r="Q64" s="236"/>
      <c r="R64" s="236"/>
      <c r="S64" s="236"/>
      <c r="T64" s="236"/>
      <c r="U64" s="236"/>
      <c r="V64" s="236"/>
      <c r="W64" s="236"/>
      <c r="X64" s="236"/>
      <c r="Y64" s="236"/>
      <c r="Z64" s="236"/>
      <c r="AA64" s="237"/>
    </row>
  </sheetData>
  <mergeCells count="70">
    <mergeCell ref="P59:Q59"/>
    <mergeCell ref="P61:Q61"/>
    <mergeCell ref="P62:AA64"/>
    <mergeCell ref="P53:Q53"/>
    <mergeCell ref="P54:Q54"/>
    <mergeCell ref="P56:Q56"/>
    <mergeCell ref="P57:Q57"/>
    <mergeCell ref="P58:Q58"/>
    <mergeCell ref="P52:Q52"/>
    <mergeCell ref="P38:Q38"/>
    <mergeCell ref="P39:Q39"/>
    <mergeCell ref="P40:Q40"/>
    <mergeCell ref="P41:Q41"/>
    <mergeCell ref="P42:Q42"/>
    <mergeCell ref="P43:Q43"/>
    <mergeCell ref="P44:Q44"/>
    <mergeCell ref="P45:Q45"/>
    <mergeCell ref="P46:Q46"/>
    <mergeCell ref="P47:Q47"/>
    <mergeCell ref="P51:Q51"/>
    <mergeCell ref="P37:Q37"/>
    <mergeCell ref="P26:Q26"/>
    <mergeCell ref="P27:Q27"/>
    <mergeCell ref="P28:Q28"/>
    <mergeCell ref="P29:Q29"/>
    <mergeCell ref="P30:Q30"/>
    <mergeCell ref="P31:Q31"/>
    <mergeCell ref="P32:Q32"/>
    <mergeCell ref="P33:Q33"/>
    <mergeCell ref="P34:Q34"/>
    <mergeCell ref="P35:Q35"/>
    <mergeCell ref="P36:Q36"/>
    <mergeCell ref="P25:Q25"/>
    <mergeCell ref="W3:X3"/>
    <mergeCell ref="P15:Q15"/>
    <mergeCell ref="P16:Q16"/>
    <mergeCell ref="P17:Q17"/>
    <mergeCell ref="P18:Q18"/>
    <mergeCell ref="P19:Q19"/>
    <mergeCell ref="P20:Q20"/>
    <mergeCell ref="P21:Q21"/>
    <mergeCell ref="P22:Q22"/>
    <mergeCell ref="P23:Q23"/>
    <mergeCell ref="P24:Q24"/>
    <mergeCell ref="C39:F39"/>
    <mergeCell ref="B4:M4"/>
    <mergeCell ref="B6:M6"/>
    <mergeCell ref="B8:M8"/>
    <mergeCell ref="B10:M10"/>
    <mergeCell ref="B2:G2"/>
    <mergeCell ref="F16:G16"/>
    <mergeCell ref="H16:I16"/>
    <mergeCell ref="B28:M28"/>
    <mergeCell ref="B30:M30"/>
    <mergeCell ref="E43:F43"/>
    <mergeCell ref="E44:F44"/>
    <mergeCell ref="E45:F45"/>
    <mergeCell ref="B12:M12"/>
    <mergeCell ref="C37:F37"/>
    <mergeCell ref="B36:M36"/>
    <mergeCell ref="B14:M14"/>
    <mergeCell ref="B23:M23"/>
    <mergeCell ref="B25:M25"/>
    <mergeCell ref="B27:M27"/>
    <mergeCell ref="B38:M38"/>
    <mergeCell ref="B40:M40"/>
    <mergeCell ref="B32:M32"/>
    <mergeCell ref="B33:M33"/>
    <mergeCell ref="B34:M34"/>
    <mergeCell ref="B35:M3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Énoncé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joliann morissette</dc:creator>
  <cp:lastModifiedBy>Laurent</cp:lastModifiedBy>
  <dcterms:created xsi:type="dcterms:W3CDTF">2021-02-09T17:02:11Z</dcterms:created>
  <dcterms:modified xsi:type="dcterms:W3CDTF">2021-04-14T20:54:52Z</dcterms:modified>
</cp:coreProperties>
</file>