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ser\Documents\"/>
    </mc:Choice>
  </mc:AlternateContent>
  <bookViews>
    <workbookView xWindow="0" yWindow="0" windowWidth="12084" windowHeight="8736" activeTab="1"/>
  </bookViews>
  <sheets>
    <sheet name="Directives" sheetId="14" r:id="rId1"/>
    <sheet name="Ennoncé" sheetId="12" r:id="rId2"/>
    <sheet name="Note" sheetId="13" state="hidden" r:id="rId3"/>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86" i="12" l="1"/>
  <c r="O22" i="12"/>
  <c r="L84" i="12"/>
  <c r="P83" i="12"/>
  <c r="Q83" i="12"/>
  <c r="R83" i="12"/>
  <c r="S83" i="12"/>
  <c r="T83" i="12"/>
  <c r="U83" i="12"/>
  <c r="V83" i="12"/>
  <c r="O83" i="12"/>
  <c r="N83" i="12"/>
  <c r="V81" i="12"/>
  <c r="U81" i="12"/>
  <c r="T81" i="12"/>
  <c r="S81" i="12"/>
  <c r="R81" i="12"/>
  <c r="Q81" i="12"/>
  <c r="P81" i="12"/>
  <c r="O81" i="12"/>
  <c r="N67" i="12"/>
  <c r="N66" i="12"/>
  <c r="N65" i="12"/>
  <c r="N45" i="12"/>
  <c r="P62" i="12"/>
  <c r="Q62" i="12"/>
  <c r="R62" i="12"/>
  <c r="S62" i="12"/>
  <c r="T62" i="12"/>
  <c r="U62" i="12"/>
  <c r="V62" i="12"/>
  <c r="O62" i="12"/>
  <c r="N62" i="12"/>
  <c r="O26" i="12"/>
  <c r="Q59" i="12"/>
  <c r="R59" i="12"/>
  <c r="S59" i="12"/>
  <c r="T59" i="12"/>
  <c r="U59" i="12"/>
  <c r="V59" i="12"/>
  <c r="P59" i="12"/>
  <c r="Q58" i="12"/>
  <c r="R58" i="12"/>
  <c r="S58" i="12"/>
  <c r="T58" i="12"/>
  <c r="U58" i="12"/>
  <c r="V58" i="12"/>
  <c r="P58" i="12"/>
  <c r="P22" i="12"/>
  <c r="O59" i="12"/>
  <c r="O58" i="12"/>
  <c r="P57" i="12"/>
  <c r="Q57" i="12"/>
  <c r="R57" i="12"/>
  <c r="S57" i="12"/>
  <c r="T57" i="12"/>
  <c r="U57" i="12"/>
  <c r="V57" i="12"/>
  <c r="O57" i="12"/>
  <c r="N57" i="12"/>
  <c r="O21" i="12"/>
  <c r="V73" i="12"/>
  <c r="V72" i="12"/>
  <c r="V71" i="12"/>
  <c r="V70" i="12"/>
  <c r="N64" i="12"/>
  <c r="V77" i="12"/>
  <c r="V76" i="12"/>
  <c r="K77" i="12"/>
  <c r="K76" i="12"/>
  <c r="K73" i="12"/>
  <c r="K72" i="12"/>
  <c r="K71" i="12"/>
  <c r="K70" i="12"/>
  <c r="V82" i="12"/>
  <c r="K67" i="12"/>
  <c r="K66" i="12"/>
  <c r="K65" i="12"/>
  <c r="K64" i="12"/>
  <c r="K59" i="12"/>
  <c r="K58" i="12"/>
  <c r="K57" i="12"/>
  <c r="P56" i="12"/>
  <c r="Q56" i="12"/>
  <c r="R56" i="12"/>
  <c r="S56" i="12"/>
  <c r="T56" i="12"/>
  <c r="U56" i="12"/>
  <c r="V56" i="12"/>
  <c r="O56" i="12"/>
  <c r="N56" i="12"/>
  <c r="O20" i="12"/>
  <c r="P82" i="12"/>
  <c r="Q82" i="12"/>
  <c r="R82" i="12"/>
  <c r="S82" i="12"/>
  <c r="T82" i="12"/>
  <c r="U82" i="12"/>
  <c r="O82" i="12"/>
  <c r="N82" i="12"/>
  <c r="N46" i="12"/>
  <c r="O54" i="12"/>
  <c r="P54" i="12"/>
  <c r="Q54" i="12"/>
  <c r="R54" i="12"/>
  <c r="S54" i="12"/>
  <c r="T54" i="12"/>
  <c r="U54" i="12"/>
  <c r="V54" i="12"/>
  <c r="N54" i="12"/>
  <c r="N18" i="12"/>
  <c r="P53" i="12"/>
  <c r="Q53" i="12"/>
  <c r="R53" i="12"/>
  <c r="S53" i="12"/>
  <c r="T53" i="12"/>
  <c r="U53" i="12"/>
  <c r="V53" i="12"/>
  <c r="O53" i="12"/>
  <c r="N53" i="12"/>
  <c r="K53" i="12"/>
  <c r="V52" i="12"/>
  <c r="U52" i="12"/>
  <c r="T52" i="12"/>
  <c r="S52" i="12"/>
  <c r="R52" i="12"/>
  <c r="Q52" i="12"/>
  <c r="P52" i="12"/>
  <c r="P16" i="12"/>
  <c r="O52" i="12"/>
  <c r="N52" i="12"/>
  <c r="N81" i="12" l="1"/>
  <c r="P47" i="12"/>
  <c r="Q47" i="12"/>
  <c r="R47" i="12"/>
  <c r="S47" i="12"/>
  <c r="T47" i="12"/>
  <c r="U47" i="12"/>
  <c r="V47" i="12"/>
  <c r="N47" i="12"/>
  <c r="V45" i="12"/>
  <c r="U45" i="12"/>
  <c r="T45" i="12"/>
  <c r="S45" i="12"/>
  <c r="R45" i="12"/>
  <c r="Q45" i="12"/>
  <c r="P45" i="12"/>
  <c r="O46" i="12"/>
  <c r="P46" i="12"/>
  <c r="Q46" i="12"/>
  <c r="R46" i="12"/>
  <c r="S46" i="12"/>
  <c r="T46" i="12"/>
  <c r="U46" i="12"/>
  <c r="V46" i="12"/>
  <c r="V41" i="12"/>
  <c r="V40" i="12"/>
  <c r="P26" i="12"/>
  <c r="Q26" i="12"/>
  <c r="R26" i="12"/>
  <c r="S26" i="12"/>
  <c r="T26" i="12"/>
  <c r="U26" i="12"/>
  <c r="V26" i="12"/>
  <c r="O45" i="12"/>
  <c r="O47" i="12" s="1"/>
  <c r="N26" i="12"/>
  <c r="U12" i="12"/>
  <c r="T12" i="12"/>
  <c r="U11" i="12"/>
  <c r="T11" i="12"/>
  <c r="U4" i="12"/>
  <c r="T4" i="12"/>
  <c r="V23" i="12"/>
  <c r="Q23" i="12"/>
  <c r="R23" i="12"/>
  <c r="S23" i="12"/>
  <c r="T23" i="12"/>
  <c r="U23" i="12"/>
  <c r="P23" i="12"/>
  <c r="O23" i="12"/>
  <c r="S21" i="12"/>
  <c r="T21" i="12"/>
  <c r="U21" i="12"/>
  <c r="V21" i="12"/>
  <c r="P21" i="12"/>
  <c r="Q21" i="12"/>
  <c r="R21" i="12"/>
  <c r="V22" i="12"/>
  <c r="Q22" i="12"/>
  <c r="R22" i="12"/>
  <c r="S22" i="12"/>
  <c r="T22" i="12"/>
  <c r="U22" i="12"/>
  <c r="N21" i="12"/>
  <c r="S20" i="12"/>
  <c r="P20" i="12"/>
  <c r="Q20" i="12"/>
  <c r="R20" i="12"/>
  <c r="T20" i="12"/>
  <c r="U20" i="12"/>
  <c r="V20" i="12"/>
  <c r="N20" i="12"/>
  <c r="V18" i="12"/>
  <c r="U18" i="12"/>
  <c r="T18" i="12"/>
  <c r="S18" i="12"/>
  <c r="R18" i="12"/>
  <c r="Q18" i="12"/>
  <c r="P18" i="12"/>
  <c r="O18" i="12"/>
  <c r="T17" i="12"/>
  <c r="U17" i="12"/>
  <c r="V17" i="12"/>
  <c r="S17" i="12"/>
  <c r="P17" i="12"/>
  <c r="Q17" i="12"/>
  <c r="R17" i="12"/>
  <c r="O17" i="12"/>
  <c r="V16" i="12"/>
  <c r="U16" i="12"/>
  <c r="T16" i="12"/>
  <c r="S16" i="12"/>
  <c r="R16" i="12"/>
  <c r="Q16" i="12"/>
  <c r="O16" i="12"/>
  <c r="V37" i="12"/>
  <c r="V36" i="12"/>
  <c r="V35" i="12"/>
  <c r="N31" i="12"/>
  <c r="N30" i="12"/>
  <c r="N29" i="12"/>
  <c r="V34" i="12"/>
  <c r="N28" i="12"/>
  <c r="P12" i="12"/>
  <c r="M11" i="12"/>
  <c r="O10" i="12"/>
  <c r="P10" i="12"/>
  <c r="P8" i="12"/>
  <c r="P7" i="12"/>
  <c r="P6" i="12"/>
  <c r="P3" i="12"/>
  <c r="P11" i="12"/>
  <c r="O12" i="12"/>
  <c r="O11" i="12"/>
  <c r="L12" i="12"/>
  <c r="L11" i="12"/>
  <c r="L10" i="12"/>
  <c r="L9" i="12"/>
  <c r="L4" i="12"/>
  <c r="L3" i="12"/>
  <c r="L48" i="12" l="1"/>
  <c r="T2" i="13" s="1"/>
  <c r="V2" i="13"/>
  <c r="U2" i="13"/>
  <c r="S2" i="13"/>
  <c r="R2" i="13"/>
  <c r="Q2" i="13"/>
  <c r="P2" i="13"/>
  <c r="O2" i="13"/>
  <c r="N2" i="13"/>
  <c r="M2" i="13"/>
  <c r="L2" i="13"/>
  <c r="K2" i="13"/>
  <c r="J2" i="13"/>
  <c r="I2" i="13" l="1"/>
  <c r="G2" i="13"/>
  <c r="E2" i="13"/>
  <c r="C2" i="13"/>
</calcChain>
</file>

<file path=xl/connections.xml><?xml version="1.0" encoding="utf-8"?>
<connections xmlns="http://schemas.openxmlformats.org/spreadsheetml/2006/main">
  <connection id="1" keepAlive="1" name="Requête - Exemple de fichier" description="Connexion à la requête « Exemple de fichier » dans le classeur." type="5" refreshedVersion="0" background="1">
    <dbPr connection="Provider=Microsoft.Mashup.OleDb.1;Data Source=$Workbook$;Location=&quot;Exemple de fichier&quot;;Extended Properties=&quot;&quot;" command="SELECT * FROM [Exemple de fichier]"/>
  </connection>
  <connection id="2" keepAlive="1" name="Requête - Paramètre1" description="Connexion à la requête « Paramètre1 » dans le classeur." type="5" refreshedVersion="0" background="1">
    <dbPr connection="Provider=Microsoft.Mashup.OleDb.1;Data Source=$Workbook$;Location=Paramètre1;Extended Properties=&quot;&quot;" command="SELECT * FROM [Paramètre1]"/>
  </connection>
  <connection id="3" keepAlive="1" name="Requête - test" description="Connexion à la requête « test » dans le classeur." type="5" refreshedVersion="6" background="1">
    <dbPr connection="Provider=Microsoft.Mashup.OleDb.1;Data Source=$Workbook$;Location=test;Extended Properties=&quot;&quot;" command="SELECT * FROM [test]"/>
  </connection>
  <connection id="4" keepAlive="1" name="Requête - Transformer le fichier" description="Connexion à la requête « Transformer le fichier » dans le classeur." type="5" refreshedVersion="0" background="1">
    <dbPr connection="Provider=Microsoft.Mashup.OleDb.1;Data Source=$Workbook$;Location=&quot;Transformer le fichier&quot;;Extended Properties=&quot;&quot;" command="SELECT * FROM [Transformer le fichier]"/>
  </connection>
  <connection id="5" keepAlive="1" name="Requête - Transformer l'exemple de fichier" description="Connexion à la requête « Transformer l'exemple de fichier » dans le classeur." type="5" refreshedVersion="0" background="1">
    <dbPr connection="Provider=Microsoft.Mashup.OleDb.1;Data Source=$Workbook$;Location=&quot;Transformer l'exemple de fichier&quot;;Extended Properties=&quot;&quot;" command="SELECT * FROM [Transformer l'exemple de fichier]"/>
  </connection>
</connections>
</file>

<file path=xl/sharedStrings.xml><?xml version="1.0" encoding="utf-8"?>
<sst xmlns="http://schemas.openxmlformats.org/spreadsheetml/2006/main" count="136" uniqueCount="105">
  <si>
    <t>NOM :</t>
  </si>
  <si>
    <t xml:space="preserve">Année </t>
  </si>
  <si>
    <t>Données</t>
  </si>
  <si>
    <t>Prén. :</t>
  </si>
  <si>
    <t>Matricule</t>
  </si>
  <si>
    <t>Gr.</t>
  </si>
  <si>
    <t>Ventes en unité</t>
  </si>
  <si>
    <t>Flux monétaires</t>
  </si>
  <si>
    <t>Flux monétaires nets d'exploitation</t>
  </si>
  <si>
    <t>Investissements</t>
  </si>
  <si>
    <t xml:space="preserve">Équipement </t>
  </si>
  <si>
    <t>Immeuble</t>
  </si>
  <si>
    <t>Terrain</t>
  </si>
  <si>
    <t>Valeurs de récupération</t>
  </si>
  <si>
    <t>Facteur d'actualisation</t>
  </si>
  <si>
    <t>Flux monétaires actualisés</t>
  </si>
  <si>
    <t>Valeur de récupération</t>
  </si>
  <si>
    <t>Après plusieurs discussions en comité, avec le département des ventes, le département de marketing et la firme de consultation, il est clair que la quantité que l’on pourrait vendre de notre produit représentent la variable la plus incertaine de ce projet. À cet effet, le comité a établi 5 valeurs de cette variable et révèle la distribution de probabilités suivante : </t>
  </si>
  <si>
    <t>Ventes annuelles prévues</t>
  </si>
  <si>
    <t>Probabilité</t>
  </si>
  <si>
    <t xml:space="preserve">Années 1 à 4 (fin d’année) </t>
  </si>
  <si>
    <t xml:space="preserve">Années 5 à 8 (fin d’année) </t>
  </si>
  <si>
    <t xml:space="preserve">Débours </t>
  </si>
  <si>
    <t>Ajustement fiscal sur disposition d'actif</t>
  </si>
  <si>
    <t>Ajustement fiscal des valeur de récupération</t>
  </si>
  <si>
    <t>Équipements</t>
  </si>
  <si>
    <t>Ajustement fiscal avec fermeture</t>
  </si>
  <si>
    <t>Ajustement fiscal sans fermeture</t>
  </si>
  <si>
    <t>Flux monétaires nets après impôts</t>
  </si>
  <si>
    <t xml:space="preserve">Travail à faire : </t>
  </si>
  <si>
    <t xml:space="preserve">Le taux de déduction pour amortissement fiscal (DPA) qui s’applique à l’équipement est de 20 % calculé sur le solde non amorti. </t>
  </si>
  <si>
    <t xml:space="preserve">Le taux de DPA qui s’applique à l’immeuble est de 4% calculé sur le solde non amorti </t>
  </si>
  <si>
    <t xml:space="preserve">L’entreprise est assujettie à un taux d’impôt marginal de 22,6 % et son taux de rendement acceptable minimum (TRAM) est de 8,5 % après impôt. </t>
  </si>
  <si>
    <t xml:space="preserve">À la disposition des actifs en fin de projet, il ne restera plus d'équipements de cette catégorie dans l'entreprise par contre, il restera d'autres immeubles appartenant à cette même catégorie dans l’entreprise. Sauf indication contraire, les entrées et les sorties de fonds se produiront en fin de période. </t>
  </si>
  <si>
    <t>Vous travaillez depuis maintenant 10 ans pour l’entreprise Cov inc. qui se spécialise en équipements de protection bactérienne. Voyant qu’il y a présentement une belle opportunité de marché Post covid-19, une idée a germé et vous aimeriez l’exploiter. Ces 2 derniers mois, elle a investi 20 000 $ en recherche et développement et vous êtes en train d’analyser les données d’analyse de marché que vous aviez commandée auprès d’une firme spécialisée. Cov inc. vient de recevoir la facture de 14 000 $ pour le travail effectué et elle a 30 jours pour faire le payement.</t>
  </si>
  <si>
    <t>Pour réaliser ce projet d'une durée de 8 ans, elle devra faire l’acquisition d’un nouvel immeuble avec terrain. Après plusieurs recherches, vous avez trouvé une usine à proximité de son usine principale. En regardant le compte de taxes, l’on constate que le terrain est évalué à 625 000 $ et que la bâtisse est évaluée à 430 000 $. Après plusieurs négociations, vous considérez que vous seriez capable d’en faire faire l’acquisition pour 1 263 000 $.</t>
  </si>
  <si>
    <t>À noter que des frais notariés de 4 750$ et des droits de mutation de 24 500 $ devront également être déboursés pour conclure cette transaction.</t>
  </si>
  <si>
    <t xml:space="preserve">Au bout de 8 ans, l’immeuble aura une valeur de revente estimée de 220 000 $ et le terrain devrait prendre 2% de valeur par année. À la fin des 8 années, le terrain sera vendu à sa valeur marchande. </t>
  </si>
  <si>
    <t>De plus, elle devra investir dans du nouvel équipement évaluer à 275 000 $, installation et formations de base incluses. Cet équipement possèderait une vie utile de 20 ans. À la fin de sa vie utile, la valeur de revente sera de 30 000 $. On considère que ce type d’équipement perd toujours la même valeur à  chaque année.</t>
  </si>
  <si>
    <t xml:space="preserve">Le comité a déterminé que l’on pouvait s’attendre à une contribution marginale unitaire (marge sur coût variable unitaire) avant impôt de 22 $. Les charges d’exploitation fixes avant impôts, autres que l’amortissement comptable, devrait-être de 124 000 $ par année pour les quatres premières années et passeront par la suite à 243 000 $ par année pour les   années restantes du projet. </t>
  </si>
  <si>
    <t>a) Calculer le coût d'acquisition et la valeur de récupération de l'équipement, du bâtiment et du terrain.</t>
  </si>
  <si>
    <t>c) Calculer la VAN après impôt en considérant que :</t>
  </si>
  <si>
    <t>b) Calculer l'ajustement fiscal sur disposition d'actif en donnant le detail des calculs pour chaque categorie avec et sans fermeture</t>
  </si>
  <si>
    <t>e) Tirer une conclusion pour le projet. Indiquer l'impact en % sur la VAN.</t>
  </si>
  <si>
    <t>d) On vous demande finalement d'effectuer une analyse de sensibilité sur la contribution marginale en la faisant varier de plus 10% (refaire le tableau)</t>
  </si>
  <si>
    <t>Automne 2020</t>
  </si>
  <si>
    <t>VAN :</t>
  </si>
  <si>
    <t>e) Impact sur la VAN</t>
  </si>
  <si>
    <t>d) Analyse de sensibilité</t>
  </si>
  <si>
    <t>c) VAN après impôt</t>
  </si>
  <si>
    <t>b) Ajustement fiscal sur disposition d'actif</t>
  </si>
  <si>
    <t>a) Coût d'acquisition et valeur de récupération</t>
  </si>
  <si>
    <t>Données (Taux %)</t>
  </si>
  <si>
    <t>Impact sur la VAN</t>
  </si>
  <si>
    <t xml:space="preserve">À cause de l’augmentation de la production, Il faudra dédier en début de projet un fonds de roulement de 30 000 $. Le fonds de roulement sera récupéré à la fin du projet. </t>
  </si>
  <si>
    <t>DIRECTIVES IMPORTANTES</t>
  </si>
  <si>
    <t>Utiliser seulement une version d'Excel qui est installé sur un ordinateur pour éditer</t>
  </si>
  <si>
    <t>Étapes du TP</t>
  </si>
  <si>
    <t>1- Télécharger sur votre ordinateur le fichier Excel</t>
  </si>
  <si>
    <t xml:space="preserve"> Effectuer vos calculs à l'aide d'Excel seulement, pas de calculatrice. Excel garde toutes les décimales même si elles ne sont pas montrées.</t>
  </si>
  <si>
    <t xml:space="preserve"> Mettre les réponses dans les cases en jaunes seulement</t>
  </si>
  <si>
    <t xml:space="preserve">  Il est possible que pour certaines questions il n'y ait pas de réponse. Dans ce cas, mettre 0 dans la cellule en jaune.</t>
  </si>
  <si>
    <t xml:space="preserve"> NE PAS MODIFIER LE FICHIER (ajouter des lignes ou des colonnes, fusionner, etc.).</t>
  </si>
  <si>
    <t xml:space="preserve"> Ne pas changer le format de la réponse.</t>
  </si>
  <si>
    <t xml:space="preserve"> Ne pas faire de copier/coller ou de couper/coller.</t>
  </si>
  <si>
    <t xml:space="preserve"> Respecter les signes dans le tableau du calcul de la VAN</t>
  </si>
  <si>
    <t>3 points sur 20 sont donnés pour suivre la démarche parfaitement</t>
  </si>
  <si>
    <t>Amusez vous bien !!!!</t>
  </si>
  <si>
    <t>2- Effectuer et compléter le TP</t>
  </si>
  <si>
    <t>3- Déposer le dans la BONNE boite de dépôt.</t>
  </si>
  <si>
    <t>SSH3201 - Analyse de rentabilité de projets</t>
  </si>
  <si>
    <t>Coût d'achat</t>
  </si>
  <si>
    <t>Frais notariés</t>
  </si>
  <si>
    <t>Droits de mutation</t>
  </si>
  <si>
    <t>Évaluation de la ville</t>
  </si>
  <si>
    <t>Bâtisse</t>
  </si>
  <si>
    <t>% Terrain</t>
  </si>
  <si>
    <t>% Bâtisse</t>
  </si>
  <si>
    <t>Coût d'acquisition terrain</t>
  </si>
  <si>
    <t>Coût d'acquisition bâtisse</t>
  </si>
  <si>
    <t>Coût d'acquisition d'équipement</t>
  </si>
  <si>
    <t>Durée de vie utile</t>
  </si>
  <si>
    <t>Valeur de revente après 20 ans</t>
  </si>
  <si>
    <t>Amortissement</t>
  </si>
  <si>
    <t>Amortissement cumulé après 8 ans</t>
  </si>
  <si>
    <t>Valeur de récup. équip. après 8 ans</t>
  </si>
  <si>
    <t>Valeur de récup. du terrain</t>
  </si>
  <si>
    <t>Fonds de roulement</t>
  </si>
  <si>
    <t>Achat équipement</t>
  </si>
  <si>
    <t>Achat immeuble</t>
  </si>
  <si>
    <t>Achat terrain</t>
  </si>
  <si>
    <t>Récupération équipement</t>
  </si>
  <si>
    <t>Récupération immeuble</t>
  </si>
  <si>
    <t>Récupération terrain</t>
  </si>
  <si>
    <t>Récupération fonds de roulement</t>
  </si>
  <si>
    <t>Coûts fixes avant impôt</t>
  </si>
  <si>
    <t>Contributions maginales globales</t>
  </si>
  <si>
    <t>Impôts sur les FMN d'exploitation</t>
  </si>
  <si>
    <t>Déduction d'impôt liées à l'équip.</t>
  </si>
  <si>
    <t>Déduction d'impôt liées à l'immeuble</t>
  </si>
  <si>
    <r>
      <t>FNACC</t>
    </r>
    <r>
      <rPr>
        <sz val="8"/>
        <color theme="1"/>
        <rFont val="Calibri"/>
        <family val="2"/>
        <scheme val="minor"/>
      </rPr>
      <t>8</t>
    </r>
  </si>
  <si>
    <t>Effet sur la disposition de l'immeuble</t>
  </si>
  <si>
    <t>Effet sur la disposition de l'équipement</t>
  </si>
  <si>
    <t>Contribution marginale globale de +10%</t>
  </si>
  <si>
    <t xml:space="preserve">On remarque la VAN est très sensible à une augmentation de la contribution marginale. Après avoir simplement augmenter de 10% entre les deux analyses, on se retrouve avec une augmentation de 59,98% de la VAN, et ce sans avoir touché aux autres paramètres. Cela signifie que si l'entrprise prévoie d'augmenter légèrement ses ventes de 10% ou de diminuer légèrement ses coûts variables de 10% cela aura un impact énorme sur la valeur actuel net d'un projet. La nouvelle VAN découlant de l'augmentation de la contribtion marginale sera 1,6 fois plus grande que la VAN du projet au départ.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</si>
</sst>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 * #,##0.00_)\ &quot;$&quot;_ ;_ * \(#,##0.00\)\ &quot;$&quot;_ ;_ * &quot;-&quot;??_)\ &quot;$&quot;_ ;_ @_ "/>
    <numFmt numFmtId="164" formatCode="#,##0&quot; u&quot;"/>
    <numFmt numFmtId="165" formatCode="#,##0\ &quot;$&quot;_-;[Red]#,##0\ &quot;$&quot;\-"/>
    <numFmt numFmtId="166" formatCode="_ * #,##0_)\ &quot;$&quot;_ ;_ * \(#,##0\)\ &quot;$&quot;_ ;_ * &quot;-&quot;??_)\ &quot;$&quot;_ ;_ @_ "/>
    <numFmt numFmtId="167" formatCode="0.0000"/>
    <numFmt numFmtId="168" formatCode="#,##0&quot; u.&quot;"/>
    <numFmt numFmtId="169" formatCode="#,##0&quot; ans&quot;"/>
    <numFmt numFmtId="170" formatCode="#,##0\ &quot;$&quot;_-"/>
    <numFmt numFmtId="171" formatCode="0.0%"/>
  </numFmts>
  <fonts count="16" x14ac:knownFonts="1">
    <font>
      <sz val="11"/>
      <color theme="1"/>
      <name val="Arial"/>
    </font>
    <font>
      <sz val="12"/>
      <color theme="1"/>
      <name val="Calibri"/>
      <family val="2"/>
      <scheme val="minor"/>
    </font>
    <font>
      <sz val="11"/>
      <color theme="1"/>
      <name val="Arial"/>
      <family val="2"/>
    </font>
    <font>
      <b/>
      <sz val="12"/>
      <color theme="1"/>
      <name val="Calibri"/>
      <family val="2"/>
      <scheme val="minor"/>
    </font>
    <font>
      <sz val="12"/>
      <color rgb="FF000000"/>
      <name val="Calibri"/>
      <family val="2"/>
      <scheme val="minor"/>
    </font>
    <font>
      <sz val="12"/>
      <name val="Calibri"/>
      <family val="2"/>
      <scheme val="minor"/>
    </font>
    <font>
      <b/>
      <sz val="12"/>
      <name val="Arial"/>
      <family val="2"/>
    </font>
    <font>
      <b/>
      <sz val="12"/>
      <color rgb="FF000000"/>
      <name val="Calibri"/>
      <family val="2"/>
      <scheme val="minor"/>
    </font>
    <font>
      <b/>
      <sz val="12"/>
      <name val="Calibri"/>
      <family val="2"/>
      <scheme val="minor"/>
    </font>
    <font>
      <sz val="11"/>
      <color indexed="8"/>
      <name val="Arial"/>
      <family val="2"/>
    </font>
    <font>
      <b/>
      <sz val="24"/>
      <color indexed="8"/>
      <name val="Arial"/>
      <family val="2"/>
    </font>
    <font>
      <sz val="12"/>
      <color indexed="8"/>
      <name val="Arial"/>
      <family val="2"/>
    </font>
    <font>
      <b/>
      <sz val="12"/>
      <color indexed="8"/>
      <name val="Arial"/>
      <family val="2"/>
    </font>
    <font>
      <b/>
      <u/>
      <sz val="12"/>
      <color indexed="8"/>
      <name val="Arial"/>
      <family val="2"/>
    </font>
    <font>
      <b/>
      <u/>
      <sz val="12"/>
      <color theme="1"/>
      <name val="Calibri"/>
      <family val="2"/>
      <scheme val="minor"/>
    </font>
    <font>
      <sz val="8"/>
      <color theme="1"/>
      <name val="Calibri"/>
      <family val="2"/>
      <scheme val="minor"/>
    </font>
  </fonts>
  <fills count="7">
    <fill>
      <patternFill patternType="none"/>
    </fill>
    <fill>
      <patternFill patternType="gray125"/>
    </fill>
    <fill>
      <patternFill patternType="solid">
        <fgColor rgb="FFD8D8D8"/>
        <bgColor rgb="FFD8D8D8"/>
      </patternFill>
    </fill>
    <fill>
      <patternFill patternType="solid">
        <fgColor rgb="FFFFFF00"/>
        <bgColor rgb="FFFFFF00"/>
      </patternFill>
    </fill>
    <fill>
      <patternFill patternType="solid">
        <fgColor rgb="FFFFFF00"/>
        <bgColor indexed="64"/>
      </patternFill>
    </fill>
    <fill>
      <patternFill patternType="solid">
        <fgColor indexed="9"/>
        <bgColor auto="1"/>
      </patternFill>
    </fill>
    <fill>
      <patternFill patternType="solid">
        <fgColor rgb="FFFFC000"/>
        <bgColor indexed="64"/>
      </patternFill>
    </fill>
  </fills>
  <borders count="49">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right/>
      <top style="thin">
        <color rgb="FF000000"/>
      </top>
      <bottom/>
      <diagonal/>
    </border>
    <border>
      <left/>
      <right/>
      <top style="medium">
        <color rgb="FF000000"/>
      </top>
      <bottom style="medium">
        <color rgb="FF000000"/>
      </bottom>
      <diagonal/>
    </border>
    <border>
      <left style="medium">
        <color rgb="FF000000"/>
      </left>
      <right/>
      <top/>
      <bottom/>
      <diagonal/>
    </border>
    <border>
      <left/>
      <right/>
      <top/>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rgb="FF000000"/>
      </bottom>
      <diagonal/>
    </border>
    <border>
      <left/>
      <right/>
      <top style="medium">
        <color indexed="64"/>
      </top>
      <bottom style="medium">
        <color rgb="FF000000"/>
      </bottom>
      <diagonal/>
    </border>
    <border>
      <left style="medium">
        <color indexed="64"/>
      </left>
      <right/>
      <top style="medium">
        <color rgb="FF000000"/>
      </top>
      <bottom style="medium">
        <color rgb="FF000000"/>
      </bottom>
      <diagonal/>
    </border>
    <border>
      <left/>
      <right style="medium">
        <color indexed="64"/>
      </right>
      <top style="medium">
        <color rgb="FF000000"/>
      </top>
      <bottom style="medium">
        <color rgb="FF000000"/>
      </bottom>
      <diagonal/>
    </border>
    <border>
      <left/>
      <right/>
      <top style="thin">
        <color indexed="64"/>
      </top>
      <bottom/>
      <diagonal/>
    </border>
    <border>
      <left/>
      <right style="medium">
        <color indexed="64"/>
      </right>
      <top style="medium">
        <color indexed="64"/>
      </top>
      <bottom style="medium">
        <color rgb="FF000000"/>
      </bottom>
      <diagonal/>
    </border>
    <border>
      <left/>
      <right/>
      <top style="medium">
        <color indexed="64"/>
      </top>
      <bottom style="medium">
        <color indexed="64"/>
      </bottom>
      <diagonal/>
    </border>
    <border>
      <left style="medium">
        <color rgb="FF000000"/>
      </left>
      <right style="medium">
        <color rgb="FF000000"/>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000000"/>
      </left>
      <right/>
      <top style="medium">
        <color indexed="64"/>
      </top>
      <bottom style="medium">
        <color rgb="FF000000"/>
      </bottom>
      <diagonal/>
    </border>
    <border>
      <left style="medium">
        <color rgb="FF000000"/>
      </left>
      <right/>
      <top style="medium">
        <color indexed="64"/>
      </top>
      <bottom style="medium">
        <color rgb="FF000000"/>
      </bottom>
      <diagonal/>
    </border>
    <border>
      <left style="medium">
        <color rgb="FF000000"/>
      </left>
      <right style="medium">
        <color rgb="FF000000"/>
      </right>
      <top/>
      <bottom style="medium">
        <color indexed="64"/>
      </bottom>
      <diagonal/>
    </border>
    <border>
      <left style="medium">
        <color rgb="FF000000"/>
      </left>
      <right/>
      <top style="medium">
        <color indexed="64"/>
      </top>
      <bottom/>
      <diagonal/>
    </border>
    <border>
      <left style="medium">
        <color rgb="FF000000"/>
      </left>
      <right/>
      <top/>
      <bottom style="medium">
        <color indexed="64"/>
      </bottom>
      <diagonal/>
    </border>
    <border>
      <left style="medium">
        <color rgb="FF000000"/>
      </left>
      <right/>
      <top style="medium">
        <color rgb="FF000000"/>
      </top>
      <bottom/>
      <diagonal/>
    </border>
    <border>
      <left/>
      <right/>
      <top style="medium">
        <color rgb="FF000000"/>
      </top>
      <bottom/>
      <diagonal/>
    </border>
    <border>
      <left/>
      <right style="medium">
        <color indexed="64"/>
      </right>
      <top style="medium">
        <color rgb="FF000000"/>
      </top>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s>
  <cellStyleXfs count="4">
    <xf numFmtId="0" fontId="0" fillId="0" borderId="0"/>
    <xf numFmtId="44" fontId="2" fillId="0" borderId="0" applyFont="0" applyFill="0" applyBorder="0" applyAlignment="0" applyProtection="0"/>
    <xf numFmtId="9" fontId="2" fillId="0" borderId="0" applyFont="0" applyFill="0" applyBorder="0" applyAlignment="0" applyProtection="0"/>
    <xf numFmtId="0" fontId="9" fillId="0" borderId="9" applyNumberFormat="0" applyFill="0" applyBorder="0" applyProtection="0"/>
  </cellStyleXfs>
  <cellXfs count="248">
    <xf numFmtId="0" fontId="0" fillId="0" borderId="0" xfId="0" applyFont="1" applyAlignment="1"/>
    <xf numFmtId="168" fontId="4" fillId="0" borderId="14" xfId="0" applyNumberFormat="1" applyFont="1" applyBorder="1" applyAlignment="1">
      <alignment vertical="center"/>
    </xf>
    <xf numFmtId="168" fontId="4" fillId="0" borderId="16" xfId="0" applyNumberFormat="1" applyFont="1" applyBorder="1" applyAlignment="1">
      <alignment vertical="center"/>
    </xf>
    <xf numFmtId="0" fontId="3" fillId="0" borderId="0" xfId="0" applyFont="1" applyAlignment="1"/>
    <xf numFmtId="0" fontId="1" fillId="0" borderId="0" xfId="0" applyFont="1" applyAlignment="1"/>
    <xf numFmtId="49" fontId="3" fillId="0" borderId="1" xfId="0" applyNumberFormat="1" applyFont="1" applyBorder="1"/>
    <xf numFmtId="49" fontId="4" fillId="0" borderId="1" xfId="0" applyNumberFormat="1" applyFont="1" applyBorder="1"/>
    <xf numFmtId="0" fontId="3" fillId="0" borderId="2" xfId="0" applyFont="1" applyBorder="1"/>
    <xf numFmtId="49" fontId="3" fillId="0" borderId="2" xfId="0" applyNumberFormat="1" applyFont="1" applyBorder="1"/>
    <xf numFmtId="0" fontId="1" fillId="0" borderId="2" xfId="0" applyFont="1" applyBorder="1"/>
    <xf numFmtId="0" fontId="3" fillId="0" borderId="2" xfId="0" applyFont="1" applyBorder="1" applyAlignment="1">
      <alignment horizontal="right"/>
    </xf>
    <xf numFmtId="0" fontId="6" fillId="0" borderId="0" xfId="0" applyFont="1" applyAlignment="1">
      <alignment vertical="center"/>
    </xf>
    <xf numFmtId="9" fontId="1" fillId="0" borderId="0" xfId="0" applyNumberFormat="1" applyFont="1" applyAlignment="1"/>
    <xf numFmtId="0" fontId="1" fillId="0" borderId="12" xfId="0" applyFont="1" applyBorder="1" applyAlignment="1"/>
    <xf numFmtId="0" fontId="3" fillId="2" borderId="39" xfId="0" applyFont="1" applyFill="1" applyBorder="1" applyAlignment="1">
      <alignment horizontal="center"/>
    </xf>
    <xf numFmtId="0" fontId="3" fillId="0" borderId="40" xfId="0" applyFont="1" applyBorder="1" applyAlignment="1">
      <alignment horizontal="center"/>
    </xf>
    <xf numFmtId="0" fontId="3" fillId="0" borderId="29" xfId="0" applyFont="1" applyBorder="1" applyAlignment="1">
      <alignment horizontal="center"/>
    </xf>
    <xf numFmtId="0" fontId="3" fillId="0" borderId="33" xfId="0" applyFont="1" applyBorder="1" applyAlignment="1">
      <alignment horizontal="center"/>
    </xf>
    <xf numFmtId="0" fontId="3" fillId="0" borderId="42" xfId="0" applyFont="1" applyBorder="1" applyAlignment="1">
      <alignment horizontal="center"/>
    </xf>
    <xf numFmtId="0" fontId="3" fillId="0" borderId="24" xfId="0" applyFont="1" applyBorder="1" applyAlignment="1">
      <alignment horizontal="center"/>
    </xf>
    <xf numFmtId="0" fontId="3" fillId="0" borderId="13" xfId="0" applyFont="1" applyBorder="1" applyAlignment="1">
      <alignment horizontal="center"/>
    </xf>
    <xf numFmtId="0" fontId="1" fillId="0" borderId="14" xfId="0" applyFont="1" applyBorder="1" applyAlignment="1"/>
    <xf numFmtId="166" fontId="1" fillId="0" borderId="9" xfId="1" applyNumberFormat="1" applyFont="1" applyBorder="1" applyAlignment="1"/>
    <xf numFmtId="9" fontId="1" fillId="2" borderId="4" xfId="0" applyNumberFormat="1" applyFont="1" applyFill="1" applyBorder="1" applyAlignment="1">
      <alignment horizontal="center"/>
    </xf>
    <xf numFmtId="9" fontId="1" fillId="2" borderId="11" xfId="0" applyNumberFormat="1" applyFont="1" applyFill="1" applyBorder="1" applyAlignment="1">
      <alignment horizontal="center"/>
    </xf>
    <xf numFmtId="164" fontId="1" fillId="0" borderId="26" xfId="0" applyNumberFormat="1" applyFont="1" applyBorder="1" applyAlignment="1">
      <alignment horizontal="center"/>
    </xf>
    <xf numFmtId="164" fontId="1" fillId="0" borderId="34" xfId="0" applyNumberFormat="1" applyFont="1" applyBorder="1" applyAlignment="1">
      <alignment horizontal="center"/>
    </xf>
    <xf numFmtId="164" fontId="1" fillId="0" borderId="27" xfId="0" applyNumberFormat="1" applyFont="1" applyBorder="1" applyAlignment="1">
      <alignment horizontal="center"/>
    </xf>
    <xf numFmtId="165" fontId="1" fillId="2" borderId="5" xfId="0" applyNumberFormat="1" applyFont="1" applyFill="1" applyBorder="1" applyAlignment="1">
      <alignment horizontal="center"/>
    </xf>
    <xf numFmtId="166" fontId="1" fillId="0" borderId="8" xfId="0" applyNumberFormat="1" applyFont="1" applyBorder="1" applyAlignment="1">
      <alignment horizontal="center"/>
    </xf>
    <xf numFmtId="166" fontId="1" fillId="0" borderId="9" xfId="0" applyNumberFormat="1" applyFont="1" applyBorder="1" applyAlignment="1">
      <alignment horizontal="center"/>
    </xf>
    <xf numFmtId="166" fontId="1" fillId="0" borderId="15" xfId="0" applyNumberFormat="1" applyFont="1" applyBorder="1" applyAlignment="1">
      <alignment horizontal="center"/>
    </xf>
    <xf numFmtId="166" fontId="1" fillId="0" borderId="9" xfId="1" applyNumberFormat="1" applyFont="1" applyBorder="1" applyAlignment="1">
      <alignment horizontal="center"/>
    </xf>
    <xf numFmtId="166" fontId="1" fillId="0" borderId="15" xfId="1" applyNumberFormat="1" applyFont="1" applyBorder="1" applyAlignment="1">
      <alignment horizontal="center"/>
    </xf>
    <xf numFmtId="166" fontId="3" fillId="0" borderId="9" xfId="0" applyNumberFormat="1" applyFont="1" applyBorder="1" applyAlignment="1"/>
    <xf numFmtId="0" fontId="1" fillId="0" borderId="15" xfId="0" applyFont="1" applyBorder="1" applyAlignment="1"/>
    <xf numFmtId="166" fontId="1" fillId="0" borderId="9" xfId="0" applyNumberFormat="1" applyFont="1" applyBorder="1"/>
    <xf numFmtId="166" fontId="1" fillId="0" borderId="15" xfId="0" applyNumberFormat="1" applyFont="1" applyBorder="1"/>
    <xf numFmtId="166" fontId="1" fillId="0" borderId="9" xfId="0" applyNumberFormat="1" applyFont="1" applyFill="1" applyBorder="1"/>
    <xf numFmtId="166" fontId="1" fillId="0" borderId="9" xfId="0" applyNumberFormat="1" applyFont="1" applyBorder="1" applyAlignment="1"/>
    <xf numFmtId="0" fontId="3" fillId="2" borderId="4" xfId="0" applyFont="1" applyFill="1" applyBorder="1"/>
    <xf numFmtId="166" fontId="4" fillId="0" borderId="7" xfId="0" applyNumberFormat="1" applyFont="1" applyBorder="1"/>
    <xf numFmtId="166" fontId="4" fillId="0" borderId="31" xfId="0" applyNumberFormat="1" applyFont="1" applyBorder="1"/>
    <xf numFmtId="166" fontId="4" fillId="0" borderId="9" xfId="0" applyNumberFormat="1" applyFont="1" applyFill="1" applyBorder="1"/>
    <xf numFmtId="0" fontId="3" fillId="2" borderId="11" xfId="0" applyFont="1" applyFill="1" applyBorder="1"/>
    <xf numFmtId="166" fontId="1" fillId="0" borderId="26" xfId="0" applyNumberFormat="1" applyFont="1" applyBorder="1"/>
    <xf numFmtId="166" fontId="1" fillId="0" borderId="34" xfId="1" applyNumberFormat="1" applyFont="1" applyBorder="1" applyAlignment="1">
      <alignment horizontal="center"/>
    </xf>
    <xf numFmtId="166" fontId="1" fillId="0" borderId="27" xfId="1" applyNumberFormat="1" applyFont="1" applyBorder="1" applyAlignment="1">
      <alignment horizontal="center"/>
    </xf>
    <xf numFmtId="0" fontId="3" fillId="0" borderId="14" xfId="0" applyFont="1" applyBorder="1" applyAlignment="1"/>
    <xf numFmtId="169" fontId="1" fillId="0" borderId="9" xfId="0" applyNumberFormat="1" applyFont="1" applyBorder="1" applyAlignment="1"/>
    <xf numFmtId="0" fontId="3" fillId="2" borderId="5" xfId="0" applyFont="1" applyFill="1" applyBorder="1" applyAlignment="1">
      <alignment horizontal="left"/>
    </xf>
    <xf numFmtId="166" fontId="4" fillId="0" borderId="9" xfId="0" applyNumberFormat="1" applyFont="1" applyBorder="1"/>
    <xf numFmtId="166" fontId="4" fillId="0" borderId="15" xfId="0" applyNumberFormat="1" applyFont="1" applyBorder="1"/>
    <xf numFmtId="0" fontId="3" fillId="2" borderId="4" xfId="0" applyFont="1" applyFill="1" applyBorder="1" applyAlignment="1">
      <alignment horizontal="left"/>
    </xf>
    <xf numFmtId="166" fontId="1" fillId="0" borderId="11" xfId="0" applyNumberFormat="1" applyFont="1" applyBorder="1"/>
    <xf numFmtId="0" fontId="3" fillId="2" borderId="11" xfId="0" applyFont="1" applyFill="1" applyBorder="1" applyAlignment="1">
      <alignment horizontal="left"/>
    </xf>
    <xf numFmtId="0" fontId="1" fillId="2" borderId="5" xfId="0" applyFont="1" applyFill="1" applyBorder="1" applyAlignment="1">
      <alignment horizontal="center"/>
    </xf>
    <xf numFmtId="0" fontId="1" fillId="0" borderId="15" xfId="0" applyFont="1" applyBorder="1"/>
    <xf numFmtId="0" fontId="3" fillId="0" borderId="26" xfId="0" applyFont="1" applyBorder="1" applyAlignment="1">
      <alignment horizontal="center"/>
    </xf>
    <xf numFmtId="0" fontId="3" fillId="0" borderId="27" xfId="0" applyFont="1" applyBorder="1" applyAlignment="1"/>
    <xf numFmtId="166" fontId="1" fillId="0" borderId="8" xfId="0" applyNumberFormat="1" applyFont="1" applyBorder="1" applyAlignment="1">
      <alignment horizontal="right"/>
    </xf>
    <xf numFmtId="0" fontId="3" fillId="0" borderId="12" xfId="0" applyFont="1" applyBorder="1" applyAlignment="1"/>
    <xf numFmtId="166" fontId="1" fillId="4" borderId="12" xfId="1" applyNumberFormat="1" applyFont="1" applyFill="1" applyBorder="1" applyAlignment="1"/>
    <xf numFmtId="166" fontId="1" fillId="4" borderId="14" xfId="1" applyNumberFormat="1" applyFont="1" applyFill="1" applyBorder="1" applyAlignment="1"/>
    <xf numFmtId="0" fontId="3" fillId="0" borderId="16" xfId="0" applyFont="1" applyBorder="1" applyAlignment="1"/>
    <xf numFmtId="166" fontId="1" fillId="4" borderId="16" xfId="1" applyNumberFormat="1" applyFont="1" applyFill="1" applyBorder="1" applyAlignment="1"/>
    <xf numFmtId="44" fontId="1" fillId="4" borderId="17" xfId="1" applyFont="1" applyFill="1" applyBorder="1" applyAlignment="1"/>
    <xf numFmtId="0" fontId="1" fillId="0" borderId="17" xfId="0" applyFont="1" applyBorder="1" applyAlignment="1"/>
    <xf numFmtId="9" fontId="1" fillId="2" borderId="35" xfId="0" applyNumberFormat="1" applyFont="1" applyFill="1" applyBorder="1" applyAlignment="1">
      <alignment horizontal="center"/>
    </xf>
    <xf numFmtId="166" fontId="1" fillId="0" borderId="32" xfId="0" applyNumberFormat="1" applyFont="1" applyBorder="1" applyAlignment="1">
      <alignment horizontal="center"/>
    </xf>
    <xf numFmtId="166" fontId="1" fillId="0" borderId="32" xfId="0" applyNumberFormat="1" applyFont="1" applyBorder="1"/>
    <xf numFmtId="0" fontId="1" fillId="0" borderId="21" xfId="0" applyFont="1" applyBorder="1"/>
    <xf numFmtId="166" fontId="1" fillId="0" borderId="21" xfId="0" applyNumberFormat="1" applyFont="1" applyBorder="1" applyAlignment="1">
      <alignment horizontal="center"/>
    </xf>
    <xf numFmtId="9" fontId="1" fillId="2" borderId="5" xfId="0" applyNumberFormat="1" applyFont="1" applyFill="1" applyBorder="1" applyAlignment="1">
      <alignment horizontal="center"/>
    </xf>
    <xf numFmtId="9" fontId="1" fillId="2" borderId="37" xfId="0" applyNumberFormat="1" applyFont="1" applyFill="1" applyBorder="1" applyAlignment="1">
      <alignment horizontal="center"/>
    </xf>
    <xf numFmtId="166" fontId="1" fillId="0" borderId="9" xfId="0" applyNumberFormat="1" applyFont="1" applyBorder="1" applyAlignment="1">
      <alignment horizontal="right"/>
    </xf>
    <xf numFmtId="9" fontId="1" fillId="2" borderId="36" xfId="0" applyNumberFormat="1" applyFont="1" applyFill="1" applyBorder="1" applyAlignment="1">
      <alignment horizontal="center"/>
    </xf>
    <xf numFmtId="166" fontId="1" fillId="0" borderId="24" xfId="0" applyNumberFormat="1" applyFont="1" applyFill="1" applyBorder="1" applyAlignment="1">
      <alignment horizontal="center"/>
    </xf>
    <xf numFmtId="166" fontId="1" fillId="0" borderId="24" xfId="0" applyNumberFormat="1" applyFont="1" applyFill="1" applyBorder="1"/>
    <xf numFmtId="166" fontId="1" fillId="0" borderId="24" xfId="0" applyNumberFormat="1" applyFont="1" applyFill="1" applyBorder="1" applyAlignment="1">
      <alignment horizontal="right"/>
    </xf>
    <xf numFmtId="166" fontId="1" fillId="0" borderId="13" xfId="0" applyNumberFormat="1" applyFont="1" applyFill="1" applyBorder="1"/>
    <xf numFmtId="166" fontId="1" fillId="0" borderId="13" xfId="0" applyNumberFormat="1" applyFont="1" applyFill="1" applyBorder="1" applyAlignment="1">
      <alignment horizontal="center"/>
    </xf>
    <xf numFmtId="9" fontId="1" fillId="2" borderId="38" xfId="0" applyNumberFormat="1" applyFont="1" applyFill="1" applyBorder="1" applyAlignment="1">
      <alignment horizontal="center"/>
    </xf>
    <xf numFmtId="166" fontId="1" fillId="0" borderId="25" xfId="0" applyNumberFormat="1" applyFont="1" applyBorder="1" applyAlignment="1">
      <alignment horizontal="center"/>
    </xf>
    <xf numFmtId="166" fontId="1" fillId="0" borderId="25" xfId="0" applyNumberFormat="1" applyFont="1" applyBorder="1"/>
    <xf numFmtId="166" fontId="1" fillId="0" borderId="25" xfId="0" applyNumberFormat="1" applyFont="1" applyBorder="1" applyAlignment="1">
      <alignment horizontal="right"/>
    </xf>
    <xf numFmtId="166" fontId="3" fillId="0" borderId="9" xfId="0" applyNumberFormat="1" applyFont="1" applyBorder="1" applyAlignment="1">
      <alignment horizontal="center"/>
    </xf>
    <xf numFmtId="166" fontId="3" fillId="0" borderId="15" xfId="0" applyNumberFormat="1" applyFont="1" applyBorder="1" applyAlignment="1">
      <alignment horizontal="center"/>
    </xf>
    <xf numFmtId="167" fontId="1" fillId="0" borderId="9" xfId="0" applyNumberFormat="1" applyFont="1" applyFill="1" applyBorder="1" applyAlignment="1">
      <alignment horizontal="center"/>
    </xf>
    <xf numFmtId="166" fontId="3" fillId="0" borderId="12" xfId="0" applyNumberFormat="1" applyFont="1" applyBorder="1" applyAlignment="1">
      <alignment horizontal="center"/>
    </xf>
    <xf numFmtId="166" fontId="3" fillId="0" borderId="24" xfId="0" applyNumberFormat="1" applyFont="1" applyBorder="1" applyAlignment="1">
      <alignment horizontal="center"/>
    </xf>
    <xf numFmtId="166" fontId="3" fillId="0" borderId="13" xfId="0" applyNumberFormat="1" applyFont="1" applyBorder="1" applyAlignment="1">
      <alignment horizontal="center"/>
    </xf>
    <xf numFmtId="9" fontId="1" fillId="2" borderId="41" xfId="0" applyNumberFormat="1" applyFont="1" applyFill="1" applyBorder="1" applyAlignment="1">
      <alignment horizontal="center"/>
    </xf>
    <xf numFmtId="166" fontId="3" fillId="0" borderId="25" xfId="0" applyNumberFormat="1" applyFont="1" applyBorder="1" applyAlignment="1">
      <alignment horizontal="center"/>
    </xf>
    <xf numFmtId="166" fontId="3" fillId="0" borderId="17" xfId="0" applyNumberFormat="1" applyFont="1" applyBorder="1" applyAlignment="1">
      <alignment horizontal="center"/>
    </xf>
    <xf numFmtId="9" fontId="1" fillId="2" borderId="43" xfId="0" applyNumberFormat="1" applyFont="1" applyFill="1" applyBorder="1" applyAlignment="1">
      <alignment horizontal="center"/>
    </xf>
    <xf numFmtId="166" fontId="3" fillId="0" borderId="16" xfId="0" applyNumberFormat="1" applyFont="1" applyBorder="1" applyAlignment="1">
      <alignment horizontal="center"/>
    </xf>
    <xf numFmtId="9" fontId="1" fillId="0" borderId="15" xfId="0" applyNumberFormat="1" applyFont="1" applyBorder="1" applyAlignment="1">
      <alignment horizontal="center"/>
    </xf>
    <xf numFmtId="166" fontId="1" fillId="0" borderId="15" xfId="0" applyNumberFormat="1" applyFont="1" applyFill="1" applyBorder="1"/>
    <xf numFmtId="0" fontId="1" fillId="0" borderId="16" xfId="0" applyFont="1" applyBorder="1" applyAlignment="1"/>
    <xf numFmtId="9" fontId="1" fillId="0" borderId="17" xfId="0" applyNumberFormat="1" applyFont="1" applyBorder="1" applyAlignment="1"/>
    <xf numFmtId="9" fontId="1" fillId="0" borderId="17" xfId="0" applyNumberFormat="1" applyFont="1" applyBorder="1" applyAlignment="1">
      <alignment horizontal="center"/>
    </xf>
    <xf numFmtId="166" fontId="1" fillId="0" borderId="9" xfId="0" applyNumberFormat="1" applyFont="1" applyBorder="1" applyAlignment="1">
      <alignment vertical="center"/>
    </xf>
    <xf numFmtId="0" fontId="1" fillId="0" borderId="0" xfId="0" applyFont="1" applyAlignment="1">
      <alignment horizontal="center"/>
    </xf>
    <xf numFmtId="10" fontId="3" fillId="3" borderId="13" xfId="0" applyNumberFormat="1" applyFont="1" applyFill="1" applyBorder="1"/>
    <xf numFmtId="166" fontId="1" fillId="0" borderId="14" xfId="0" applyNumberFormat="1" applyFont="1" applyFill="1" applyBorder="1" applyAlignment="1">
      <alignment horizontal="right"/>
    </xf>
    <xf numFmtId="0" fontId="1" fillId="0" borderId="24" xfId="0" applyFont="1" applyBorder="1" applyAlignment="1"/>
    <xf numFmtId="0" fontId="1" fillId="0" borderId="9" xfId="0" applyFont="1" applyBorder="1" applyAlignment="1"/>
    <xf numFmtId="0" fontId="1" fillId="0" borderId="25" xfId="0" applyFont="1" applyBorder="1" applyAlignment="1"/>
    <xf numFmtId="0" fontId="1" fillId="0" borderId="0" xfId="0" applyFont="1" applyAlignment="1">
      <alignment horizontal="left" vertical="top" wrapText="1"/>
    </xf>
    <xf numFmtId="0" fontId="1" fillId="0" borderId="0" xfId="0" applyFont="1" applyAlignment="1">
      <alignment horizontal="left" indent="1"/>
    </xf>
    <xf numFmtId="0" fontId="1" fillId="0" borderId="26" xfId="0" applyFont="1" applyBorder="1" applyAlignment="1"/>
    <xf numFmtId="166" fontId="3" fillId="0" borderId="0" xfId="0" applyNumberFormat="1" applyFont="1" applyAlignment="1"/>
    <xf numFmtId="0" fontId="8" fillId="0" borderId="24" xfId="0" applyFont="1" applyBorder="1" applyAlignment="1">
      <alignment horizontal="center" vertical="center"/>
    </xf>
    <xf numFmtId="0" fontId="8" fillId="0" borderId="13" xfId="0" applyFont="1" applyBorder="1" applyAlignment="1">
      <alignment horizontal="center" vertical="center"/>
    </xf>
    <xf numFmtId="0" fontId="4" fillId="0" borderId="14" xfId="0" applyFont="1" applyBorder="1" applyAlignment="1">
      <alignment vertical="center"/>
    </xf>
    <xf numFmtId="0" fontId="1" fillId="0" borderId="9" xfId="0" applyFont="1" applyBorder="1" applyAlignment="1">
      <alignment vertical="center"/>
    </xf>
    <xf numFmtId="170" fontId="4" fillId="0" borderId="15" xfId="0" applyNumberFormat="1" applyFont="1" applyBorder="1" applyAlignment="1">
      <alignment vertical="center"/>
    </xf>
    <xf numFmtId="0" fontId="1" fillId="0" borderId="14" xfId="0" applyFont="1" applyBorder="1" applyAlignment="1">
      <alignment vertical="center"/>
    </xf>
    <xf numFmtId="9" fontId="1" fillId="0" borderId="9" xfId="0" applyNumberFormat="1" applyFont="1" applyBorder="1" applyAlignment="1">
      <alignment vertical="center"/>
    </xf>
    <xf numFmtId="9" fontId="1" fillId="0" borderId="15" xfId="0" applyNumberFormat="1" applyFont="1" applyBorder="1" applyAlignment="1">
      <alignment vertical="center"/>
    </xf>
    <xf numFmtId="10" fontId="1" fillId="0" borderId="9" xfId="0" applyNumberFormat="1" applyFont="1" applyBorder="1" applyAlignment="1">
      <alignment vertical="center"/>
    </xf>
    <xf numFmtId="10" fontId="1" fillId="0" borderId="15" xfId="0" applyNumberFormat="1" applyFont="1" applyBorder="1" applyAlignment="1">
      <alignment vertical="center"/>
    </xf>
    <xf numFmtId="166" fontId="1" fillId="0" borderId="15" xfId="0" applyNumberFormat="1" applyFont="1" applyBorder="1" applyAlignment="1">
      <alignment vertical="center"/>
    </xf>
    <xf numFmtId="166" fontId="1" fillId="4" borderId="15" xfId="0" applyNumberFormat="1" applyFont="1" applyFill="1" applyBorder="1" applyAlignment="1">
      <alignment vertical="center"/>
    </xf>
    <xf numFmtId="0" fontId="1" fillId="0" borderId="16" xfId="0" applyFont="1" applyBorder="1" applyAlignment="1">
      <alignment vertical="center"/>
    </xf>
    <xf numFmtId="0" fontId="1" fillId="0" borderId="25" xfId="0" applyFont="1" applyBorder="1" applyAlignment="1">
      <alignment vertical="center"/>
    </xf>
    <xf numFmtId="166" fontId="1" fillId="4" borderId="25" xfId="0" applyNumberFormat="1" applyFont="1" applyFill="1" applyBorder="1" applyAlignment="1">
      <alignment vertical="center"/>
    </xf>
    <xf numFmtId="166" fontId="3" fillId="4" borderId="27" xfId="1" applyNumberFormat="1" applyFont="1" applyFill="1" applyBorder="1" applyAlignment="1">
      <alignment horizontal="left"/>
    </xf>
    <xf numFmtId="166" fontId="1" fillId="4" borderId="9" xfId="0" applyNumberFormat="1" applyFont="1" applyFill="1" applyBorder="1" applyAlignment="1">
      <alignment vertical="center"/>
    </xf>
    <xf numFmtId="166" fontId="1" fillId="4" borderId="17" xfId="0" applyNumberFormat="1" applyFont="1" applyFill="1" applyBorder="1" applyAlignment="1">
      <alignment vertical="center"/>
    </xf>
    <xf numFmtId="166" fontId="4" fillId="0" borderId="15" xfId="0" applyNumberFormat="1" applyFont="1" applyFill="1" applyBorder="1"/>
    <xf numFmtId="167" fontId="1" fillId="0" borderId="15" xfId="0" applyNumberFormat="1" applyFont="1" applyFill="1" applyBorder="1" applyAlignment="1">
      <alignment horizontal="center"/>
    </xf>
    <xf numFmtId="167" fontId="1" fillId="0" borderId="14" xfId="0" applyNumberFormat="1" applyFont="1" applyFill="1" applyBorder="1" applyAlignment="1">
      <alignment horizontal="center"/>
    </xf>
    <xf numFmtId="165" fontId="1" fillId="2" borderId="8" xfId="0" applyNumberFormat="1" applyFont="1" applyFill="1" applyBorder="1" applyAlignment="1">
      <alignment horizontal="center"/>
    </xf>
    <xf numFmtId="164" fontId="1" fillId="0" borderId="44" xfId="0" applyNumberFormat="1" applyFont="1" applyBorder="1" applyAlignment="1">
      <alignment horizontal="center"/>
    </xf>
    <xf numFmtId="164" fontId="1" fillId="0" borderId="45" xfId="0" applyNumberFormat="1" applyFont="1" applyBorder="1" applyAlignment="1">
      <alignment horizontal="center"/>
    </xf>
    <xf numFmtId="164" fontId="1" fillId="0" borderId="46" xfId="0" applyNumberFormat="1" applyFont="1" applyBorder="1" applyAlignment="1">
      <alignment horizontal="center"/>
    </xf>
    <xf numFmtId="166" fontId="1" fillId="0" borderId="47" xfId="0" applyNumberFormat="1" applyFont="1" applyBorder="1"/>
    <xf numFmtId="166" fontId="4" fillId="0" borderId="47" xfId="0" applyNumberFormat="1" applyFont="1" applyBorder="1"/>
    <xf numFmtId="166" fontId="1" fillId="0" borderId="12" xfId="0" applyNumberFormat="1" applyFont="1" applyBorder="1" applyAlignment="1">
      <alignment horizontal="center"/>
    </xf>
    <xf numFmtId="166" fontId="1" fillId="0" borderId="14" xfId="0" applyNumberFormat="1" applyFont="1" applyBorder="1" applyAlignment="1">
      <alignment horizontal="center"/>
    </xf>
    <xf numFmtId="166" fontId="1" fillId="0" borderId="16" xfId="0" applyNumberFormat="1" applyFont="1" applyBorder="1" applyAlignment="1">
      <alignment horizontal="center"/>
    </xf>
    <xf numFmtId="166" fontId="1" fillId="0" borderId="17" xfId="0" applyNumberFormat="1" applyFont="1" applyBorder="1"/>
    <xf numFmtId="0" fontId="3" fillId="0" borderId="9" xfId="0" applyFont="1" applyBorder="1" applyAlignment="1">
      <alignment horizontal="center"/>
    </xf>
    <xf numFmtId="0" fontId="3" fillId="0" borderId="9" xfId="0" applyFont="1" applyBorder="1" applyAlignment="1"/>
    <xf numFmtId="166" fontId="1" fillId="0" borderId="9" xfId="1" applyNumberFormat="1" applyFont="1" applyFill="1" applyBorder="1" applyAlignment="1"/>
    <xf numFmtId="44" fontId="1" fillId="0" borderId="9" xfId="1" applyFont="1" applyFill="1" applyBorder="1" applyAlignment="1"/>
    <xf numFmtId="166" fontId="1" fillId="0" borderId="9" xfId="0" applyNumberFormat="1" applyFont="1" applyFill="1" applyBorder="1" applyAlignment="1">
      <alignment vertical="center"/>
    </xf>
    <xf numFmtId="166" fontId="3" fillId="0" borderId="9" xfId="1" applyNumberFormat="1" applyFont="1" applyFill="1" applyBorder="1" applyAlignment="1">
      <alignment horizontal="left"/>
    </xf>
    <xf numFmtId="49" fontId="1" fillId="0" borderId="2" xfId="0" applyNumberFormat="1" applyFont="1" applyBorder="1"/>
    <xf numFmtId="0" fontId="3" fillId="0" borderId="1" xfId="0" applyFont="1" applyBorder="1"/>
    <xf numFmtId="49" fontId="3" fillId="0" borderId="3" xfId="0" applyNumberFormat="1" applyFont="1" applyBorder="1"/>
    <xf numFmtId="49" fontId="1" fillId="0" borderId="48" xfId="0" applyNumberFormat="1" applyFont="1" applyBorder="1" applyAlignment="1"/>
    <xf numFmtId="0" fontId="3" fillId="0" borderId="1" xfId="0" applyFont="1" applyBorder="1" applyAlignment="1">
      <alignment horizontal="right"/>
    </xf>
    <xf numFmtId="0" fontId="9" fillId="0" borderId="9" xfId="3" applyNumberFormat="1"/>
    <xf numFmtId="0" fontId="9" fillId="0" borderId="9" xfId="3"/>
    <xf numFmtId="0" fontId="9" fillId="0" borderId="9" xfId="3" applyBorder="1"/>
    <xf numFmtId="0" fontId="10" fillId="5" borderId="9" xfId="3" applyNumberFormat="1" applyFont="1" applyFill="1" applyBorder="1" applyAlignment="1">
      <alignment horizontal="center" vertical="center"/>
    </xf>
    <xf numFmtId="49" fontId="11" fillId="5" borderId="9" xfId="3" applyNumberFormat="1" applyFont="1" applyFill="1" applyBorder="1"/>
    <xf numFmtId="0" fontId="11" fillId="5" borderId="9" xfId="3" applyNumberFormat="1" applyFont="1" applyFill="1" applyBorder="1"/>
    <xf numFmtId="0" fontId="11" fillId="5" borderId="9" xfId="3" applyNumberFormat="1" applyFont="1" applyFill="1" applyBorder="1" applyAlignment="1">
      <alignment horizontal="left"/>
    </xf>
    <xf numFmtId="0" fontId="11" fillId="4" borderId="9" xfId="3" applyNumberFormat="1" applyFont="1" applyFill="1" applyBorder="1"/>
    <xf numFmtId="0" fontId="1" fillId="0" borderId="9" xfId="0" applyFont="1" applyBorder="1" applyAlignment="1"/>
    <xf numFmtId="10" fontId="3" fillId="0" borderId="9" xfId="0" applyNumberFormat="1" applyFont="1" applyFill="1" applyBorder="1"/>
    <xf numFmtId="166" fontId="1" fillId="0" borderId="24" xfId="1" applyNumberFormat="1" applyFont="1" applyBorder="1" applyAlignment="1"/>
    <xf numFmtId="0" fontId="14" fillId="0" borderId="14" xfId="0" applyFont="1" applyBorder="1" applyAlignment="1"/>
    <xf numFmtId="0" fontId="1" fillId="0" borderId="14" xfId="0" applyFont="1" applyBorder="1" applyAlignment="1">
      <alignment horizontal="left"/>
    </xf>
    <xf numFmtId="9" fontId="1" fillId="0" borderId="9" xfId="2" applyFont="1" applyBorder="1" applyAlignment="1"/>
    <xf numFmtId="166" fontId="1" fillId="0" borderId="25" xfId="1" applyNumberFormat="1" applyFont="1" applyBorder="1" applyAlignment="1"/>
    <xf numFmtId="166" fontId="1" fillId="0" borderId="13" xfId="1" applyNumberFormat="1" applyFont="1" applyBorder="1" applyAlignment="1"/>
    <xf numFmtId="0" fontId="1" fillId="0" borderId="15" xfId="2" applyNumberFormat="1" applyFont="1" applyBorder="1" applyAlignment="1"/>
    <xf numFmtId="166" fontId="1" fillId="0" borderId="15" xfId="1" applyNumberFormat="1" applyFont="1" applyBorder="1" applyAlignment="1"/>
    <xf numFmtId="0" fontId="3" fillId="0" borderId="9" xfId="0" applyFont="1" applyBorder="1" applyAlignment="1">
      <alignment horizontal="left"/>
    </xf>
    <xf numFmtId="166" fontId="1" fillId="0" borderId="15" xfId="0" applyNumberFormat="1" applyFont="1" applyBorder="1" applyAlignment="1"/>
    <xf numFmtId="44" fontId="1" fillId="0" borderId="0" xfId="1" applyFont="1" applyAlignment="1"/>
    <xf numFmtId="44" fontId="1" fillId="4" borderId="13" xfId="1" applyNumberFormat="1" applyFont="1" applyFill="1" applyBorder="1" applyAlignment="1"/>
    <xf numFmtId="44" fontId="1" fillId="4" borderId="15" xfId="1" applyNumberFormat="1" applyFont="1" applyFill="1" applyBorder="1" applyAlignment="1"/>
    <xf numFmtId="166" fontId="4" fillId="0" borderId="33" xfId="0" applyNumberFormat="1" applyFont="1" applyBorder="1"/>
    <xf numFmtId="9" fontId="1" fillId="2" borderId="5" xfId="2" applyFont="1" applyFill="1" applyBorder="1" applyAlignment="1">
      <alignment horizontal="center"/>
    </xf>
    <xf numFmtId="171" fontId="1" fillId="2" borderId="5" xfId="2" applyNumberFormat="1" applyFont="1" applyFill="1" applyBorder="1" applyAlignment="1">
      <alignment horizontal="center"/>
    </xf>
    <xf numFmtId="166" fontId="4" fillId="0" borderId="46" xfId="0" applyNumberFormat="1" applyFont="1" applyFill="1" applyBorder="1"/>
    <xf numFmtId="166" fontId="1" fillId="0" borderId="13" xfId="1" applyNumberFormat="1" applyFont="1" applyBorder="1" applyAlignment="1">
      <alignment horizontal="center"/>
    </xf>
    <xf numFmtId="171" fontId="1" fillId="2" borderId="8" xfId="2" applyNumberFormat="1" applyFont="1" applyFill="1" applyBorder="1" applyAlignment="1">
      <alignment horizontal="center"/>
    </xf>
    <xf numFmtId="9" fontId="1" fillId="2" borderId="37" xfId="2" applyFont="1" applyFill="1" applyBorder="1" applyAlignment="1">
      <alignment horizontal="center"/>
    </xf>
    <xf numFmtId="49" fontId="10" fillId="5" borderId="9" xfId="3" applyNumberFormat="1" applyFont="1" applyFill="1" applyBorder="1" applyAlignment="1">
      <alignment horizontal="center" vertical="center"/>
    </xf>
    <xf numFmtId="0" fontId="10" fillId="5" borderId="9" xfId="3" applyNumberFormat="1" applyFont="1" applyFill="1" applyBorder="1" applyAlignment="1">
      <alignment horizontal="center" vertical="center"/>
    </xf>
    <xf numFmtId="49" fontId="11" fillId="5" borderId="9" xfId="3" applyNumberFormat="1" applyFont="1" applyFill="1" applyBorder="1" applyAlignment="1">
      <alignment horizontal="center"/>
    </xf>
    <xf numFmtId="0" fontId="11" fillId="5" borderId="9" xfId="3" applyNumberFormat="1" applyFont="1" applyFill="1" applyBorder="1" applyAlignment="1">
      <alignment horizontal="center"/>
    </xf>
    <xf numFmtId="49" fontId="12" fillId="5" borderId="9" xfId="3" applyNumberFormat="1" applyFont="1" applyFill="1" applyBorder="1" applyAlignment="1">
      <alignment horizontal="left"/>
    </xf>
    <xf numFmtId="0" fontId="12" fillId="5" borderId="9" xfId="3" applyNumberFormat="1" applyFont="1" applyFill="1" applyBorder="1" applyAlignment="1">
      <alignment horizontal="left"/>
    </xf>
    <xf numFmtId="49" fontId="11" fillId="5" borderId="9" xfId="3" applyNumberFormat="1" applyFont="1" applyFill="1" applyBorder="1" applyAlignment="1">
      <alignment horizontal="left"/>
    </xf>
    <xf numFmtId="0" fontId="11" fillId="5" borderId="9" xfId="3" applyNumberFormat="1" applyFont="1" applyFill="1" applyBorder="1" applyAlignment="1">
      <alignment horizontal="left"/>
    </xf>
    <xf numFmtId="49" fontId="13" fillId="6" borderId="9" xfId="3" applyNumberFormat="1" applyFont="1" applyFill="1" applyBorder="1" applyAlignment="1">
      <alignment horizontal="center"/>
    </xf>
    <xf numFmtId="0" fontId="13" fillId="6" borderId="9" xfId="3" applyNumberFormat="1" applyFont="1" applyFill="1" applyBorder="1" applyAlignment="1">
      <alignment horizontal="center"/>
    </xf>
    <xf numFmtId="0" fontId="1" fillId="0" borderId="12" xfId="0" applyFont="1" applyBorder="1" applyAlignment="1">
      <alignment horizontal="left" vertical="top" wrapText="1"/>
    </xf>
    <xf numFmtId="0" fontId="1" fillId="0" borderId="24" xfId="0" applyFont="1" applyBorder="1" applyAlignment="1">
      <alignment horizontal="left" vertical="top" wrapText="1"/>
    </xf>
    <xf numFmtId="0" fontId="1" fillId="0" borderId="13" xfId="0" applyFont="1" applyBorder="1" applyAlignment="1">
      <alignment horizontal="left" vertical="top" wrapText="1"/>
    </xf>
    <xf numFmtId="0" fontId="1" fillId="0" borderId="14" xfId="0" applyFont="1" applyBorder="1" applyAlignment="1">
      <alignment horizontal="left" vertical="top" wrapText="1"/>
    </xf>
    <xf numFmtId="0" fontId="1" fillId="0" borderId="9" xfId="0" applyFont="1" applyBorder="1" applyAlignment="1">
      <alignment horizontal="left" vertical="top" wrapText="1"/>
    </xf>
    <xf numFmtId="0" fontId="1" fillId="0" borderId="15" xfId="0" applyFont="1" applyBorder="1" applyAlignment="1">
      <alignment horizontal="left" vertical="top" wrapText="1"/>
    </xf>
    <xf numFmtId="0" fontId="1" fillId="0" borderId="16" xfId="0" applyFont="1" applyBorder="1" applyAlignment="1">
      <alignment horizontal="left" vertical="top" wrapText="1"/>
    </xf>
    <xf numFmtId="0" fontId="1" fillId="0" borderId="25" xfId="0" applyFont="1" applyBorder="1" applyAlignment="1">
      <alignment horizontal="left" vertical="top" wrapText="1"/>
    </xf>
    <xf numFmtId="0" fontId="1" fillId="0" borderId="17" xfId="0" applyFont="1" applyBorder="1" applyAlignment="1">
      <alignment horizontal="left" vertical="top" wrapText="1"/>
    </xf>
    <xf numFmtId="0" fontId="3" fillId="0" borderId="14" xfId="0" applyFont="1" applyBorder="1" applyAlignment="1">
      <alignment horizontal="left" vertical="top"/>
    </xf>
    <xf numFmtId="0" fontId="1" fillId="0" borderId="9" xfId="0" applyFont="1" applyBorder="1" applyAlignment="1"/>
    <xf numFmtId="0" fontId="3" fillId="0" borderId="16" xfId="0" applyFont="1" applyBorder="1" applyAlignment="1">
      <alignment horizontal="left" vertical="top"/>
    </xf>
    <xf numFmtId="0" fontId="1" fillId="0" borderId="25" xfId="0" applyFont="1" applyBorder="1" applyAlignment="1"/>
    <xf numFmtId="0" fontId="3" fillId="0" borderId="14" xfId="0" applyFont="1" applyBorder="1" applyAlignment="1">
      <alignment vertical="top"/>
    </xf>
    <xf numFmtId="0" fontId="5" fillId="0" borderId="9" xfId="0" applyFont="1" applyBorder="1"/>
    <xf numFmtId="0" fontId="3" fillId="0" borderId="16" xfId="0" applyFont="1" applyBorder="1" applyAlignment="1">
      <alignment vertical="top"/>
    </xf>
    <xf numFmtId="0" fontId="5" fillId="0" borderId="25" xfId="0" applyFont="1" applyBorder="1"/>
    <xf numFmtId="0" fontId="3" fillId="0" borderId="26" xfId="0" applyFont="1" applyBorder="1" applyAlignment="1">
      <alignment horizontal="left"/>
    </xf>
    <xf numFmtId="0" fontId="3" fillId="0" borderId="34" xfId="0" applyFont="1" applyBorder="1" applyAlignment="1">
      <alignment horizontal="left"/>
    </xf>
    <xf numFmtId="0" fontId="4" fillId="0" borderId="14" xfId="0" applyFont="1" applyBorder="1" applyAlignment="1">
      <alignment horizontal="left"/>
    </xf>
    <xf numFmtId="0" fontId="4" fillId="0" borderId="9" xfId="0" applyFont="1" applyBorder="1" applyAlignment="1">
      <alignment horizontal="left"/>
    </xf>
    <xf numFmtId="0" fontId="1" fillId="0" borderId="0" xfId="0" applyNumberFormat="1" applyFont="1" applyAlignment="1">
      <alignment horizontal="center" wrapText="1"/>
    </xf>
    <xf numFmtId="49" fontId="1" fillId="0" borderId="0" xfId="0" applyNumberFormat="1" applyFont="1" applyAlignment="1">
      <alignment horizontal="center" wrapText="1"/>
    </xf>
    <xf numFmtId="0" fontId="1" fillId="0" borderId="0" xfId="0" applyFont="1" applyAlignment="1">
      <alignment horizontal="left" vertical="top" wrapText="1"/>
    </xf>
    <xf numFmtId="0" fontId="3" fillId="0" borderId="12" xfId="0" applyFont="1" applyBorder="1" applyAlignment="1">
      <alignment horizontal="left" vertical="top"/>
    </xf>
    <xf numFmtId="0" fontId="5" fillId="0" borderId="24" xfId="0" applyFont="1" applyBorder="1"/>
    <xf numFmtId="0" fontId="7" fillId="0" borderId="14" xfId="0" applyFont="1" applyBorder="1" applyAlignment="1">
      <alignment horizontal="left"/>
    </xf>
    <xf numFmtId="0" fontId="7" fillId="0" borderId="9" xfId="0" applyFont="1" applyBorder="1" applyAlignment="1">
      <alignment horizontal="left"/>
    </xf>
    <xf numFmtId="0" fontId="1" fillId="0" borderId="0" xfId="0" applyFont="1" applyAlignment="1">
      <alignment horizontal="left" wrapText="1" indent="1"/>
    </xf>
    <xf numFmtId="0" fontId="3" fillId="0" borderId="20" xfId="0" applyFont="1" applyBorder="1" applyAlignment="1">
      <alignment vertical="top"/>
    </xf>
    <xf numFmtId="0" fontId="5" fillId="0" borderId="32" xfId="0" applyFont="1" applyBorder="1"/>
    <xf numFmtId="0" fontId="4" fillId="0" borderId="0" xfId="0" applyFont="1" applyAlignment="1">
      <alignment horizontal="left" vertical="center" wrapText="1"/>
    </xf>
    <xf numFmtId="0" fontId="1" fillId="0" borderId="0" xfId="0" applyFont="1" applyAlignment="1">
      <alignment horizontal="left"/>
    </xf>
    <xf numFmtId="0" fontId="3" fillId="0" borderId="30" xfId="0" applyFont="1" applyBorder="1" applyAlignment="1">
      <alignment vertical="top"/>
    </xf>
    <xf numFmtId="0" fontId="5" fillId="0" borderId="7" xfId="0" applyFont="1" applyBorder="1"/>
    <xf numFmtId="0" fontId="1" fillId="0" borderId="0" xfId="0" applyFont="1" applyAlignment="1">
      <alignment horizontal="left" vertical="center" wrapText="1" indent="1"/>
    </xf>
    <xf numFmtId="0" fontId="5" fillId="0" borderId="10" xfId="0" applyFont="1" applyBorder="1"/>
    <xf numFmtId="0" fontId="3" fillId="0" borderId="28" xfId="0" applyFont="1" applyBorder="1" applyAlignment="1">
      <alignment vertical="top"/>
    </xf>
    <xf numFmtId="0" fontId="5" fillId="0" borderId="29" xfId="0" applyFont="1" applyBorder="1"/>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4" fillId="0" borderId="20"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8" xfId="0" applyFont="1" applyBorder="1" applyAlignment="1">
      <alignment horizontal="center" vertical="center" wrapText="1"/>
    </xf>
    <xf numFmtId="0" fontId="1" fillId="0" borderId="21" xfId="0" applyFont="1" applyBorder="1" applyAlignment="1">
      <alignment horizontal="center" vertical="center"/>
    </xf>
    <xf numFmtId="0" fontId="1" fillId="0" borderId="15" xfId="0" applyFont="1" applyBorder="1" applyAlignment="1">
      <alignment horizontal="center" vertical="center"/>
    </xf>
    <xf numFmtId="0" fontId="1" fillId="0" borderId="19" xfId="0" applyFont="1" applyBorder="1" applyAlignment="1">
      <alignment horizontal="center" vertical="center"/>
    </xf>
    <xf numFmtId="0" fontId="4" fillId="0" borderId="9" xfId="0" applyFont="1" applyBorder="1" applyAlignment="1">
      <alignment horizontal="left" vertical="center" wrapText="1"/>
    </xf>
    <xf numFmtId="49" fontId="1" fillId="0" borderId="1" xfId="0" applyNumberFormat="1" applyFont="1" applyBorder="1" applyAlignment="1">
      <alignment horizontal="center"/>
    </xf>
    <xf numFmtId="0" fontId="5" fillId="0" borderId="3" xfId="0" applyFont="1" applyBorder="1"/>
    <xf numFmtId="0" fontId="6" fillId="0" borderId="6" xfId="0" applyFont="1" applyBorder="1" applyAlignment="1">
      <alignment horizontal="center" vertical="center"/>
    </xf>
    <xf numFmtId="0" fontId="7" fillId="0" borderId="12" xfId="0" applyFont="1" applyBorder="1" applyAlignment="1">
      <alignment horizontal="left" vertical="center"/>
    </xf>
    <xf numFmtId="0" fontId="7" fillId="0" borderId="24" xfId="0" applyFont="1" applyBorder="1" applyAlignment="1">
      <alignment horizontal="left" vertical="center"/>
    </xf>
  </cellXfs>
  <cellStyles count="4">
    <cellStyle name="Currency" xfId="1" builtinId="4"/>
    <cellStyle name="Normal" xfId="0" builtinId="0"/>
    <cellStyle name="Normal 2" xfId="3"/>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2"/>
  <sheetViews>
    <sheetView showGridLines="0" topLeftCell="A4" workbookViewId="0">
      <selection activeCell="A13" sqref="A13:M13"/>
    </sheetView>
  </sheetViews>
  <sheetFormatPr defaultColWidth="11.8984375" defaultRowHeight="14.1" customHeight="1" x14ac:dyDescent="0.25"/>
  <cols>
    <col min="1" max="256" width="11.8984375" style="155" customWidth="1"/>
    <col min="257" max="16384" width="11.8984375" style="156"/>
  </cols>
  <sheetData>
    <row r="1" spans="1:16" ht="14.4" customHeight="1" x14ac:dyDescent="0.25">
      <c r="A1" s="185" t="s">
        <v>55</v>
      </c>
      <c r="B1" s="186"/>
      <c r="C1" s="186"/>
      <c r="D1" s="186"/>
      <c r="E1" s="186"/>
      <c r="F1" s="186"/>
      <c r="G1" s="186"/>
      <c r="H1" s="186"/>
      <c r="I1" s="186"/>
      <c r="J1" s="186"/>
      <c r="K1" s="186"/>
      <c r="L1" s="186"/>
      <c r="M1" s="186"/>
      <c r="N1" s="186"/>
      <c r="O1" s="186"/>
      <c r="P1" s="157"/>
    </row>
    <row r="2" spans="1:16" ht="15.6" customHeight="1" x14ac:dyDescent="0.25">
      <c r="A2" s="186"/>
      <c r="B2" s="186"/>
      <c r="C2" s="186"/>
      <c r="D2" s="186"/>
      <c r="E2" s="186"/>
      <c r="F2" s="186"/>
      <c r="G2" s="186"/>
      <c r="H2" s="186"/>
      <c r="I2" s="186"/>
      <c r="J2" s="186"/>
      <c r="K2" s="186"/>
      <c r="L2" s="186"/>
      <c r="M2" s="186"/>
      <c r="N2" s="186"/>
      <c r="O2" s="186"/>
      <c r="P2" s="157"/>
    </row>
    <row r="3" spans="1:16" ht="30" customHeight="1" x14ac:dyDescent="0.25">
      <c r="A3" s="158"/>
      <c r="B3" s="158"/>
      <c r="C3" s="158"/>
      <c r="D3" s="158"/>
      <c r="E3" s="158"/>
      <c r="F3" s="158"/>
      <c r="G3" s="158"/>
      <c r="H3" s="158"/>
      <c r="I3" s="158"/>
      <c r="J3" s="158"/>
      <c r="K3" s="158"/>
      <c r="L3" s="158"/>
      <c r="M3" s="158"/>
      <c r="N3" s="158"/>
      <c r="O3" s="158"/>
      <c r="P3" s="157"/>
    </row>
    <row r="4" spans="1:16" ht="30" customHeight="1" x14ac:dyDescent="0.25">
      <c r="A4" s="185" t="s">
        <v>56</v>
      </c>
      <c r="B4" s="186"/>
      <c r="C4" s="186"/>
      <c r="D4" s="186"/>
      <c r="E4" s="186"/>
      <c r="F4" s="186"/>
      <c r="G4" s="186"/>
      <c r="H4" s="186"/>
      <c r="I4" s="186"/>
      <c r="J4" s="186"/>
      <c r="K4" s="186"/>
      <c r="L4" s="186"/>
      <c r="M4" s="186"/>
      <c r="N4" s="186"/>
      <c r="O4" s="186"/>
      <c r="P4" s="157"/>
    </row>
    <row r="5" spans="1:16" ht="14.4" customHeight="1" x14ac:dyDescent="0.25">
      <c r="A5" s="157"/>
      <c r="B5" s="157"/>
      <c r="C5" s="157"/>
      <c r="D5" s="157"/>
      <c r="E5" s="157"/>
      <c r="F5" s="157"/>
      <c r="G5" s="157"/>
      <c r="H5" s="157"/>
      <c r="I5" s="157"/>
      <c r="J5" s="157"/>
      <c r="K5" s="157"/>
      <c r="L5" s="157"/>
      <c r="M5" s="157"/>
      <c r="N5" s="157"/>
      <c r="O5" s="157"/>
      <c r="P5" s="157"/>
    </row>
    <row r="6" spans="1:16" ht="15.9" customHeight="1" x14ac:dyDescent="0.25">
      <c r="A6" s="159" t="s">
        <v>57</v>
      </c>
      <c r="B6" s="160"/>
      <c r="C6" s="160"/>
      <c r="D6" s="160"/>
      <c r="E6" s="160"/>
      <c r="F6" s="160"/>
      <c r="G6" s="160"/>
      <c r="H6" s="160"/>
      <c r="I6" s="160"/>
      <c r="J6" s="160"/>
      <c r="K6" s="157"/>
      <c r="L6" s="157"/>
      <c r="M6" s="157"/>
      <c r="N6" s="157"/>
      <c r="O6" s="157"/>
      <c r="P6" s="157"/>
    </row>
    <row r="7" spans="1:16" ht="15.9" customHeight="1" x14ac:dyDescent="0.25">
      <c r="A7" s="159" t="s">
        <v>58</v>
      </c>
      <c r="B7" s="160"/>
      <c r="C7" s="160"/>
      <c r="D7" s="160"/>
      <c r="E7" s="160"/>
      <c r="F7" s="160"/>
      <c r="G7" s="160"/>
      <c r="H7" s="160"/>
      <c r="I7" s="160"/>
      <c r="J7" s="160"/>
      <c r="K7" s="157"/>
      <c r="L7" s="157"/>
      <c r="M7" s="157"/>
      <c r="N7" s="157"/>
      <c r="O7" s="157"/>
      <c r="P7" s="157"/>
    </row>
    <row r="8" spans="1:16" ht="14.4" customHeight="1" x14ac:dyDescent="0.25">
      <c r="A8" s="157"/>
      <c r="B8" s="157"/>
      <c r="C8" s="157"/>
      <c r="D8" s="157"/>
      <c r="E8" s="157"/>
      <c r="F8" s="157"/>
      <c r="G8" s="157"/>
      <c r="H8" s="157"/>
      <c r="I8" s="157"/>
      <c r="J8" s="157"/>
      <c r="K8" s="157"/>
      <c r="L8" s="157"/>
      <c r="M8" s="157"/>
      <c r="N8" s="157"/>
      <c r="O8" s="157"/>
      <c r="P8" s="157"/>
    </row>
    <row r="9" spans="1:16" ht="15.9" customHeight="1" x14ac:dyDescent="0.3">
      <c r="A9" s="189" t="s">
        <v>68</v>
      </c>
      <c r="B9" s="190"/>
      <c r="C9" s="190"/>
      <c r="D9" s="160"/>
      <c r="E9" s="160"/>
      <c r="F9" s="160"/>
      <c r="G9" s="160"/>
      <c r="H9" s="160"/>
      <c r="I9" s="160"/>
      <c r="J9" s="160"/>
      <c r="K9" s="160"/>
      <c r="L9" s="157"/>
      <c r="M9" s="157"/>
      <c r="N9" s="157"/>
      <c r="O9" s="157"/>
      <c r="P9" s="157"/>
    </row>
    <row r="10" spans="1:16" ht="15.9" customHeight="1" x14ac:dyDescent="0.25">
      <c r="A10" s="191" t="s">
        <v>59</v>
      </c>
      <c r="B10" s="192"/>
      <c r="C10" s="192"/>
      <c r="D10" s="192"/>
      <c r="E10" s="192"/>
      <c r="F10" s="192"/>
      <c r="G10" s="192"/>
      <c r="H10" s="192"/>
      <c r="I10" s="192"/>
      <c r="J10" s="192"/>
      <c r="K10" s="192"/>
      <c r="L10" s="192"/>
      <c r="M10" s="192"/>
      <c r="N10" s="157"/>
      <c r="O10" s="157"/>
      <c r="P10" s="157"/>
    </row>
    <row r="11" spans="1:16" ht="15.9" customHeight="1" x14ac:dyDescent="0.25">
      <c r="A11" s="191" t="s">
        <v>60</v>
      </c>
      <c r="B11" s="192"/>
      <c r="C11" s="192"/>
      <c r="D11" s="192"/>
      <c r="E11" s="192"/>
      <c r="F11" s="162"/>
      <c r="G11" s="160"/>
      <c r="H11" s="160"/>
      <c r="I11" s="160"/>
      <c r="J11" s="160"/>
      <c r="K11" s="160"/>
      <c r="L11" s="157"/>
      <c r="M11" s="157"/>
      <c r="N11" s="157"/>
      <c r="O11" s="157"/>
      <c r="P11" s="157"/>
    </row>
    <row r="12" spans="1:16" ht="15.9" customHeight="1" x14ac:dyDescent="0.25">
      <c r="A12" s="191" t="s">
        <v>61</v>
      </c>
      <c r="B12" s="192"/>
      <c r="C12" s="192"/>
      <c r="D12" s="192"/>
      <c r="E12" s="192"/>
      <c r="F12" s="192"/>
      <c r="G12" s="192"/>
      <c r="H12" s="192"/>
      <c r="I12" s="192"/>
      <c r="J12" s="192"/>
      <c r="K12" s="192"/>
      <c r="L12" s="192"/>
      <c r="M12" s="192"/>
      <c r="N12" s="157"/>
      <c r="O12" s="157"/>
      <c r="P12" s="157"/>
    </row>
    <row r="13" spans="1:16" ht="15.9" customHeight="1" x14ac:dyDescent="0.25">
      <c r="A13" s="191" t="s">
        <v>62</v>
      </c>
      <c r="B13" s="192"/>
      <c r="C13" s="192"/>
      <c r="D13" s="192"/>
      <c r="E13" s="192"/>
      <c r="F13" s="192"/>
      <c r="G13" s="192"/>
      <c r="H13" s="192"/>
      <c r="I13" s="192"/>
      <c r="J13" s="192"/>
      <c r="K13" s="192"/>
      <c r="L13" s="192"/>
      <c r="M13" s="192"/>
      <c r="N13" s="157"/>
      <c r="O13" s="157"/>
      <c r="P13" s="157"/>
    </row>
    <row r="14" spans="1:16" ht="15.9" customHeight="1" x14ac:dyDescent="0.25">
      <c r="A14" s="191" t="s">
        <v>63</v>
      </c>
      <c r="B14" s="192"/>
      <c r="C14" s="192"/>
      <c r="D14" s="192"/>
      <c r="E14" s="192"/>
      <c r="F14" s="192"/>
      <c r="G14" s="192"/>
      <c r="H14" s="192"/>
      <c r="I14" s="192"/>
      <c r="J14" s="192"/>
      <c r="K14" s="192"/>
      <c r="L14" s="192"/>
      <c r="M14" s="192"/>
      <c r="N14" s="157"/>
      <c r="O14" s="157"/>
      <c r="P14" s="157"/>
    </row>
    <row r="15" spans="1:16" ht="15.9" customHeight="1" x14ac:dyDescent="0.25">
      <c r="A15" s="191" t="s">
        <v>64</v>
      </c>
      <c r="B15" s="192"/>
      <c r="C15" s="192"/>
      <c r="D15" s="192"/>
      <c r="E15" s="192"/>
      <c r="F15" s="192"/>
      <c r="G15" s="192"/>
      <c r="H15" s="192"/>
      <c r="I15" s="192"/>
      <c r="J15" s="192"/>
      <c r="K15" s="192"/>
      <c r="L15" s="192"/>
      <c r="M15" s="192"/>
      <c r="N15" s="157"/>
      <c r="O15" s="157"/>
      <c r="P15" s="157"/>
    </row>
    <row r="16" spans="1:16" ht="15.9" customHeight="1" x14ac:dyDescent="0.25">
      <c r="A16" s="191" t="s">
        <v>65</v>
      </c>
      <c r="B16" s="192"/>
      <c r="C16" s="192"/>
      <c r="D16" s="192"/>
      <c r="E16" s="192"/>
      <c r="F16" s="192"/>
      <c r="G16" s="192"/>
      <c r="H16" s="192"/>
      <c r="I16" s="192"/>
      <c r="J16" s="192"/>
      <c r="K16" s="192"/>
      <c r="L16" s="192"/>
      <c r="M16" s="192"/>
      <c r="N16" s="157"/>
      <c r="O16" s="157"/>
      <c r="P16" s="157"/>
    </row>
    <row r="17" spans="1:16" ht="15.9" customHeight="1" x14ac:dyDescent="0.25">
      <c r="A17" s="161"/>
      <c r="B17" s="161"/>
      <c r="C17" s="161"/>
      <c r="D17" s="161"/>
      <c r="E17" s="161"/>
      <c r="F17" s="161"/>
      <c r="G17" s="161"/>
      <c r="H17" s="161"/>
      <c r="I17" s="161"/>
      <c r="J17" s="161"/>
      <c r="K17" s="161"/>
      <c r="L17" s="161"/>
      <c r="M17" s="161"/>
      <c r="N17" s="157"/>
      <c r="O17" s="157"/>
      <c r="P17" s="157"/>
    </row>
    <row r="18" spans="1:16" ht="15.9" customHeight="1" x14ac:dyDescent="0.3">
      <c r="A18" s="189" t="s">
        <v>69</v>
      </c>
      <c r="B18" s="190"/>
      <c r="C18" s="190"/>
      <c r="D18" s="190"/>
      <c r="E18" s="190"/>
      <c r="F18" s="190"/>
      <c r="G18" s="190"/>
      <c r="H18" s="190"/>
      <c r="I18" s="190"/>
      <c r="J18" s="190"/>
      <c r="K18" s="190"/>
      <c r="L18" s="190"/>
      <c r="M18" s="190"/>
      <c r="N18" s="157"/>
      <c r="O18" s="157"/>
      <c r="P18" s="157"/>
    </row>
    <row r="19" spans="1:16" ht="15.9" customHeight="1" x14ac:dyDescent="0.25">
      <c r="A19" s="160"/>
      <c r="B19" s="160"/>
      <c r="C19" s="160"/>
      <c r="D19" s="160"/>
      <c r="E19" s="160"/>
      <c r="F19" s="160"/>
      <c r="G19" s="160"/>
      <c r="H19" s="160"/>
      <c r="I19" s="160"/>
      <c r="J19" s="160"/>
      <c r="K19" s="160"/>
      <c r="L19" s="157"/>
      <c r="M19" s="157"/>
      <c r="N19" s="157"/>
      <c r="O19" s="157"/>
      <c r="P19" s="157"/>
    </row>
    <row r="20" spans="1:16" ht="15.9" customHeight="1" x14ac:dyDescent="0.3">
      <c r="A20" s="193" t="s">
        <v>66</v>
      </c>
      <c r="B20" s="194"/>
      <c r="C20" s="194"/>
      <c r="D20" s="194"/>
      <c r="E20" s="194"/>
      <c r="F20" s="194"/>
      <c r="G20" s="160"/>
      <c r="H20" s="160"/>
      <c r="I20" s="160"/>
      <c r="J20" s="160"/>
      <c r="K20" s="160"/>
      <c r="L20" s="157"/>
      <c r="M20" s="157"/>
      <c r="N20" s="157"/>
      <c r="O20" s="157"/>
      <c r="P20" s="157"/>
    </row>
    <row r="21" spans="1:16" ht="15.9" customHeight="1" x14ac:dyDescent="0.25">
      <c r="A21" s="160"/>
      <c r="B21" s="160"/>
      <c r="C21" s="160"/>
      <c r="D21" s="160"/>
      <c r="E21" s="160"/>
      <c r="F21" s="160"/>
      <c r="G21" s="160"/>
      <c r="H21" s="160"/>
      <c r="I21" s="160"/>
      <c r="J21" s="160"/>
      <c r="K21" s="160"/>
      <c r="L21" s="157"/>
      <c r="M21" s="157"/>
      <c r="N21" s="157"/>
      <c r="O21" s="157"/>
      <c r="P21" s="157"/>
    </row>
    <row r="22" spans="1:16" ht="15.9" customHeight="1" x14ac:dyDescent="0.25">
      <c r="A22" s="187" t="s">
        <v>67</v>
      </c>
      <c r="B22" s="188"/>
      <c r="C22" s="188"/>
      <c r="D22" s="160"/>
      <c r="E22" s="160"/>
      <c r="F22" s="160"/>
      <c r="G22" s="160"/>
      <c r="H22" s="160"/>
      <c r="I22" s="160"/>
      <c r="J22" s="160"/>
      <c r="K22" s="160"/>
      <c r="L22" s="157"/>
      <c r="M22" s="157"/>
      <c r="N22" s="157"/>
      <c r="O22" s="157"/>
      <c r="P22" s="157"/>
    </row>
  </sheetData>
  <mergeCells count="13">
    <mergeCell ref="A1:O2"/>
    <mergeCell ref="A4:O4"/>
    <mergeCell ref="A22:C22"/>
    <mergeCell ref="A9:C9"/>
    <mergeCell ref="A10:M10"/>
    <mergeCell ref="A11:E11"/>
    <mergeCell ref="A12:M12"/>
    <mergeCell ref="A13:M13"/>
    <mergeCell ref="A14:M14"/>
    <mergeCell ref="A15:M15"/>
    <mergeCell ref="A16:M16"/>
    <mergeCell ref="A18:M18"/>
    <mergeCell ref="A20:F20"/>
  </mergeCells>
  <pageMargins left="0.7" right="0.7" top="0.75" bottom="0.75" header="0.3" footer="0.3"/>
  <pageSetup orientation="portrait"/>
  <headerFooter>
    <oddFooter>&amp;C&amp;"Helvetica,Regular"&amp;12&amp;K000000&amp;P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9"/>
  <sheetViews>
    <sheetView tabSelected="1" zoomScale="84" zoomScaleNormal="70" workbookViewId="0">
      <selection activeCell="J1" sqref="J1"/>
    </sheetView>
  </sheetViews>
  <sheetFormatPr defaultColWidth="10.69921875" defaultRowHeight="15.6" x14ac:dyDescent="0.3"/>
  <cols>
    <col min="1" max="2" width="10.69921875" style="4"/>
    <col min="3" max="3" width="11" style="4" bestFit="1" customWidth="1"/>
    <col min="4" max="4" width="12.3984375" style="4" customWidth="1"/>
    <col min="5" max="5" width="11" style="4" bestFit="1" customWidth="1"/>
    <col min="6" max="6" width="11.69921875" style="4" customWidth="1"/>
    <col min="7" max="7" width="10.69921875" style="4"/>
    <col min="8" max="8" width="62.5" style="4" customWidth="1"/>
    <col min="9" max="10" width="10.69921875" style="4"/>
    <col min="11" max="11" width="22.09765625" style="4" customWidth="1"/>
    <col min="12" max="12" width="13.5" style="4" customWidth="1"/>
    <col min="13" max="13" width="21" style="4" customWidth="1"/>
    <col min="14" max="14" width="15.19921875" style="4" customWidth="1"/>
    <col min="15" max="15" width="14.5" style="4" customWidth="1"/>
    <col min="16" max="16" width="20.69921875" style="4" bestFit="1" customWidth="1"/>
    <col min="17" max="17" width="13.296875" style="4" customWidth="1"/>
    <col min="18" max="18" width="19.09765625" style="4" customWidth="1"/>
    <col min="19" max="19" width="19" style="4" customWidth="1"/>
    <col min="20" max="21" width="12" style="4" customWidth="1"/>
    <col min="22" max="22" width="12.3984375" style="4" bestFit="1" customWidth="1"/>
    <col min="23" max="23" width="11" style="4" bestFit="1" customWidth="1"/>
    <col min="24" max="16384" width="10.69921875" style="4"/>
  </cols>
  <sheetData>
    <row r="1" spans="2:22" x14ac:dyDescent="0.3">
      <c r="B1" s="5" t="s">
        <v>0</v>
      </c>
      <c r="C1" s="6"/>
      <c r="D1" s="7" t="s">
        <v>3</v>
      </c>
      <c r="E1" s="243"/>
      <c r="F1" s="244"/>
      <c r="G1" s="8" t="s">
        <v>4</v>
      </c>
      <c r="H1" s="9"/>
      <c r="I1" s="10" t="s">
        <v>5</v>
      </c>
      <c r="J1" s="10"/>
    </row>
    <row r="2" spans="2:22" ht="16.2" thickBot="1" x14ac:dyDescent="0.35">
      <c r="B2" s="245" t="s">
        <v>70</v>
      </c>
      <c r="C2" s="245"/>
      <c r="D2" s="245"/>
      <c r="E2" s="245"/>
      <c r="F2" s="245"/>
      <c r="G2" s="245" t="s">
        <v>45</v>
      </c>
      <c r="H2" s="245"/>
      <c r="I2" s="11"/>
      <c r="K2" s="3" t="s">
        <v>51</v>
      </c>
      <c r="R2" s="112" t="s">
        <v>50</v>
      </c>
    </row>
    <row r="3" spans="2:22" ht="15.9" customHeight="1" x14ac:dyDescent="0.3">
      <c r="B3" s="226" t="s">
        <v>34</v>
      </c>
      <c r="C3" s="226"/>
      <c r="D3" s="226"/>
      <c r="E3" s="226"/>
      <c r="F3" s="226"/>
      <c r="G3" s="226"/>
      <c r="H3" s="226"/>
      <c r="K3" s="13" t="s">
        <v>71</v>
      </c>
      <c r="L3" s="165">
        <f>1263000</f>
        <v>1263000</v>
      </c>
      <c r="M3" s="106"/>
      <c r="N3" s="106" t="s">
        <v>80</v>
      </c>
      <c r="O3" s="106"/>
      <c r="P3" s="170">
        <f>275000</f>
        <v>275000</v>
      </c>
      <c r="R3" s="246" t="s">
        <v>24</v>
      </c>
      <c r="S3" s="247"/>
      <c r="T3" s="113" t="s">
        <v>11</v>
      </c>
      <c r="U3" s="114" t="s">
        <v>25</v>
      </c>
    </row>
    <row r="4" spans="2:22" ht="14.1" customHeight="1" x14ac:dyDescent="0.3">
      <c r="B4" s="226"/>
      <c r="C4" s="226"/>
      <c r="D4" s="226"/>
      <c r="E4" s="226"/>
      <c r="F4" s="226"/>
      <c r="G4" s="226"/>
      <c r="H4" s="226"/>
      <c r="K4" s="21" t="s">
        <v>72</v>
      </c>
      <c r="L4" s="22">
        <f>4750</f>
        <v>4750</v>
      </c>
      <c r="M4" s="107"/>
      <c r="N4" s="107" t="s">
        <v>81</v>
      </c>
      <c r="O4" s="22"/>
      <c r="P4" s="171">
        <v>20</v>
      </c>
      <c r="R4" s="115"/>
      <c r="S4" s="116" t="s">
        <v>100</v>
      </c>
      <c r="T4" s="102">
        <f>O11*(1-M23/2)*(1-M23)^(V15-1)</f>
        <v>387870.94095813518</v>
      </c>
      <c r="U4" s="117">
        <f>O10*(1-M22/2)*(1-M22)^(V15-1)</f>
        <v>51904.512000000039</v>
      </c>
    </row>
    <row r="5" spans="2:22" ht="14.1" customHeight="1" x14ac:dyDescent="0.3">
      <c r="B5" s="226"/>
      <c r="C5" s="226"/>
      <c r="D5" s="226"/>
      <c r="E5" s="226"/>
      <c r="F5" s="226"/>
      <c r="G5" s="226"/>
      <c r="H5" s="226"/>
      <c r="K5" s="21" t="s">
        <v>73</v>
      </c>
      <c r="L5" s="22">
        <v>24500</v>
      </c>
      <c r="M5" s="107"/>
      <c r="N5" s="107" t="s">
        <v>82</v>
      </c>
      <c r="O5" s="22"/>
      <c r="P5" s="172">
        <v>30000</v>
      </c>
      <c r="R5" s="118"/>
      <c r="S5" s="116"/>
      <c r="T5" s="119"/>
      <c r="U5" s="120"/>
    </row>
    <row r="6" spans="2:22" ht="14.1" customHeight="1" x14ac:dyDescent="0.3">
      <c r="B6" s="226"/>
      <c r="C6" s="226"/>
      <c r="D6" s="226"/>
      <c r="E6" s="226"/>
      <c r="F6" s="226"/>
      <c r="G6" s="226"/>
      <c r="H6" s="226"/>
      <c r="K6" s="166" t="s">
        <v>74</v>
      </c>
      <c r="L6" s="22"/>
      <c r="M6" s="107"/>
      <c r="N6" s="173" t="s">
        <v>83</v>
      </c>
      <c r="O6" s="34"/>
      <c r="P6" s="172">
        <f>(P3-P5)/P4*12/12</f>
        <v>12250</v>
      </c>
      <c r="R6" s="118"/>
      <c r="S6" s="116"/>
      <c r="T6" s="121"/>
      <c r="U6" s="122"/>
    </row>
    <row r="7" spans="2:22" ht="14.1" customHeight="1" x14ac:dyDescent="0.3">
      <c r="B7" s="226"/>
      <c r="C7" s="226"/>
      <c r="D7" s="226"/>
      <c r="E7" s="226"/>
      <c r="F7" s="226"/>
      <c r="G7" s="226"/>
      <c r="H7" s="226"/>
      <c r="K7" s="167" t="s">
        <v>12</v>
      </c>
      <c r="L7" s="39">
        <v>625000</v>
      </c>
      <c r="M7" s="107"/>
      <c r="N7" s="107" t="s">
        <v>84</v>
      </c>
      <c r="O7" s="107"/>
      <c r="P7" s="174">
        <f>P6*8</f>
        <v>98000</v>
      </c>
      <c r="Q7" s="107"/>
      <c r="R7" s="118"/>
      <c r="S7" s="116"/>
      <c r="T7" s="121"/>
      <c r="U7" s="122"/>
    </row>
    <row r="8" spans="2:22" ht="14.1" customHeight="1" thickBot="1" x14ac:dyDescent="0.35">
      <c r="B8" s="226"/>
      <c r="C8" s="226"/>
      <c r="D8" s="226"/>
      <c r="E8" s="226"/>
      <c r="F8" s="226"/>
      <c r="G8" s="226"/>
      <c r="H8" s="226"/>
      <c r="K8" s="21" t="s">
        <v>75</v>
      </c>
      <c r="L8" s="22">
        <v>430000</v>
      </c>
      <c r="M8" s="107"/>
      <c r="N8" s="39" t="s">
        <v>85</v>
      </c>
      <c r="O8" s="39"/>
      <c r="P8" s="174">
        <f>P3-P7</f>
        <v>177000</v>
      </c>
      <c r="Q8" s="107"/>
      <c r="R8" s="118"/>
      <c r="S8" s="116"/>
      <c r="T8" s="102"/>
      <c r="U8" s="123"/>
    </row>
    <row r="9" spans="2:22" ht="16.2" thickBot="1" x14ac:dyDescent="0.35">
      <c r="B9" s="226"/>
      <c r="C9" s="226"/>
      <c r="D9" s="226"/>
      <c r="E9" s="226"/>
      <c r="F9" s="226"/>
      <c r="G9" s="226"/>
      <c r="H9" s="226"/>
      <c r="K9" s="21" t="s">
        <v>76</v>
      </c>
      <c r="L9" s="168">
        <f>L7/(L7+L8)</f>
        <v>0.59241706161137442</v>
      </c>
      <c r="M9" s="107"/>
      <c r="N9" s="111"/>
      <c r="O9" s="58" t="s">
        <v>22</v>
      </c>
      <c r="P9" s="59" t="s">
        <v>16</v>
      </c>
      <c r="Q9" s="107"/>
      <c r="R9" s="118"/>
      <c r="S9" s="116"/>
      <c r="T9" s="102"/>
      <c r="U9" s="123"/>
    </row>
    <row r="10" spans="2:22" x14ac:dyDescent="0.3">
      <c r="B10" s="226"/>
      <c r="C10" s="226"/>
      <c r="D10" s="226"/>
      <c r="E10" s="226"/>
      <c r="F10" s="226"/>
      <c r="G10" s="226"/>
      <c r="H10" s="226"/>
      <c r="K10" s="21" t="s">
        <v>77</v>
      </c>
      <c r="L10" s="168">
        <f>L8/(L7+L8)</f>
        <v>0.40758293838862558</v>
      </c>
      <c r="M10" s="49" t="s">
        <v>86</v>
      </c>
      <c r="N10" s="61" t="s">
        <v>10</v>
      </c>
      <c r="O10" s="62">
        <f>P3</f>
        <v>275000</v>
      </c>
      <c r="P10" s="176">
        <f>P8</f>
        <v>177000</v>
      </c>
      <c r="Q10" s="107"/>
      <c r="R10" s="118"/>
      <c r="S10" s="116"/>
      <c r="T10" s="102"/>
      <c r="U10" s="123"/>
    </row>
    <row r="11" spans="2:22" ht="15.9" customHeight="1" x14ac:dyDescent="0.3">
      <c r="B11" s="226" t="s">
        <v>35</v>
      </c>
      <c r="C11" s="226"/>
      <c r="D11" s="226"/>
      <c r="E11" s="226"/>
      <c r="F11" s="226"/>
      <c r="G11" s="226"/>
      <c r="H11" s="226"/>
      <c r="K11" s="21" t="s">
        <v>78</v>
      </c>
      <c r="L11" s="22">
        <f>(L3+L4+L5)*L9</f>
        <v>765550.94786729862</v>
      </c>
      <c r="M11" s="175">
        <f>L11*(1+0.02)^8</f>
        <v>896964.94970389677</v>
      </c>
      <c r="N11" s="48" t="s">
        <v>11</v>
      </c>
      <c r="O11" s="63">
        <f>L12</f>
        <v>526699.05213270138</v>
      </c>
      <c r="P11" s="177">
        <f>220000</f>
        <v>220000</v>
      </c>
      <c r="Q11" s="107"/>
      <c r="R11" s="118" t="s">
        <v>26</v>
      </c>
      <c r="S11" s="116"/>
      <c r="T11" s="129">
        <f>(T4-MIN(O11,P11))*$M$21</f>
        <v>37938.832656538551</v>
      </c>
      <c r="U11" s="124">
        <f>(U4-MIN(O10,P10))*$M$21</f>
        <v>-28271.58028799999</v>
      </c>
    </row>
    <row r="12" spans="2:22" ht="16.2" thickBot="1" x14ac:dyDescent="0.35">
      <c r="B12" s="226"/>
      <c r="C12" s="226"/>
      <c r="D12" s="226"/>
      <c r="E12" s="226"/>
      <c r="F12" s="226"/>
      <c r="G12" s="226"/>
      <c r="H12" s="226"/>
      <c r="K12" s="99" t="s">
        <v>79</v>
      </c>
      <c r="L12" s="169">
        <f>(L3+L4+L5)*L10</f>
        <v>526699.05213270138</v>
      </c>
      <c r="M12" s="108"/>
      <c r="N12" s="64" t="s">
        <v>12</v>
      </c>
      <c r="O12" s="65">
        <f>L11</f>
        <v>765550.94786729862</v>
      </c>
      <c r="P12" s="66">
        <f>M11</f>
        <v>896964.94970389677</v>
      </c>
      <c r="Q12" s="107"/>
      <c r="R12" s="125" t="s">
        <v>27</v>
      </c>
      <c r="S12" s="126"/>
      <c r="T12" s="127">
        <f>(T4-MIN(O11,P11))*((M21*M23)/(M45+M23))</f>
        <v>12140.426450092338</v>
      </c>
      <c r="U12" s="130">
        <f>(U4-MIN(O10,P10))*((M21*M22)/(M45+M22))</f>
        <v>-19839.705465263152</v>
      </c>
    </row>
    <row r="13" spans="2:22" x14ac:dyDescent="0.3">
      <c r="B13" s="226"/>
      <c r="C13" s="226"/>
      <c r="D13" s="226"/>
      <c r="E13" s="226"/>
      <c r="F13" s="226"/>
      <c r="G13" s="226"/>
      <c r="H13" s="226"/>
    </row>
    <row r="14" spans="2:22" ht="16.2" thickBot="1" x14ac:dyDescent="0.35">
      <c r="B14" s="226"/>
      <c r="C14" s="226"/>
      <c r="D14" s="226"/>
      <c r="E14" s="226"/>
      <c r="F14" s="226"/>
      <c r="G14" s="226"/>
      <c r="H14" s="226"/>
      <c r="K14" s="3" t="s">
        <v>49</v>
      </c>
    </row>
    <row r="15" spans="2:22" ht="16.2" thickBot="1" x14ac:dyDescent="0.35">
      <c r="B15" s="226"/>
      <c r="C15" s="226"/>
      <c r="D15" s="226"/>
      <c r="E15" s="226"/>
      <c r="F15" s="226"/>
      <c r="G15" s="226"/>
      <c r="H15" s="226"/>
      <c r="K15" s="232" t="s">
        <v>1</v>
      </c>
      <c r="L15" s="233"/>
      <c r="M15" s="14" t="s">
        <v>52</v>
      </c>
      <c r="N15" s="15">
        <v>0</v>
      </c>
      <c r="O15" s="16">
        <v>1</v>
      </c>
      <c r="P15" s="16">
        <v>2</v>
      </c>
      <c r="Q15" s="16">
        <v>3</v>
      </c>
      <c r="R15" s="16">
        <v>4</v>
      </c>
      <c r="S15" s="16">
        <v>5</v>
      </c>
      <c r="T15" s="16">
        <v>6</v>
      </c>
      <c r="U15" s="16">
        <v>7</v>
      </c>
      <c r="V15" s="17">
        <v>8</v>
      </c>
    </row>
    <row r="16" spans="2:22" ht="16.2" thickBot="1" x14ac:dyDescent="0.35">
      <c r="B16" s="226"/>
      <c r="C16" s="226"/>
      <c r="D16" s="226"/>
      <c r="E16" s="226"/>
      <c r="F16" s="226"/>
      <c r="G16" s="226"/>
      <c r="H16" s="226"/>
      <c r="K16" s="228" t="s">
        <v>6</v>
      </c>
      <c r="L16" s="229"/>
      <c r="M16" s="23"/>
      <c r="N16" s="135">
        <v>0</v>
      </c>
      <c r="O16" s="136">
        <f>C39*D39+C40*D40+C41*D41+C42*D42</f>
        <v>16650</v>
      </c>
      <c r="P16" s="136">
        <f>O16</f>
        <v>16650</v>
      </c>
      <c r="Q16" s="136">
        <f>O16</f>
        <v>16650</v>
      </c>
      <c r="R16" s="136">
        <f>O16</f>
        <v>16650</v>
      </c>
      <c r="S16" s="136">
        <f>E39*F39+E40*F40+E41*F41+E42*F42+E43*F43</f>
        <v>25100</v>
      </c>
      <c r="T16" s="136">
        <f>S16</f>
        <v>25100</v>
      </c>
      <c r="U16" s="136">
        <f>S16</f>
        <v>25100</v>
      </c>
      <c r="V16" s="137">
        <f>S16</f>
        <v>25100</v>
      </c>
    </row>
    <row r="17" spans="2:22" ht="15.9" customHeight="1" x14ac:dyDescent="0.3">
      <c r="B17" s="242" t="s">
        <v>36</v>
      </c>
      <c r="C17" s="242"/>
      <c r="D17" s="242"/>
      <c r="E17" s="242"/>
      <c r="F17" s="242"/>
      <c r="G17" s="242"/>
      <c r="H17" s="242"/>
      <c r="K17" s="208" t="s">
        <v>95</v>
      </c>
      <c r="L17" s="205"/>
      <c r="M17" s="134"/>
      <c r="N17" s="140">
        <v>0</v>
      </c>
      <c r="O17" s="77">
        <f>-124000</f>
        <v>-124000</v>
      </c>
      <c r="P17" s="77">
        <f t="shared" ref="P17:R17" si="0">-124000</f>
        <v>-124000</v>
      </c>
      <c r="Q17" s="77">
        <f t="shared" si="0"/>
        <v>-124000</v>
      </c>
      <c r="R17" s="77">
        <f t="shared" si="0"/>
        <v>-124000</v>
      </c>
      <c r="S17" s="77">
        <f>-243000</f>
        <v>-243000</v>
      </c>
      <c r="T17" s="77">
        <f t="shared" ref="T17:V17" si="1">-243000</f>
        <v>-243000</v>
      </c>
      <c r="U17" s="77">
        <f t="shared" si="1"/>
        <v>-243000</v>
      </c>
      <c r="V17" s="81">
        <f t="shared" si="1"/>
        <v>-243000</v>
      </c>
    </row>
    <row r="18" spans="2:22" ht="15.9" customHeight="1" x14ac:dyDescent="0.3">
      <c r="B18" s="242"/>
      <c r="C18" s="242"/>
      <c r="D18" s="242"/>
      <c r="E18" s="242"/>
      <c r="F18" s="242"/>
      <c r="G18" s="242"/>
      <c r="H18" s="242"/>
      <c r="K18" s="208" t="s">
        <v>96</v>
      </c>
      <c r="L18" s="205"/>
      <c r="M18" s="134"/>
      <c r="N18" s="141">
        <f>N16*22</f>
        <v>0</v>
      </c>
      <c r="O18" s="38">
        <f t="shared" ref="O18:V18" si="2">O16*22</f>
        <v>366300</v>
      </c>
      <c r="P18" s="30">
        <f t="shared" si="2"/>
        <v>366300</v>
      </c>
      <c r="Q18" s="30">
        <f t="shared" si="2"/>
        <v>366300</v>
      </c>
      <c r="R18" s="30">
        <f t="shared" si="2"/>
        <v>366300</v>
      </c>
      <c r="S18" s="30">
        <f t="shared" si="2"/>
        <v>552200</v>
      </c>
      <c r="T18" s="30">
        <f t="shared" si="2"/>
        <v>552200</v>
      </c>
      <c r="U18" s="30">
        <f t="shared" si="2"/>
        <v>552200</v>
      </c>
      <c r="V18" s="31">
        <f t="shared" si="2"/>
        <v>552200</v>
      </c>
    </row>
    <row r="19" spans="2:22" ht="14.1" customHeight="1" thickBot="1" x14ac:dyDescent="0.35">
      <c r="B19" s="242"/>
      <c r="C19" s="242"/>
      <c r="D19" s="242"/>
      <c r="E19" s="242"/>
      <c r="F19" s="242"/>
      <c r="G19" s="242"/>
      <c r="H19" s="242"/>
      <c r="K19" s="208"/>
      <c r="L19" s="205"/>
      <c r="M19" s="134"/>
      <c r="N19" s="142"/>
      <c r="O19" s="84"/>
      <c r="P19" s="84"/>
      <c r="Q19" s="84"/>
      <c r="R19" s="84"/>
      <c r="S19" s="84"/>
      <c r="T19" s="84"/>
      <c r="U19" s="84"/>
      <c r="V19" s="143"/>
    </row>
    <row r="20" spans="2:22" ht="15.9" customHeight="1" thickBot="1" x14ac:dyDescent="0.35">
      <c r="B20" s="226" t="s">
        <v>37</v>
      </c>
      <c r="C20" s="226"/>
      <c r="D20" s="226"/>
      <c r="E20" s="226"/>
      <c r="F20" s="226"/>
      <c r="G20" s="226"/>
      <c r="H20" s="226"/>
      <c r="K20" s="228" t="s">
        <v>8</v>
      </c>
      <c r="L20" s="231"/>
      <c r="M20" s="40"/>
      <c r="N20" s="138">
        <f>SUM(N17:N18)</f>
        <v>0</v>
      </c>
      <c r="O20" s="139">
        <f>SUM(O17:O18)</f>
        <v>242300</v>
      </c>
      <c r="P20" s="139">
        <f t="shared" ref="P20:V20" si="3">SUM(P17:P18)</f>
        <v>242300</v>
      </c>
      <c r="Q20" s="139">
        <f t="shared" si="3"/>
        <v>242300</v>
      </c>
      <c r="R20" s="139">
        <f t="shared" si="3"/>
        <v>242300</v>
      </c>
      <c r="S20" s="139">
        <f>SUM(S17:S18)</f>
        <v>309200</v>
      </c>
      <c r="T20" s="139">
        <f t="shared" si="3"/>
        <v>309200</v>
      </c>
      <c r="U20" s="139">
        <f t="shared" si="3"/>
        <v>309200</v>
      </c>
      <c r="V20" s="178">
        <f t="shared" si="3"/>
        <v>309200</v>
      </c>
    </row>
    <row r="21" spans="2:22" x14ac:dyDescent="0.3">
      <c r="B21" s="226"/>
      <c r="C21" s="226"/>
      <c r="D21" s="226"/>
      <c r="E21" s="226"/>
      <c r="F21" s="226"/>
      <c r="G21" s="226"/>
      <c r="H21" s="226"/>
      <c r="K21" s="208" t="s">
        <v>97</v>
      </c>
      <c r="L21" s="205"/>
      <c r="M21" s="180">
        <v>0.22600000000000001</v>
      </c>
      <c r="N21" s="36">
        <f>N20*M21</f>
        <v>0</v>
      </c>
      <c r="O21" s="43">
        <f>-O20*$M$21</f>
        <v>-54759.8</v>
      </c>
      <c r="P21" s="43">
        <f t="shared" ref="P21:R21" si="4">-P20*$M$21</f>
        <v>-54759.8</v>
      </c>
      <c r="Q21" s="43">
        <f t="shared" si="4"/>
        <v>-54759.8</v>
      </c>
      <c r="R21" s="43">
        <f t="shared" si="4"/>
        <v>-54759.8</v>
      </c>
      <c r="S21" s="43">
        <f>-S20*$M$21</f>
        <v>-69879.199999999997</v>
      </c>
      <c r="T21" s="43">
        <f t="shared" ref="T21" si="5">-T20*$M$21</f>
        <v>-69879.199999999997</v>
      </c>
      <c r="U21" s="43">
        <f t="shared" ref="U21" si="6">-U20*$M$21</f>
        <v>-69879.199999999997</v>
      </c>
      <c r="V21" s="181">
        <f t="shared" ref="V21" si="7">-V20*$M$21</f>
        <v>-69879.199999999997</v>
      </c>
    </row>
    <row r="22" spans="2:22" x14ac:dyDescent="0.3">
      <c r="B22" s="226"/>
      <c r="C22" s="226"/>
      <c r="D22" s="226"/>
      <c r="E22" s="226"/>
      <c r="F22" s="226"/>
      <c r="G22" s="226"/>
      <c r="H22" s="226"/>
      <c r="K22" s="208" t="s">
        <v>98</v>
      </c>
      <c r="L22" s="205"/>
      <c r="M22" s="179">
        <v>0.2</v>
      </c>
      <c r="N22" s="36">
        <v>0</v>
      </c>
      <c r="O22" s="43">
        <f>O10*M22*0.5*M21</f>
        <v>6215</v>
      </c>
      <c r="P22" s="43">
        <f>$M$22*$O$10*(1-$M$22/2)*(1-$M$22)^(P15-2)*$M$21</f>
        <v>11187</v>
      </c>
      <c r="Q22" s="43">
        <f t="shared" ref="Q22:U22" si="8">$M$22*$O$10*(1-$M$22/2)*(1-$M$22)^(Q15-2)*$M$21</f>
        <v>8949.6</v>
      </c>
      <c r="R22" s="43">
        <f t="shared" si="8"/>
        <v>7159.6800000000021</v>
      </c>
      <c r="S22" s="43">
        <f t="shared" si="8"/>
        <v>5727.7440000000015</v>
      </c>
      <c r="T22" s="43">
        <f t="shared" si="8"/>
        <v>4582.1952000000019</v>
      </c>
      <c r="U22" s="43">
        <f t="shared" si="8"/>
        <v>3665.7561600000022</v>
      </c>
      <c r="V22" s="131">
        <f>$M$22*$O$10*(1-$M$22/2)*(1-$M$22)^(V15-2)*$M$21</f>
        <v>2932.604928000002</v>
      </c>
    </row>
    <row r="23" spans="2:22" x14ac:dyDescent="0.3">
      <c r="B23" s="226"/>
      <c r="C23" s="226"/>
      <c r="D23" s="226"/>
      <c r="E23" s="226"/>
      <c r="F23" s="226"/>
      <c r="G23" s="226"/>
      <c r="H23" s="226"/>
      <c r="K23" s="208" t="s">
        <v>99</v>
      </c>
      <c r="L23" s="205"/>
      <c r="M23" s="179">
        <v>0.04</v>
      </c>
      <c r="N23" s="36">
        <v>0</v>
      </c>
      <c r="O23" s="43">
        <f>O11*M23*0.5*M21</f>
        <v>2380.6797156398102</v>
      </c>
      <c r="P23" s="43">
        <f>$M$23*$O$11*(1-$M$23/2)*(1-$M$23)^(P15-2)*$M$21</f>
        <v>4666.1322426540282</v>
      </c>
      <c r="Q23" s="43">
        <f t="shared" ref="Q23:U23" si="9">$M$23*$O$11*(1-$M$23/2)*(1-$M$23)^(Q15-2)*$M$21</f>
        <v>4479.4869529478674</v>
      </c>
      <c r="R23" s="43">
        <f t="shared" si="9"/>
        <v>4300.3074748299523</v>
      </c>
      <c r="S23" s="43">
        <f t="shared" si="9"/>
        <v>4128.2951758367544</v>
      </c>
      <c r="T23" s="43">
        <f t="shared" si="9"/>
        <v>3963.1633688032844</v>
      </c>
      <c r="U23" s="43">
        <f t="shared" si="9"/>
        <v>3804.6368340511526</v>
      </c>
      <c r="V23" s="131">
        <f>$M$23*$O$11*(1-$M$23/2)*(1-$M$23)^(V15-2)*$M$21</f>
        <v>3652.4513606891064</v>
      </c>
    </row>
    <row r="24" spans="2:22" ht="15.9" customHeight="1" x14ac:dyDescent="0.3">
      <c r="B24" s="226" t="s">
        <v>38</v>
      </c>
      <c r="C24" s="226"/>
      <c r="D24" s="226"/>
      <c r="E24" s="226"/>
      <c r="F24" s="226"/>
      <c r="G24" s="226"/>
      <c r="H24" s="226"/>
      <c r="K24" s="208"/>
      <c r="L24" s="205"/>
      <c r="M24" s="50"/>
      <c r="N24" s="36"/>
      <c r="O24" s="51"/>
      <c r="P24" s="51"/>
      <c r="Q24" s="51"/>
      <c r="R24" s="51"/>
      <c r="S24" s="51"/>
      <c r="T24" s="51"/>
      <c r="U24" s="51"/>
      <c r="V24" s="52"/>
    </row>
    <row r="25" spans="2:22" ht="14.1" customHeight="1" thickBot="1" x14ac:dyDescent="0.35">
      <c r="B25" s="226"/>
      <c r="C25" s="226"/>
      <c r="D25" s="226"/>
      <c r="E25" s="226"/>
      <c r="F25" s="226"/>
      <c r="G25" s="226"/>
      <c r="H25" s="226"/>
      <c r="K25" s="208"/>
      <c r="L25" s="205"/>
      <c r="M25" s="50"/>
      <c r="N25" s="36"/>
      <c r="O25" s="51"/>
      <c r="P25" s="51"/>
      <c r="Q25" s="51"/>
      <c r="R25" s="51"/>
      <c r="S25" s="51"/>
      <c r="T25" s="51"/>
      <c r="U25" s="51"/>
      <c r="V25" s="52"/>
    </row>
    <row r="26" spans="2:22" ht="14.1" customHeight="1" thickBot="1" x14ac:dyDescent="0.35">
      <c r="B26" s="226"/>
      <c r="C26" s="226"/>
      <c r="D26" s="226"/>
      <c r="E26" s="226"/>
      <c r="F26" s="226"/>
      <c r="G26" s="226"/>
      <c r="H26" s="226"/>
      <c r="K26" s="228" t="s">
        <v>28</v>
      </c>
      <c r="L26" s="229"/>
      <c r="M26" s="53"/>
      <c r="N26" s="54">
        <f>SUM(N20:N23)</f>
        <v>0</v>
      </c>
      <c r="O26" s="41">
        <f>SUM(O20:O23)</f>
        <v>196135.87971563984</v>
      </c>
      <c r="P26" s="41">
        <f t="shared" ref="P26:V26" si="10">SUM(P20:P23)</f>
        <v>203393.33224265405</v>
      </c>
      <c r="Q26" s="41">
        <f t="shared" si="10"/>
        <v>200969.28695294788</v>
      </c>
      <c r="R26" s="41">
        <f t="shared" si="10"/>
        <v>199000.18747482996</v>
      </c>
      <c r="S26" s="41">
        <f t="shared" si="10"/>
        <v>249176.83917583674</v>
      </c>
      <c r="T26" s="41">
        <f t="shared" si="10"/>
        <v>247866.15856880328</v>
      </c>
      <c r="U26" s="41">
        <f t="shared" si="10"/>
        <v>246791.19299405112</v>
      </c>
      <c r="V26" s="42">
        <f t="shared" si="10"/>
        <v>245905.8562886891</v>
      </c>
    </row>
    <row r="27" spans="2:22" ht="14.1" customHeight="1" x14ac:dyDescent="0.3">
      <c r="B27" s="226"/>
      <c r="C27" s="226"/>
      <c r="D27" s="226"/>
      <c r="E27" s="226"/>
      <c r="F27" s="226"/>
      <c r="G27" s="226"/>
      <c r="H27" s="226"/>
      <c r="K27" s="208" t="s">
        <v>9</v>
      </c>
      <c r="L27" s="205"/>
      <c r="M27" s="56"/>
      <c r="N27" s="29"/>
      <c r="O27" s="36"/>
      <c r="P27" s="36"/>
      <c r="Q27" s="36"/>
      <c r="R27" s="36"/>
      <c r="S27" s="36"/>
      <c r="T27" s="36"/>
      <c r="U27" s="36"/>
      <c r="V27" s="57"/>
    </row>
    <row r="28" spans="2:22" x14ac:dyDescent="0.3">
      <c r="B28" s="226"/>
      <c r="C28" s="226"/>
      <c r="D28" s="226"/>
      <c r="E28" s="226"/>
      <c r="F28" s="226"/>
      <c r="G28" s="226"/>
      <c r="H28" s="226"/>
      <c r="K28" s="208" t="s">
        <v>87</v>
      </c>
      <c r="L28" s="205"/>
      <c r="M28" s="56"/>
      <c r="N28" s="105">
        <f>-30000</f>
        <v>-30000</v>
      </c>
      <c r="O28" s="38"/>
      <c r="P28" s="38"/>
      <c r="Q28" s="38"/>
      <c r="R28" s="38"/>
      <c r="S28" s="36"/>
      <c r="T28" s="36"/>
      <c r="U28" s="36"/>
      <c r="V28" s="57"/>
    </row>
    <row r="29" spans="2:22" ht="15.9" customHeight="1" x14ac:dyDescent="0.3">
      <c r="B29" s="226" t="s">
        <v>17</v>
      </c>
      <c r="C29" s="226"/>
      <c r="D29" s="226"/>
      <c r="E29" s="226"/>
      <c r="F29" s="226"/>
      <c r="G29" s="226"/>
      <c r="H29" s="226"/>
      <c r="K29" s="208" t="s">
        <v>88</v>
      </c>
      <c r="L29" s="205"/>
      <c r="M29" s="56"/>
      <c r="N29" s="105">
        <f>-O10</f>
        <v>-275000</v>
      </c>
      <c r="O29" s="38"/>
      <c r="P29" s="38"/>
      <c r="Q29" s="38"/>
      <c r="R29" s="38"/>
      <c r="S29" s="36"/>
      <c r="T29" s="36"/>
      <c r="U29" s="36"/>
      <c r="V29" s="57"/>
    </row>
    <row r="30" spans="2:22" ht="14.1" customHeight="1" x14ac:dyDescent="0.3">
      <c r="B30" s="226"/>
      <c r="C30" s="226"/>
      <c r="D30" s="226"/>
      <c r="E30" s="226"/>
      <c r="F30" s="226"/>
      <c r="G30" s="226"/>
      <c r="H30" s="226"/>
      <c r="K30" s="208" t="s">
        <v>89</v>
      </c>
      <c r="L30" s="205"/>
      <c r="M30" s="56"/>
      <c r="N30" s="105">
        <f>-O11</f>
        <v>-526699.05213270138</v>
      </c>
      <c r="O30" s="38"/>
      <c r="P30" s="38"/>
      <c r="Q30" s="38"/>
      <c r="R30" s="38"/>
      <c r="S30" s="36"/>
      <c r="T30" s="36"/>
      <c r="U30" s="36"/>
      <c r="V30" s="57"/>
    </row>
    <row r="31" spans="2:22" ht="14.1" customHeight="1" x14ac:dyDescent="0.3">
      <c r="B31" s="226"/>
      <c r="C31" s="226"/>
      <c r="D31" s="226"/>
      <c r="E31" s="226"/>
      <c r="F31" s="226"/>
      <c r="G31" s="226"/>
      <c r="H31" s="226"/>
      <c r="K31" s="208" t="s">
        <v>90</v>
      </c>
      <c r="L31" s="209"/>
      <c r="M31" s="56"/>
      <c r="N31" s="105">
        <f>-O12</f>
        <v>-765550.94786729862</v>
      </c>
      <c r="O31" s="38"/>
      <c r="P31" s="38"/>
      <c r="Q31" s="38"/>
      <c r="R31" s="38"/>
      <c r="S31" s="36"/>
      <c r="T31" s="36"/>
      <c r="U31" s="36"/>
      <c r="V31" s="57"/>
    </row>
    <row r="32" spans="2:22" ht="14.1" customHeight="1" x14ac:dyDescent="0.3">
      <c r="B32" s="226"/>
      <c r="C32" s="226"/>
      <c r="D32" s="226"/>
      <c r="E32" s="226"/>
      <c r="F32" s="226"/>
      <c r="G32" s="226"/>
      <c r="H32" s="226"/>
      <c r="K32" s="208"/>
      <c r="L32" s="209"/>
      <c r="M32" s="56"/>
      <c r="N32" s="107"/>
      <c r="O32" s="107"/>
      <c r="P32" s="107"/>
      <c r="Q32" s="107"/>
      <c r="R32" s="107"/>
      <c r="S32" s="36"/>
      <c r="T32" s="36"/>
      <c r="U32" s="36"/>
      <c r="V32" s="57"/>
    </row>
    <row r="33" spans="2:22" ht="14.1" customHeight="1" x14ac:dyDescent="0.3">
      <c r="B33" s="226"/>
      <c r="C33" s="226"/>
      <c r="D33" s="226"/>
      <c r="E33" s="226"/>
      <c r="F33" s="226"/>
      <c r="G33" s="226"/>
      <c r="H33" s="226"/>
      <c r="K33" s="224" t="s">
        <v>13</v>
      </c>
      <c r="L33" s="225"/>
      <c r="M33" s="68"/>
      <c r="N33" s="69"/>
      <c r="O33" s="70"/>
      <c r="P33" s="70"/>
      <c r="Q33" s="70"/>
      <c r="R33" s="70"/>
      <c r="S33" s="70"/>
      <c r="T33" s="70"/>
      <c r="U33" s="70"/>
      <c r="V33" s="71"/>
    </row>
    <row r="34" spans="2:22" ht="16.2" thickBot="1" x14ac:dyDescent="0.35">
      <c r="K34" s="208" t="s">
        <v>94</v>
      </c>
      <c r="L34" s="205"/>
      <c r="M34" s="73"/>
      <c r="N34" s="30"/>
      <c r="O34" s="36"/>
      <c r="P34" s="36"/>
      <c r="Q34" s="36"/>
      <c r="R34" s="36"/>
      <c r="S34" s="36"/>
      <c r="T34" s="36"/>
      <c r="U34" s="36"/>
      <c r="V34" s="37">
        <f>ABS(N28)</f>
        <v>30000</v>
      </c>
    </row>
    <row r="35" spans="2:22" x14ac:dyDescent="0.3">
      <c r="C35" s="234" t="s">
        <v>20</v>
      </c>
      <c r="D35" s="235"/>
      <c r="E35" s="234" t="s">
        <v>21</v>
      </c>
      <c r="F35" s="235"/>
      <c r="K35" s="208" t="s">
        <v>91</v>
      </c>
      <c r="L35" s="205"/>
      <c r="M35" s="73"/>
      <c r="N35" s="30"/>
      <c r="O35" s="36"/>
      <c r="P35" s="36"/>
      <c r="Q35" s="36"/>
      <c r="R35" s="36"/>
      <c r="S35" s="36"/>
      <c r="T35" s="36"/>
      <c r="U35" s="36"/>
      <c r="V35" s="37">
        <f>P10</f>
        <v>177000</v>
      </c>
    </row>
    <row r="36" spans="2:22" ht="15.9" customHeight="1" x14ac:dyDescent="0.3">
      <c r="C36" s="236" t="s">
        <v>18</v>
      </c>
      <c r="D36" s="239" t="s">
        <v>19</v>
      </c>
      <c r="E36" s="236" t="s">
        <v>18</v>
      </c>
      <c r="F36" s="239" t="s">
        <v>19</v>
      </c>
      <c r="K36" s="208" t="s">
        <v>92</v>
      </c>
      <c r="L36" s="205"/>
      <c r="M36" s="73"/>
      <c r="N36" s="30"/>
      <c r="O36" s="36"/>
      <c r="P36" s="36"/>
      <c r="Q36" s="36"/>
      <c r="R36" s="36"/>
      <c r="S36" s="36"/>
      <c r="T36" s="36"/>
      <c r="U36" s="36"/>
      <c r="V36" s="37">
        <f>P11</f>
        <v>220000</v>
      </c>
    </row>
    <row r="37" spans="2:22" ht="14.1" customHeight="1" x14ac:dyDescent="0.3">
      <c r="C37" s="237"/>
      <c r="D37" s="240"/>
      <c r="E37" s="237"/>
      <c r="F37" s="240"/>
      <c r="K37" s="208" t="s">
        <v>93</v>
      </c>
      <c r="L37" s="205"/>
      <c r="M37" s="74"/>
      <c r="N37" s="30"/>
      <c r="O37" s="36"/>
      <c r="P37" s="36"/>
      <c r="Q37" s="36"/>
      <c r="R37" s="36"/>
      <c r="S37" s="36"/>
      <c r="T37" s="36"/>
      <c r="U37" s="75"/>
      <c r="V37" s="98">
        <f>P12</f>
        <v>896964.94970389677</v>
      </c>
    </row>
    <row r="38" spans="2:22" ht="16.2" thickBot="1" x14ac:dyDescent="0.35">
      <c r="C38" s="238"/>
      <c r="D38" s="241"/>
      <c r="E38" s="238"/>
      <c r="F38" s="241"/>
      <c r="K38" s="208"/>
      <c r="L38" s="205"/>
      <c r="M38" s="74"/>
      <c r="N38" s="107"/>
      <c r="O38" s="107"/>
      <c r="P38" s="107"/>
      <c r="Q38" s="107"/>
      <c r="R38" s="107"/>
      <c r="S38" s="107"/>
      <c r="T38" s="107"/>
      <c r="U38" s="107"/>
      <c r="V38" s="35"/>
    </row>
    <row r="39" spans="2:22" x14ac:dyDescent="0.3">
      <c r="C39" s="1">
        <v>11000</v>
      </c>
      <c r="D39" s="97">
        <v>0.15</v>
      </c>
      <c r="E39" s="1">
        <v>19000</v>
      </c>
      <c r="F39" s="97">
        <v>0.15</v>
      </c>
      <c r="K39" s="219" t="s">
        <v>23</v>
      </c>
      <c r="L39" s="220"/>
      <c r="M39" s="76"/>
      <c r="N39" s="77"/>
      <c r="O39" s="78"/>
      <c r="P39" s="78"/>
      <c r="Q39" s="78"/>
      <c r="R39" s="78"/>
      <c r="S39" s="78"/>
      <c r="T39" s="78"/>
      <c r="U39" s="79"/>
      <c r="V39" s="80"/>
    </row>
    <row r="40" spans="2:22" x14ac:dyDescent="0.3">
      <c r="C40" s="1">
        <v>14000</v>
      </c>
      <c r="D40" s="97">
        <v>0.35</v>
      </c>
      <c r="E40" s="1">
        <v>22000</v>
      </c>
      <c r="F40" s="97">
        <v>0.3</v>
      </c>
      <c r="K40" s="221" t="s">
        <v>101</v>
      </c>
      <c r="L40" s="222"/>
      <c r="M40" s="74"/>
      <c r="N40" s="107"/>
      <c r="O40" s="36"/>
      <c r="P40" s="36"/>
      <c r="Q40" s="36"/>
      <c r="R40" s="36"/>
      <c r="S40" s="36"/>
      <c r="T40" s="36"/>
      <c r="U40" s="75"/>
      <c r="V40" s="98">
        <f>T12</f>
        <v>12140.426450092338</v>
      </c>
    </row>
    <row r="41" spans="2:22" x14ac:dyDescent="0.3">
      <c r="C41" s="1">
        <v>19000</v>
      </c>
      <c r="D41" s="97">
        <v>0.3</v>
      </c>
      <c r="E41" s="1">
        <v>26000</v>
      </c>
      <c r="F41" s="97">
        <v>0.35</v>
      </c>
      <c r="K41" s="221" t="s">
        <v>102</v>
      </c>
      <c r="L41" s="222"/>
      <c r="M41" s="74"/>
      <c r="N41" s="107"/>
      <c r="O41" s="107"/>
      <c r="P41" s="107"/>
      <c r="Q41" s="107"/>
      <c r="R41" s="107"/>
      <c r="S41" s="107"/>
      <c r="T41" s="107"/>
      <c r="U41" s="107"/>
      <c r="V41" s="98">
        <f>U11</f>
        <v>-28271.58028799999</v>
      </c>
    </row>
    <row r="42" spans="2:22" x14ac:dyDescent="0.3">
      <c r="C42" s="1">
        <v>22000</v>
      </c>
      <c r="D42" s="97">
        <v>0.2</v>
      </c>
      <c r="E42" s="1">
        <v>32000</v>
      </c>
      <c r="F42" s="97">
        <v>0.15</v>
      </c>
      <c r="K42" s="214"/>
      <c r="L42" s="215"/>
      <c r="M42" s="74"/>
      <c r="N42" s="107"/>
      <c r="O42" s="36"/>
      <c r="P42" s="36"/>
      <c r="Q42" s="36"/>
      <c r="R42" s="36"/>
      <c r="S42" s="36"/>
      <c r="T42" s="36"/>
      <c r="U42" s="75"/>
      <c r="V42" s="98"/>
    </row>
    <row r="43" spans="2:22" ht="16.2" thickBot="1" x14ac:dyDescent="0.35">
      <c r="C43" s="99"/>
      <c r="D43" s="100"/>
      <c r="E43" s="2">
        <v>35000</v>
      </c>
      <c r="F43" s="101">
        <v>0.05</v>
      </c>
      <c r="K43" s="204"/>
      <c r="L43" s="205"/>
      <c r="M43" s="74"/>
      <c r="N43" s="30"/>
      <c r="O43" s="36"/>
      <c r="P43" s="36"/>
      <c r="Q43" s="36"/>
      <c r="R43" s="36"/>
      <c r="S43" s="36"/>
      <c r="T43" s="36"/>
      <c r="U43" s="75"/>
      <c r="V43" s="35"/>
    </row>
    <row r="44" spans="2:22" ht="16.2" thickBot="1" x14ac:dyDescent="0.35">
      <c r="F44" s="12"/>
      <c r="K44" s="206"/>
      <c r="L44" s="207"/>
      <c r="M44" s="82"/>
      <c r="N44" s="83"/>
      <c r="O44" s="84"/>
      <c r="P44" s="84"/>
      <c r="Q44" s="84"/>
      <c r="R44" s="84"/>
      <c r="S44" s="84"/>
      <c r="T44" s="84"/>
      <c r="U44" s="85"/>
      <c r="V44" s="67"/>
    </row>
    <row r="45" spans="2:22" ht="15.9" customHeight="1" x14ac:dyDescent="0.3">
      <c r="B45" s="226" t="s">
        <v>54</v>
      </c>
      <c r="C45" s="226"/>
      <c r="D45" s="226"/>
      <c r="E45" s="226"/>
      <c r="F45" s="226"/>
      <c r="G45" s="226"/>
      <c r="H45" s="226"/>
      <c r="K45" s="208" t="s">
        <v>7</v>
      </c>
      <c r="L45" s="209"/>
      <c r="M45" s="180">
        <v>8.5000000000000006E-2</v>
      </c>
      <c r="N45" s="86">
        <f>N26+SUM(N28:N31)</f>
        <v>-1597250</v>
      </c>
      <c r="O45" s="86">
        <f t="shared" ref="O45:U45" si="11">O26</f>
        <v>196135.87971563984</v>
      </c>
      <c r="P45" s="86">
        <f t="shared" si="11"/>
        <v>203393.33224265405</v>
      </c>
      <c r="Q45" s="86">
        <f t="shared" si="11"/>
        <v>200969.28695294788</v>
      </c>
      <c r="R45" s="86">
        <f t="shared" si="11"/>
        <v>199000.18747482996</v>
      </c>
      <c r="S45" s="86">
        <f t="shared" si="11"/>
        <v>249176.83917583674</v>
      </c>
      <c r="T45" s="86">
        <f t="shared" si="11"/>
        <v>247866.15856880328</v>
      </c>
      <c r="U45" s="86">
        <f t="shared" si="11"/>
        <v>246791.19299405112</v>
      </c>
      <c r="V45" s="87">
        <f>V26+SUM(V34:V41)</f>
        <v>1553739.6521546785</v>
      </c>
    </row>
    <row r="46" spans="2:22" ht="14.1" customHeight="1" x14ac:dyDescent="0.3">
      <c r="B46" s="226"/>
      <c r="C46" s="226"/>
      <c r="D46" s="226"/>
      <c r="E46" s="226"/>
      <c r="F46" s="226"/>
      <c r="G46" s="226"/>
      <c r="H46" s="226"/>
      <c r="K46" s="208" t="s">
        <v>14</v>
      </c>
      <c r="L46" s="205"/>
      <c r="M46" s="56"/>
      <c r="N46" s="88">
        <f>(1+$M$45)^(-N15)</f>
        <v>1</v>
      </c>
      <c r="O46" s="88">
        <f>(1+$M$45)^(-O15)</f>
        <v>0.92165898617511521</v>
      </c>
      <c r="P46" s="88">
        <f t="shared" ref="P46:V46" si="12">(1+$M$45)^(-P15)</f>
        <v>0.84945528679734128</v>
      </c>
      <c r="Q46" s="88">
        <f t="shared" si="12"/>
        <v>0.78290809843072917</v>
      </c>
      <c r="R46" s="88">
        <f t="shared" si="12"/>
        <v>0.72157428426795334</v>
      </c>
      <c r="S46" s="88">
        <f t="shared" si="12"/>
        <v>0.66504542328843619</v>
      </c>
      <c r="T46" s="88">
        <f t="shared" si="12"/>
        <v>0.6129450905884205</v>
      </c>
      <c r="U46" s="88">
        <f t="shared" si="12"/>
        <v>0.56492635077273778</v>
      </c>
      <c r="V46" s="132">
        <f t="shared" si="12"/>
        <v>0.52066944771680901</v>
      </c>
    </row>
    <row r="47" spans="2:22" ht="14.1" customHeight="1" thickBot="1" x14ac:dyDescent="0.35">
      <c r="B47" s="226"/>
      <c r="C47" s="226"/>
      <c r="D47" s="226"/>
      <c r="E47" s="226"/>
      <c r="F47" s="226"/>
      <c r="G47" s="226"/>
      <c r="H47" s="226"/>
      <c r="K47" s="210" t="s">
        <v>15</v>
      </c>
      <c r="L47" s="211"/>
      <c r="M47" s="92"/>
      <c r="N47" s="93">
        <f>N45*N46</f>
        <v>-1597250</v>
      </c>
      <c r="O47" s="93">
        <f>O45*O46</f>
        <v>180770.39605128096</v>
      </c>
      <c r="P47" s="93">
        <f t="shared" ref="P47:V47" si="13">P45*P46</f>
        <v>172773.54137285062</v>
      </c>
      <c r="Q47" s="93">
        <f t="shared" si="13"/>
        <v>157340.48229131199</v>
      </c>
      <c r="R47" s="93">
        <f t="shared" si="13"/>
        <v>143593.41784633897</v>
      </c>
      <c r="S47" s="93">
        <f t="shared" si="13"/>
        <v>165713.91648336893</v>
      </c>
      <c r="T47" s="93">
        <f t="shared" si="13"/>
        <v>151928.34501775893</v>
      </c>
      <c r="U47" s="93">
        <f t="shared" si="13"/>
        <v>139418.84806097974</v>
      </c>
      <c r="V47" s="94">
        <f t="shared" si="13"/>
        <v>808984.76658308343</v>
      </c>
    </row>
    <row r="48" spans="2:22" ht="16.2" thickBot="1" x14ac:dyDescent="0.35">
      <c r="B48" s="226"/>
      <c r="C48" s="226"/>
      <c r="D48" s="226"/>
      <c r="E48" s="226"/>
      <c r="F48" s="226"/>
      <c r="G48" s="226"/>
      <c r="H48" s="226"/>
      <c r="K48" s="58" t="s">
        <v>46</v>
      </c>
      <c r="L48" s="128">
        <f>SUM(N47:V47)</f>
        <v>323273.71370697336</v>
      </c>
    </row>
    <row r="49" spans="1:22" ht="15.9" customHeight="1" x14ac:dyDescent="0.3">
      <c r="B49" s="226" t="s">
        <v>39</v>
      </c>
      <c r="C49" s="226"/>
      <c r="D49" s="226"/>
      <c r="E49" s="226"/>
      <c r="F49" s="226"/>
      <c r="G49" s="226"/>
      <c r="H49" s="226"/>
    </row>
    <row r="50" spans="1:22" ht="14.1" customHeight="1" thickBot="1" x14ac:dyDescent="0.35">
      <c r="B50" s="226"/>
      <c r="C50" s="226"/>
      <c r="D50" s="226"/>
      <c r="E50" s="226"/>
      <c r="F50" s="226"/>
      <c r="G50" s="226"/>
      <c r="H50" s="226"/>
      <c r="K50" s="3" t="s">
        <v>48</v>
      </c>
      <c r="N50" s="12"/>
    </row>
    <row r="51" spans="1:22" ht="14.1" customHeight="1" thickBot="1" x14ac:dyDescent="0.35">
      <c r="B51" s="226"/>
      <c r="C51" s="226"/>
      <c r="D51" s="226"/>
      <c r="E51" s="226"/>
      <c r="F51" s="226"/>
      <c r="G51" s="226"/>
      <c r="H51" s="226"/>
      <c r="K51" s="232" t="s">
        <v>1</v>
      </c>
      <c r="L51" s="233"/>
      <c r="M51" s="14" t="s">
        <v>2</v>
      </c>
      <c r="N51" s="18">
        <v>0</v>
      </c>
      <c r="O51" s="19">
        <v>1</v>
      </c>
      <c r="P51" s="19">
        <v>2</v>
      </c>
      <c r="Q51" s="19">
        <v>3</v>
      </c>
      <c r="R51" s="19">
        <v>4</v>
      </c>
      <c r="S51" s="19">
        <v>5</v>
      </c>
      <c r="T51" s="19">
        <v>6</v>
      </c>
      <c r="U51" s="19">
        <v>7</v>
      </c>
      <c r="V51" s="20">
        <v>8</v>
      </c>
    </row>
    <row r="52" spans="1:22" ht="14.1" customHeight="1" thickBot="1" x14ac:dyDescent="0.35">
      <c r="B52" s="226"/>
      <c r="C52" s="226"/>
      <c r="D52" s="226"/>
      <c r="E52" s="226"/>
      <c r="F52" s="226"/>
      <c r="G52" s="226"/>
      <c r="H52" s="226"/>
      <c r="K52" s="228" t="s">
        <v>6</v>
      </c>
      <c r="L52" s="229"/>
      <c r="M52" s="24"/>
      <c r="N52" s="25">
        <f t="shared" ref="N52:V52" si="14">N16</f>
        <v>0</v>
      </c>
      <c r="O52" s="26">
        <f t="shared" si="14"/>
        <v>16650</v>
      </c>
      <c r="P52" s="26">
        <f t="shared" si="14"/>
        <v>16650</v>
      </c>
      <c r="Q52" s="26">
        <f t="shared" si="14"/>
        <v>16650</v>
      </c>
      <c r="R52" s="26">
        <f t="shared" si="14"/>
        <v>16650</v>
      </c>
      <c r="S52" s="26">
        <f t="shared" si="14"/>
        <v>25100</v>
      </c>
      <c r="T52" s="26">
        <f t="shared" si="14"/>
        <v>25100</v>
      </c>
      <c r="U52" s="26">
        <f t="shared" si="14"/>
        <v>25100</v>
      </c>
      <c r="V52" s="27">
        <f t="shared" si="14"/>
        <v>25100</v>
      </c>
    </row>
    <row r="53" spans="1:22" x14ac:dyDescent="0.3">
      <c r="B53" s="226"/>
      <c r="C53" s="226"/>
      <c r="D53" s="226"/>
      <c r="E53" s="226"/>
      <c r="F53" s="226"/>
      <c r="G53" s="226"/>
      <c r="H53" s="226"/>
      <c r="K53" s="208" t="str">
        <f>K17</f>
        <v>Coûts fixes avant impôt</v>
      </c>
      <c r="L53" s="205"/>
      <c r="M53" s="28"/>
      <c r="N53" s="29">
        <f>N17</f>
        <v>0</v>
      </c>
      <c r="O53" s="32">
        <f>O17</f>
        <v>-124000</v>
      </c>
      <c r="P53" s="32">
        <f t="shared" ref="P53:V53" si="15">P17</f>
        <v>-124000</v>
      </c>
      <c r="Q53" s="32">
        <f t="shared" si="15"/>
        <v>-124000</v>
      </c>
      <c r="R53" s="32">
        <f t="shared" si="15"/>
        <v>-124000</v>
      </c>
      <c r="S53" s="32">
        <f t="shared" si="15"/>
        <v>-243000</v>
      </c>
      <c r="T53" s="32">
        <f t="shared" si="15"/>
        <v>-243000</v>
      </c>
      <c r="U53" s="32">
        <f t="shared" si="15"/>
        <v>-243000</v>
      </c>
      <c r="V53" s="182">
        <f t="shared" si="15"/>
        <v>-243000</v>
      </c>
    </row>
    <row r="54" spans="1:22" x14ac:dyDescent="0.3">
      <c r="B54" s="226"/>
      <c r="C54" s="226"/>
      <c r="D54" s="226"/>
      <c r="E54" s="226"/>
      <c r="F54" s="226"/>
      <c r="G54" s="226"/>
      <c r="H54" s="226"/>
      <c r="K54" s="208" t="s">
        <v>103</v>
      </c>
      <c r="L54" s="205"/>
      <c r="M54" s="179">
        <v>0.1</v>
      </c>
      <c r="N54" s="29">
        <f>N18*(1+$M$54)</f>
        <v>0</v>
      </c>
      <c r="O54" s="32">
        <f>O18*(1+$M$54)</f>
        <v>402930.00000000006</v>
      </c>
      <c r="P54" s="32">
        <f t="shared" ref="P54:V54" si="16">P18*(1+$M$54)</f>
        <v>402930.00000000006</v>
      </c>
      <c r="Q54" s="32">
        <f t="shared" si="16"/>
        <v>402930.00000000006</v>
      </c>
      <c r="R54" s="32">
        <f t="shared" si="16"/>
        <v>402930.00000000006</v>
      </c>
      <c r="S54" s="32">
        <f t="shared" si="16"/>
        <v>607420</v>
      </c>
      <c r="T54" s="32">
        <f t="shared" si="16"/>
        <v>607420</v>
      </c>
      <c r="U54" s="32">
        <f t="shared" si="16"/>
        <v>607420</v>
      </c>
      <c r="V54" s="33">
        <f t="shared" si="16"/>
        <v>607420</v>
      </c>
    </row>
    <row r="55" spans="1:22" ht="16.2" thickBot="1" x14ac:dyDescent="0.35">
      <c r="K55" s="208"/>
      <c r="L55" s="205"/>
      <c r="M55" s="28"/>
      <c r="N55" s="29"/>
      <c r="O55" s="32"/>
      <c r="P55" s="32"/>
      <c r="Q55" s="32"/>
      <c r="R55" s="32"/>
      <c r="S55" s="32"/>
      <c r="T55" s="32"/>
      <c r="U55" s="32"/>
      <c r="V55" s="33"/>
    </row>
    <row r="56" spans="1:22" ht="16.2" thickBot="1" x14ac:dyDescent="0.35">
      <c r="B56" s="3" t="s">
        <v>29</v>
      </c>
      <c r="K56" s="228" t="s">
        <v>8</v>
      </c>
      <c r="L56" s="231"/>
      <c r="M56" s="44"/>
      <c r="N56" s="45">
        <f>SUM(N53:N54)</f>
        <v>0</v>
      </c>
      <c r="O56" s="46">
        <f>SUM(O53:O54)</f>
        <v>278930.00000000006</v>
      </c>
      <c r="P56" s="46">
        <f t="shared" ref="P56:V56" si="17">SUM(P53:P54)</f>
        <v>278930.00000000006</v>
      </c>
      <c r="Q56" s="46">
        <f t="shared" si="17"/>
        <v>278930.00000000006</v>
      </c>
      <c r="R56" s="46">
        <f t="shared" si="17"/>
        <v>278930.00000000006</v>
      </c>
      <c r="S56" s="46">
        <f t="shared" si="17"/>
        <v>364420</v>
      </c>
      <c r="T56" s="46">
        <f t="shared" si="17"/>
        <v>364420</v>
      </c>
      <c r="U56" s="46">
        <f t="shared" si="17"/>
        <v>364420</v>
      </c>
      <c r="V56" s="47">
        <f t="shared" si="17"/>
        <v>364420</v>
      </c>
    </row>
    <row r="57" spans="1:22" x14ac:dyDescent="0.3">
      <c r="K57" s="208" t="str">
        <f>K21</f>
        <v>Impôts sur les FMN d'exploitation</v>
      </c>
      <c r="L57" s="205"/>
      <c r="M57" s="180">
        <v>0.22600000000000001</v>
      </c>
      <c r="N57" s="36">
        <f>-N56*$M$57</f>
        <v>0</v>
      </c>
      <c r="O57" s="32">
        <f>-O56*$M$57</f>
        <v>-63038.180000000015</v>
      </c>
      <c r="P57" s="32">
        <f t="shared" ref="P57:V57" si="18">-P56*$M$57</f>
        <v>-63038.180000000015</v>
      </c>
      <c r="Q57" s="32">
        <f t="shared" si="18"/>
        <v>-63038.180000000015</v>
      </c>
      <c r="R57" s="32">
        <f t="shared" si="18"/>
        <v>-63038.180000000015</v>
      </c>
      <c r="S57" s="32">
        <f t="shared" si="18"/>
        <v>-82358.92</v>
      </c>
      <c r="T57" s="32">
        <f t="shared" si="18"/>
        <v>-82358.92</v>
      </c>
      <c r="U57" s="32">
        <f t="shared" si="18"/>
        <v>-82358.92</v>
      </c>
      <c r="V57" s="182">
        <f t="shared" si="18"/>
        <v>-82358.92</v>
      </c>
    </row>
    <row r="58" spans="1:22" ht="16.5" customHeight="1" x14ac:dyDescent="0.3">
      <c r="A58" s="103"/>
      <c r="B58" s="226" t="s">
        <v>40</v>
      </c>
      <c r="C58" s="226"/>
      <c r="D58" s="226"/>
      <c r="E58" s="226"/>
      <c r="F58" s="226"/>
      <c r="G58" s="226"/>
      <c r="H58" s="226"/>
      <c r="K58" s="208" t="str">
        <f>K22</f>
        <v>Déduction d'impôt liées à l'équip.</v>
      </c>
      <c r="L58" s="205"/>
      <c r="M58" s="184">
        <v>0.2</v>
      </c>
      <c r="N58" s="36">
        <v>0</v>
      </c>
      <c r="O58" s="32">
        <f>O10*M58*0.5*M57</f>
        <v>6215</v>
      </c>
      <c r="P58" s="32">
        <f>$M$58*$O$10*(1-$M$58/2)*(1-$M$58)^(P51-2)*$M$57</f>
        <v>11187</v>
      </c>
      <c r="Q58" s="32">
        <f t="shared" ref="Q58:V58" si="19">$M$58*$O$10*(1-$M$58/2)*(1-$M$58)^(Q51-2)*$M$57</f>
        <v>8949.6</v>
      </c>
      <c r="R58" s="32">
        <f t="shared" si="19"/>
        <v>7159.6800000000021</v>
      </c>
      <c r="S58" s="32">
        <f t="shared" si="19"/>
        <v>5727.7440000000015</v>
      </c>
      <c r="T58" s="32">
        <f t="shared" si="19"/>
        <v>4582.1952000000019</v>
      </c>
      <c r="U58" s="32">
        <f t="shared" si="19"/>
        <v>3665.7561600000022</v>
      </c>
      <c r="V58" s="33">
        <f t="shared" si="19"/>
        <v>2932.604928000002</v>
      </c>
    </row>
    <row r="59" spans="1:22" x14ac:dyDescent="0.3">
      <c r="A59" s="103"/>
      <c r="B59" s="226"/>
      <c r="C59" s="226"/>
      <c r="D59" s="226"/>
      <c r="E59" s="226"/>
      <c r="F59" s="226"/>
      <c r="G59" s="226"/>
      <c r="H59" s="226"/>
      <c r="K59" s="208" t="str">
        <f>K23</f>
        <v>Déduction d'impôt liées à l'immeuble</v>
      </c>
      <c r="L59" s="205"/>
      <c r="M59" s="179">
        <v>0.04</v>
      </c>
      <c r="N59" s="36">
        <v>0</v>
      </c>
      <c r="O59" s="51">
        <f>O11*M59*0.5*M57</f>
        <v>2380.6797156398102</v>
      </c>
      <c r="P59" s="32">
        <f>$M$59*$O$11*(1-$M$59/2)*(1-$M$59)^(P51-2)*$M$57</f>
        <v>4666.1322426540282</v>
      </c>
      <c r="Q59" s="32">
        <f t="shared" ref="Q59:V59" si="20">$M$59*$O$11*(1-$M$59/2)*(1-$M$59)^(Q51-2)*$M$57</f>
        <v>4479.4869529478674</v>
      </c>
      <c r="R59" s="32">
        <f t="shared" si="20"/>
        <v>4300.3074748299523</v>
      </c>
      <c r="S59" s="32">
        <f t="shared" si="20"/>
        <v>4128.2951758367544</v>
      </c>
      <c r="T59" s="32">
        <f t="shared" si="20"/>
        <v>3963.1633688032844</v>
      </c>
      <c r="U59" s="32">
        <f t="shared" si="20"/>
        <v>3804.6368340511526</v>
      </c>
      <c r="V59" s="33">
        <f t="shared" si="20"/>
        <v>3652.4513606891064</v>
      </c>
    </row>
    <row r="60" spans="1:22" x14ac:dyDescent="0.3">
      <c r="A60" s="103"/>
      <c r="B60" s="226" t="s">
        <v>42</v>
      </c>
      <c r="C60" s="226"/>
      <c r="D60" s="226"/>
      <c r="E60" s="226"/>
      <c r="F60" s="226"/>
      <c r="G60" s="226"/>
      <c r="H60" s="226"/>
      <c r="K60" s="208"/>
      <c r="L60" s="205"/>
      <c r="M60" s="74"/>
      <c r="N60" s="36"/>
      <c r="O60" s="51"/>
      <c r="P60" s="51"/>
      <c r="Q60" s="51"/>
      <c r="R60" s="51"/>
      <c r="S60" s="51"/>
      <c r="T60" s="51"/>
      <c r="U60" s="51"/>
      <c r="V60" s="52"/>
    </row>
    <row r="61" spans="1:22" ht="17.100000000000001" customHeight="1" thickBot="1" x14ac:dyDescent="0.35">
      <c r="A61" s="103"/>
      <c r="B61" s="226"/>
      <c r="C61" s="226"/>
      <c r="D61" s="226"/>
      <c r="E61" s="226"/>
      <c r="F61" s="226"/>
      <c r="G61" s="226"/>
      <c r="H61" s="226"/>
      <c r="K61" s="208"/>
      <c r="L61" s="205"/>
      <c r="M61" s="50"/>
      <c r="N61" s="36"/>
      <c r="O61" s="51"/>
      <c r="P61" s="51"/>
      <c r="Q61" s="51"/>
      <c r="R61" s="51"/>
      <c r="S61" s="51"/>
      <c r="T61" s="51"/>
      <c r="U61" s="51"/>
      <c r="V61" s="52"/>
    </row>
    <row r="62" spans="1:22" ht="15.75" customHeight="1" thickBot="1" x14ac:dyDescent="0.35">
      <c r="A62" s="216"/>
      <c r="B62" s="227" t="s">
        <v>41</v>
      </c>
      <c r="C62" s="227"/>
      <c r="D62" s="227"/>
      <c r="E62" s="227"/>
      <c r="F62" s="227"/>
      <c r="G62" s="227"/>
      <c r="H62" s="227"/>
      <c r="K62" s="228" t="s">
        <v>28</v>
      </c>
      <c r="L62" s="229"/>
      <c r="M62" s="55"/>
      <c r="N62" s="45">
        <f>SUM(N56:N59)</f>
        <v>0</v>
      </c>
      <c r="O62" s="41">
        <f>SUM(O56:O59)</f>
        <v>224487.49971563986</v>
      </c>
      <c r="P62" s="41">
        <f t="shared" ref="P62:V62" si="21">SUM(P56:P59)</f>
        <v>231744.95224265405</v>
      </c>
      <c r="Q62" s="41">
        <f t="shared" si="21"/>
        <v>229320.9069529479</v>
      </c>
      <c r="R62" s="41">
        <f t="shared" si="21"/>
        <v>227351.80747482998</v>
      </c>
      <c r="S62" s="41">
        <f t="shared" si="21"/>
        <v>291917.11917583679</v>
      </c>
      <c r="T62" s="41">
        <f t="shared" si="21"/>
        <v>290606.43856880331</v>
      </c>
      <c r="U62" s="41">
        <f t="shared" si="21"/>
        <v>289531.47299405118</v>
      </c>
      <c r="V62" s="42">
        <f t="shared" si="21"/>
        <v>288646.13628868916</v>
      </c>
    </row>
    <row r="63" spans="1:22" x14ac:dyDescent="0.3">
      <c r="A63" s="217"/>
      <c r="B63" s="230" t="s">
        <v>30</v>
      </c>
      <c r="C63" s="230"/>
      <c r="D63" s="230"/>
      <c r="E63" s="230"/>
      <c r="F63" s="230"/>
      <c r="G63" s="230"/>
      <c r="H63" s="230"/>
      <c r="K63" s="208" t="s">
        <v>9</v>
      </c>
      <c r="L63" s="205"/>
      <c r="M63" s="56"/>
      <c r="N63" s="29"/>
      <c r="O63" s="32"/>
      <c r="P63" s="32"/>
      <c r="Q63" s="32"/>
      <c r="R63" s="32"/>
      <c r="S63" s="32"/>
      <c r="T63" s="32"/>
      <c r="U63" s="32"/>
      <c r="V63" s="33"/>
    </row>
    <row r="64" spans="1:22" ht="15.75" customHeight="1" x14ac:dyDescent="0.3">
      <c r="A64" s="217"/>
      <c r="B64" s="110" t="s">
        <v>31</v>
      </c>
      <c r="C64" s="110"/>
      <c r="D64" s="110"/>
      <c r="E64" s="110"/>
      <c r="F64" s="110"/>
      <c r="G64" s="110"/>
      <c r="H64" s="110"/>
      <c r="K64" s="208" t="str">
        <f>K28</f>
        <v>Fonds de roulement</v>
      </c>
      <c r="L64" s="205"/>
      <c r="M64" s="56"/>
      <c r="N64" s="60">
        <f>-30000</f>
        <v>-30000</v>
      </c>
      <c r="O64" s="32"/>
      <c r="P64" s="32"/>
      <c r="Q64" s="32"/>
      <c r="R64" s="32"/>
      <c r="S64" s="32"/>
      <c r="T64" s="32"/>
      <c r="U64" s="32"/>
      <c r="V64" s="33"/>
    </row>
    <row r="65" spans="1:22" x14ac:dyDescent="0.3">
      <c r="A65" s="217"/>
      <c r="B65" s="223" t="s">
        <v>32</v>
      </c>
      <c r="C65" s="223"/>
      <c r="D65" s="223"/>
      <c r="E65" s="223"/>
      <c r="F65" s="223"/>
      <c r="G65" s="223"/>
      <c r="H65" s="223"/>
      <c r="K65" s="208" t="str">
        <f>K29</f>
        <v>Achat équipement</v>
      </c>
      <c r="L65" s="205"/>
      <c r="M65" s="56"/>
      <c r="N65" s="60">
        <f>-O10</f>
        <v>-275000</v>
      </c>
      <c r="O65" s="32"/>
      <c r="P65" s="32"/>
      <c r="Q65" s="32"/>
      <c r="R65" s="32"/>
      <c r="S65" s="32"/>
      <c r="T65" s="32"/>
      <c r="U65" s="32"/>
      <c r="V65" s="33"/>
    </row>
    <row r="66" spans="1:22" ht="15.9" customHeight="1" x14ac:dyDescent="0.3">
      <c r="A66" s="103"/>
      <c r="B66" s="223" t="s">
        <v>33</v>
      </c>
      <c r="C66" s="223"/>
      <c r="D66" s="223"/>
      <c r="E66" s="223"/>
      <c r="F66" s="223"/>
      <c r="G66" s="223"/>
      <c r="H66" s="223"/>
      <c r="K66" s="208" t="str">
        <f>K30</f>
        <v>Achat immeuble</v>
      </c>
      <c r="L66" s="205"/>
      <c r="M66" s="56"/>
      <c r="N66" s="60">
        <f>-O11</f>
        <v>-526699.05213270138</v>
      </c>
      <c r="O66" s="32"/>
      <c r="P66" s="32"/>
      <c r="Q66" s="32"/>
      <c r="R66" s="32"/>
      <c r="S66" s="32"/>
      <c r="T66" s="32"/>
      <c r="U66" s="32"/>
      <c r="V66" s="33"/>
    </row>
    <row r="67" spans="1:22" ht="15.75" customHeight="1" x14ac:dyDescent="0.3">
      <c r="A67" s="103"/>
      <c r="B67" s="223"/>
      <c r="C67" s="223"/>
      <c r="D67" s="223"/>
      <c r="E67" s="223"/>
      <c r="F67" s="223"/>
      <c r="G67" s="223"/>
      <c r="H67" s="223"/>
      <c r="K67" s="208" t="str">
        <f>K31</f>
        <v>Achat terrain</v>
      </c>
      <c r="L67" s="209"/>
      <c r="M67" s="56"/>
      <c r="N67" s="60">
        <f>-O12</f>
        <v>-765550.94786729862</v>
      </c>
      <c r="O67" s="32"/>
      <c r="P67" s="32"/>
      <c r="Q67" s="32"/>
      <c r="R67" s="32"/>
      <c r="S67" s="32"/>
      <c r="T67" s="32"/>
      <c r="U67" s="32"/>
      <c r="V67" s="33"/>
    </row>
    <row r="68" spans="1:22" x14ac:dyDescent="0.3">
      <c r="A68" s="103"/>
      <c r="B68" s="223"/>
      <c r="C68" s="223"/>
      <c r="D68" s="223"/>
      <c r="E68" s="223"/>
      <c r="F68" s="223"/>
      <c r="G68" s="223"/>
      <c r="H68" s="223"/>
      <c r="K68" s="208"/>
      <c r="L68" s="209"/>
      <c r="M68" s="56"/>
      <c r="N68" s="107"/>
      <c r="O68" s="107"/>
      <c r="P68" s="107"/>
      <c r="Q68" s="107"/>
      <c r="R68" s="107"/>
      <c r="S68" s="107"/>
      <c r="T68" s="107"/>
      <c r="U68" s="107"/>
      <c r="V68" s="35"/>
    </row>
    <row r="69" spans="1:22" ht="15.75" customHeight="1" x14ac:dyDescent="0.3">
      <c r="A69" s="103"/>
      <c r="B69" s="223"/>
      <c r="C69" s="223"/>
      <c r="D69" s="223"/>
      <c r="E69" s="223"/>
      <c r="F69" s="223"/>
      <c r="G69" s="223"/>
      <c r="H69" s="223"/>
      <c r="K69" s="224" t="s">
        <v>13</v>
      </c>
      <c r="L69" s="225"/>
      <c r="M69" s="68"/>
      <c r="N69" s="69"/>
      <c r="O69" s="69"/>
      <c r="P69" s="69"/>
      <c r="Q69" s="69"/>
      <c r="R69" s="69"/>
      <c r="S69" s="69"/>
      <c r="T69" s="69"/>
      <c r="U69" s="69"/>
      <c r="V69" s="72"/>
    </row>
    <row r="70" spans="1:22" ht="15.75" customHeight="1" x14ac:dyDescent="0.3">
      <c r="A70" s="216"/>
      <c r="B70" s="218" t="s">
        <v>44</v>
      </c>
      <c r="C70" s="218"/>
      <c r="D70" s="218"/>
      <c r="E70" s="218"/>
      <c r="F70" s="218"/>
      <c r="G70" s="218"/>
      <c r="H70" s="218"/>
      <c r="K70" s="208" t="str">
        <f>K34</f>
        <v>Récupération fonds de roulement</v>
      </c>
      <c r="L70" s="205"/>
      <c r="M70" s="73"/>
      <c r="N70" s="30"/>
      <c r="O70" s="32"/>
      <c r="P70" s="32"/>
      <c r="Q70" s="32"/>
      <c r="R70" s="32"/>
      <c r="S70" s="32"/>
      <c r="T70" s="32"/>
      <c r="U70" s="32"/>
      <c r="V70" s="33">
        <f>ABS(N64)</f>
        <v>30000</v>
      </c>
    </row>
    <row r="71" spans="1:22" x14ac:dyDescent="0.3">
      <c r="A71" s="217"/>
      <c r="B71" s="218"/>
      <c r="C71" s="218"/>
      <c r="D71" s="218"/>
      <c r="E71" s="218"/>
      <c r="F71" s="218"/>
      <c r="G71" s="218"/>
      <c r="H71" s="218"/>
      <c r="K71" s="208" t="str">
        <f>K35</f>
        <v>Récupération équipement</v>
      </c>
      <c r="L71" s="205"/>
      <c r="M71" s="73"/>
      <c r="N71" s="30"/>
      <c r="O71" s="32"/>
      <c r="P71" s="32"/>
      <c r="Q71" s="32"/>
      <c r="R71" s="32"/>
      <c r="S71" s="32"/>
      <c r="T71" s="32"/>
      <c r="U71" s="32"/>
      <c r="V71" s="33">
        <f>P10</f>
        <v>177000</v>
      </c>
    </row>
    <row r="72" spans="1:22" ht="15.75" customHeight="1" x14ac:dyDescent="0.3">
      <c r="A72" s="217"/>
      <c r="B72" s="218"/>
      <c r="C72" s="218"/>
      <c r="D72" s="218"/>
      <c r="E72" s="218"/>
      <c r="F72" s="218"/>
      <c r="G72" s="218"/>
      <c r="H72" s="218"/>
      <c r="K72" s="208" t="str">
        <f>K36</f>
        <v>Récupération immeuble</v>
      </c>
      <c r="L72" s="205"/>
      <c r="M72" s="74"/>
      <c r="N72" s="30"/>
      <c r="O72" s="32"/>
      <c r="P72" s="32"/>
      <c r="Q72" s="32"/>
      <c r="R72" s="32"/>
      <c r="S72" s="32"/>
      <c r="T72" s="32"/>
      <c r="U72" s="32"/>
      <c r="V72" s="33">
        <f>P11</f>
        <v>220000</v>
      </c>
    </row>
    <row r="73" spans="1:22" x14ac:dyDescent="0.3">
      <c r="A73" s="217"/>
      <c r="B73" s="218"/>
      <c r="C73" s="218"/>
      <c r="D73" s="218"/>
      <c r="E73" s="218"/>
      <c r="F73" s="218"/>
      <c r="G73" s="218"/>
      <c r="H73" s="218"/>
      <c r="K73" s="208" t="str">
        <f>K37</f>
        <v>Récupération terrain</v>
      </c>
      <c r="L73" s="205"/>
      <c r="M73" s="74"/>
      <c r="N73" s="30"/>
      <c r="O73" s="32"/>
      <c r="P73" s="32"/>
      <c r="Q73" s="32"/>
      <c r="R73" s="32"/>
      <c r="S73" s="32"/>
      <c r="T73" s="32"/>
      <c r="U73" s="32"/>
      <c r="V73" s="33">
        <f>P12</f>
        <v>896964.94970389677</v>
      </c>
    </row>
    <row r="74" spans="1:22" ht="16.2" thickBot="1" x14ac:dyDescent="0.35">
      <c r="A74" s="103"/>
      <c r="B74" s="218" t="s">
        <v>43</v>
      </c>
      <c r="C74" s="218"/>
      <c r="D74" s="218"/>
      <c r="E74" s="218"/>
      <c r="F74" s="218"/>
      <c r="G74" s="218"/>
      <c r="H74" s="218"/>
      <c r="K74" s="208"/>
      <c r="L74" s="205"/>
      <c r="M74" s="74"/>
      <c r="N74" s="107"/>
      <c r="O74" s="107"/>
      <c r="P74" s="107"/>
      <c r="Q74" s="107"/>
      <c r="R74" s="107"/>
      <c r="S74" s="107"/>
      <c r="T74" s="107"/>
      <c r="U74" s="107"/>
      <c r="V74" s="35"/>
    </row>
    <row r="75" spans="1:22" ht="17.100000000000001" customHeight="1" x14ac:dyDescent="0.3">
      <c r="K75" s="219" t="s">
        <v>23</v>
      </c>
      <c r="L75" s="220"/>
      <c r="M75" s="76"/>
      <c r="N75" s="77"/>
      <c r="O75" s="77"/>
      <c r="P75" s="77"/>
      <c r="Q75" s="77"/>
      <c r="R75" s="77"/>
      <c r="S75" s="77"/>
      <c r="T75" s="77"/>
      <c r="U75" s="77"/>
      <c r="V75" s="81"/>
    </row>
    <row r="76" spans="1:22" x14ac:dyDescent="0.3">
      <c r="K76" s="221" t="str">
        <f>K40</f>
        <v>Effet sur la disposition de l'immeuble</v>
      </c>
      <c r="L76" s="222"/>
      <c r="M76" s="74"/>
      <c r="N76" s="107"/>
      <c r="O76" s="32"/>
      <c r="P76" s="32"/>
      <c r="Q76" s="32"/>
      <c r="R76" s="32"/>
      <c r="S76" s="32"/>
      <c r="T76" s="32"/>
      <c r="U76" s="32"/>
      <c r="V76" s="33">
        <f>T12</f>
        <v>12140.426450092338</v>
      </c>
    </row>
    <row r="77" spans="1:22" x14ac:dyDescent="0.3">
      <c r="C77" s="109"/>
      <c r="K77" s="221" t="str">
        <f>K41</f>
        <v>Effet sur la disposition de l'équipement</v>
      </c>
      <c r="L77" s="222"/>
      <c r="M77" s="74"/>
      <c r="N77" s="107"/>
      <c r="O77" s="32"/>
      <c r="P77" s="32"/>
      <c r="Q77" s="32"/>
      <c r="R77" s="32"/>
      <c r="S77" s="32"/>
      <c r="T77" s="32"/>
      <c r="U77" s="32"/>
      <c r="V77" s="33">
        <f>U11</f>
        <v>-28271.58028799999</v>
      </c>
    </row>
    <row r="78" spans="1:22" x14ac:dyDescent="0.3">
      <c r="C78" s="109"/>
      <c r="K78" s="214"/>
      <c r="L78" s="215"/>
      <c r="M78" s="74"/>
      <c r="N78" s="107"/>
      <c r="O78" s="32"/>
      <c r="P78" s="32"/>
      <c r="Q78" s="32"/>
      <c r="R78" s="32"/>
      <c r="S78" s="32"/>
      <c r="T78" s="32"/>
      <c r="U78" s="32"/>
      <c r="V78" s="33"/>
    </row>
    <row r="79" spans="1:22" x14ac:dyDescent="0.3">
      <c r="K79" s="204"/>
      <c r="L79" s="205"/>
      <c r="M79" s="74"/>
      <c r="N79" s="30"/>
      <c r="O79" s="32"/>
      <c r="P79" s="32"/>
      <c r="Q79" s="32"/>
      <c r="R79" s="32"/>
      <c r="S79" s="32"/>
      <c r="T79" s="32"/>
      <c r="U79" s="32"/>
      <c r="V79" s="33"/>
    </row>
    <row r="80" spans="1:22" ht="15.9" customHeight="1" thickBot="1" x14ac:dyDescent="0.35">
      <c r="K80" s="206"/>
      <c r="L80" s="207"/>
      <c r="M80" s="82"/>
      <c r="N80" s="30"/>
      <c r="O80" s="32"/>
      <c r="P80" s="32"/>
      <c r="Q80" s="32"/>
      <c r="R80" s="32"/>
      <c r="S80" s="32"/>
      <c r="T80" s="32"/>
      <c r="U80" s="32"/>
      <c r="V80" s="33"/>
    </row>
    <row r="81" spans="11:22" ht="14.1" customHeight="1" x14ac:dyDescent="0.3">
      <c r="K81" s="208" t="s">
        <v>7</v>
      </c>
      <c r="L81" s="209"/>
      <c r="M81" s="183">
        <v>8.5000000000000006E-2</v>
      </c>
      <c r="N81" s="89">
        <f>N62+SUM(N64:N67)</f>
        <v>-1597250</v>
      </c>
      <c r="O81" s="90">
        <f t="shared" ref="O81:U81" si="22">O62</f>
        <v>224487.49971563986</v>
      </c>
      <c r="P81" s="90">
        <f t="shared" si="22"/>
        <v>231744.95224265405</v>
      </c>
      <c r="Q81" s="90">
        <f t="shared" si="22"/>
        <v>229320.9069529479</v>
      </c>
      <c r="R81" s="90">
        <f t="shared" si="22"/>
        <v>227351.80747482998</v>
      </c>
      <c r="S81" s="90">
        <f t="shared" si="22"/>
        <v>291917.11917583679</v>
      </c>
      <c r="T81" s="90">
        <f t="shared" si="22"/>
        <v>290606.43856880331</v>
      </c>
      <c r="U81" s="90">
        <f t="shared" si="22"/>
        <v>289531.47299405118</v>
      </c>
      <c r="V81" s="91">
        <f>V62+SUM(V70:V73)+SUM(V76:V77)</f>
        <v>1596479.9321546785</v>
      </c>
    </row>
    <row r="82" spans="11:22" ht="15" customHeight="1" x14ac:dyDescent="0.3">
      <c r="K82" s="208" t="s">
        <v>14</v>
      </c>
      <c r="L82" s="205"/>
      <c r="M82" s="74"/>
      <c r="N82" s="133">
        <f>(1+$M$81)^(-N51)</f>
        <v>1</v>
      </c>
      <c r="O82" s="88">
        <f>(1+$M$81)^(-O51)</f>
        <v>0.92165898617511521</v>
      </c>
      <c r="P82" s="88">
        <f t="shared" ref="P82:U82" si="23">(1+$M$81)^(-P51)</f>
        <v>0.84945528679734128</v>
      </c>
      <c r="Q82" s="88">
        <f t="shared" si="23"/>
        <v>0.78290809843072917</v>
      </c>
      <c r="R82" s="88">
        <f t="shared" si="23"/>
        <v>0.72157428426795334</v>
      </c>
      <c r="S82" s="88">
        <f t="shared" si="23"/>
        <v>0.66504542328843619</v>
      </c>
      <c r="T82" s="88">
        <f t="shared" si="23"/>
        <v>0.6129450905884205</v>
      </c>
      <c r="U82" s="88">
        <f t="shared" si="23"/>
        <v>0.56492635077273778</v>
      </c>
      <c r="V82" s="132">
        <f>(1+$M$81)^(-V51)</f>
        <v>0.52066944771680901</v>
      </c>
    </row>
    <row r="83" spans="11:22" ht="16.2" thickBot="1" x14ac:dyDescent="0.35">
      <c r="K83" s="210" t="s">
        <v>15</v>
      </c>
      <c r="L83" s="211"/>
      <c r="M83" s="95"/>
      <c r="N83" s="96">
        <f>N81*N82</f>
        <v>-1597250</v>
      </c>
      <c r="O83" s="93">
        <f>O81*O82</f>
        <v>206900.92139690311</v>
      </c>
      <c r="P83" s="93">
        <f t="shared" ref="P83:V83" si="24">P81*P82</f>
        <v>196856.97487111986</v>
      </c>
      <c r="Q83" s="93">
        <f t="shared" si="24"/>
        <v>179537.19519294263</v>
      </c>
      <c r="R83" s="93">
        <f t="shared" si="24"/>
        <v>164051.21775567596</v>
      </c>
      <c r="S83" s="93">
        <f t="shared" si="24"/>
        <v>194138.14408743524</v>
      </c>
      <c r="T83" s="93">
        <f t="shared" si="24"/>
        <v>178125.7898141334</v>
      </c>
      <c r="U83" s="93">
        <f t="shared" si="24"/>
        <v>163563.95847238481</v>
      </c>
      <c r="V83" s="94">
        <f t="shared" si="24"/>
        <v>831238.32456594519</v>
      </c>
    </row>
    <row r="84" spans="11:22" ht="15.75" customHeight="1" thickBot="1" x14ac:dyDescent="0.35">
      <c r="K84" s="58" t="s">
        <v>46</v>
      </c>
      <c r="L84" s="128">
        <f>SUM(N83:V83)</f>
        <v>517162.52615654049</v>
      </c>
    </row>
    <row r="85" spans="11:22" ht="16.2" thickBot="1" x14ac:dyDescent="0.35"/>
    <row r="86" spans="11:22" ht="15.75" customHeight="1" thickBot="1" x14ac:dyDescent="0.35">
      <c r="K86" s="212" t="s">
        <v>47</v>
      </c>
      <c r="L86" s="213"/>
      <c r="M86" s="104">
        <f>L84/L48-1</f>
        <v>0.59976671232018197</v>
      </c>
      <c r="P86" s="107"/>
      <c r="Q86" s="107"/>
      <c r="R86" s="107"/>
      <c r="S86" s="107"/>
      <c r="T86" s="107"/>
      <c r="U86" s="107"/>
      <c r="V86" s="107"/>
    </row>
    <row r="87" spans="11:22" x14ac:dyDescent="0.3">
      <c r="K87" s="195" t="s">
        <v>104</v>
      </c>
      <c r="L87" s="196"/>
      <c r="M87" s="196"/>
      <c r="N87" s="196"/>
      <c r="O87" s="196"/>
      <c r="P87" s="196"/>
      <c r="Q87" s="196"/>
      <c r="R87" s="196"/>
      <c r="S87" s="196"/>
      <c r="T87" s="196"/>
      <c r="U87" s="196"/>
      <c r="V87" s="197"/>
    </row>
    <row r="88" spans="11:22" x14ac:dyDescent="0.3">
      <c r="K88" s="198"/>
      <c r="L88" s="199"/>
      <c r="M88" s="199"/>
      <c r="N88" s="199"/>
      <c r="O88" s="199"/>
      <c r="P88" s="199"/>
      <c r="Q88" s="199"/>
      <c r="R88" s="199"/>
      <c r="S88" s="199"/>
      <c r="T88" s="199"/>
      <c r="U88" s="199"/>
      <c r="V88" s="200"/>
    </row>
    <row r="89" spans="11:22" ht="16.2" thickBot="1" x14ac:dyDescent="0.35">
      <c r="K89" s="201"/>
      <c r="L89" s="202"/>
      <c r="M89" s="202"/>
      <c r="N89" s="202"/>
      <c r="O89" s="202"/>
      <c r="P89" s="202"/>
      <c r="Q89" s="202"/>
      <c r="R89" s="202"/>
      <c r="S89" s="202"/>
      <c r="T89" s="202"/>
      <c r="U89" s="202"/>
      <c r="V89" s="203"/>
    </row>
  </sheetData>
  <mergeCells count="96">
    <mergeCell ref="E1:F1"/>
    <mergeCell ref="B2:F2"/>
    <mergeCell ref="G2:H2"/>
    <mergeCell ref="B3:H10"/>
    <mergeCell ref="R3:S3"/>
    <mergeCell ref="B17:H19"/>
    <mergeCell ref="K17:L17"/>
    <mergeCell ref="K18:L18"/>
    <mergeCell ref="K19:L19"/>
    <mergeCell ref="B11:H16"/>
    <mergeCell ref="K15:L15"/>
    <mergeCell ref="K16:L16"/>
    <mergeCell ref="B20:H23"/>
    <mergeCell ref="K20:L20"/>
    <mergeCell ref="K21:L21"/>
    <mergeCell ref="K22:L22"/>
    <mergeCell ref="K23:L23"/>
    <mergeCell ref="B24:H28"/>
    <mergeCell ref="K24:L24"/>
    <mergeCell ref="K25:L25"/>
    <mergeCell ref="K26:L26"/>
    <mergeCell ref="K27:L27"/>
    <mergeCell ref="K28:L28"/>
    <mergeCell ref="B29:H33"/>
    <mergeCell ref="K29:L29"/>
    <mergeCell ref="K30:L30"/>
    <mergeCell ref="K31:L31"/>
    <mergeCell ref="K32:L32"/>
    <mergeCell ref="K33:L33"/>
    <mergeCell ref="K43:L43"/>
    <mergeCell ref="K34:L34"/>
    <mergeCell ref="C35:D35"/>
    <mergeCell ref="E35:F35"/>
    <mergeCell ref="K35:L35"/>
    <mergeCell ref="C36:C38"/>
    <mergeCell ref="D36:D38"/>
    <mergeCell ref="E36:E38"/>
    <mergeCell ref="F36:F38"/>
    <mergeCell ref="K36:L36"/>
    <mergeCell ref="K37:L37"/>
    <mergeCell ref="K38:L38"/>
    <mergeCell ref="K39:L39"/>
    <mergeCell ref="K40:L40"/>
    <mergeCell ref="K41:L41"/>
    <mergeCell ref="K42:L42"/>
    <mergeCell ref="B49:H54"/>
    <mergeCell ref="K51:L51"/>
    <mergeCell ref="K52:L52"/>
    <mergeCell ref="K53:L53"/>
    <mergeCell ref="K54:L54"/>
    <mergeCell ref="K44:L44"/>
    <mergeCell ref="B45:H48"/>
    <mergeCell ref="K45:L45"/>
    <mergeCell ref="K46:L46"/>
    <mergeCell ref="K47:L47"/>
    <mergeCell ref="K55:L55"/>
    <mergeCell ref="K56:L56"/>
    <mergeCell ref="K57:L57"/>
    <mergeCell ref="B58:H59"/>
    <mergeCell ref="K58:L58"/>
    <mergeCell ref="K59:L59"/>
    <mergeCell ref="B60:H61"/>
    <mergeCell ref="K60:L60"/>
    <mergeCell ref="K61:L61"/>
    <mergeCell ref="A62:A65"/>
    <mergeCell ref="B62:H62"/>
    <mergeCell ref="K62:L62"/>
    <mergeCell ref="B63:H63"/>
    <mergeCell ref="K63:L63"/>
    <mergeCell ref="K64:L64"/>
    <mergeCell ref="B65:H65"/>
    <mergeCell ref="K65:L65"/>
    <mergeCell ref="B66:H69"/>
    <mergeCell ref="K66:L66"/>
    <mergeCell ref="K67:L67"/>
    <mergeCell ref="K68:L68"/>
    <mergeCell ref="K69:L69"/>
    <mergeCell ref="K78:L78"/>
    <mergeCell ref="A70:A73"/>
    <mergeCell ref="B70:H73"/>
    <mergeCell ref="K70:L70"/>
    <mergeCell ref="K71:L71"/>
    <mergeCell ref="K72:L72"/>
    <mergeCell ref="K73:L73"/>
    <mergeCell ref="B74:H74"/>
    <mergeCell ref="K74:L74"/>
    <mergeCell ref="K75:L75"/>
    <mergeCell ref="K76:L76"/>
    <mergeCell ref="K77:L77"/>
    <mergeCell ref="K87:V89"/>
    <mergeCell ref="K79:L79"/>
    <mergeCell ref="K80:L80"/>
    <mergeCell ref="K81:L81"/>
    <mergeCell ref="K82:L82"/>
    <mergeCell ref="K83:L83"/>
    <mergeCell ref="K86:L8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41"/>
  <sheetViews>
    <sheetView zoomScale="70" zoomScaleNormal="70" workbookViewId="0">
      <selection activeCell="V3" sqref="V3"/>
    </sheetView>
  </sheetViews>
  <sheetFormatPr defaultColWidth="10.69921875" defaultRowHeight="15.6" x14ac:dyDescent="0.3"/>
  <cols>
    <col min="1" max="1" width="3.09765625" style="4" customWidth="1"/>
    <col min="2" max="2" width="11" style="4" bestFit="1" customWidth="1"/>
    <col min="3" max="3" width="28.69921875" style="4" bestFit="1" customWidth="1"/>
    <col min="4" max="4" width="20.69921875" style="4" bestFit="1" customWidth="1"/>
    <col min="5" max="5" width="21.09765625" style="4" customWidth="1"/>
    <col min="6" max="6" width="17.59765625" style="4" bestFit="1" customWidth="1"/>
    <col min="7" max="7" width="25" style="4" customWidth="1"/>
    <col min="8" max="8" width="17.59765625" style="4" bestFit="1" customWidth="1"/>
    <col min="9" max="20" width="10.69921875" style="4"/>
    <col min="21" max="21" width="13.5" style="4" bestFit="1" customWidth="1"/>
    <col min="22" max="16384" width="10.69921875" style="4"/>
  </cols>
  <sheetData>
    <row r="1" spans="2:22" x14ac:dyDescent="0.3">
      <c r="J1" s="145" t="s">
        <v>10</v>
      </c>
      <c r="K1" s="145" t="s">
        <v>11</v>
      </c>
      <c r="L1" s="145" t="s">
        <v>12</v>
      </c>
      <c r="M1" s="145" t="s">
        <v>10</v>
      </c>
      <c r="N1" s="145" t="s">
        <v>11</v>
      </c>
      <c r="O1" s="145" t="s">
        <v>12</v>
      </c>
      <c r="P1" s="116" t="s">
        <v>26</v>
      </c>
      <c r="Q1" s="116" t="s">
        <v>27</v>
      </c>
      <c r="R1" s="116" t="s">
        <v>26</v>
      </c>
      <c r="S1" s="116" t="s">
        <v>27</v>
      </c>
      <c r="T1" s="144" t="s">
        <v>46</v>
      </c>
      <c r="U1" s="144" t="s">
        <v>46</v>
      </c>
      <c r="V1" s="145" t="s">
        <v>53</v>
      </c>
    </row>
    <row r="2" spans="2:22" x14ac:dyDescent="0.3">
      <c r="B2" s="5" t="s">
        <v>0</v>
      </c>
      <c r="C2" s="150">
        <f>Ennoncé!C1</f>
        <v>0</v>
      </c>
      <c r="D2" s="151" t="s">
        <v>3</v>
      </c>
      <c r="E2" s="153">
        <f>Ennoncé!E1</f>
        <v>0</v>
      </c>
      <c r="F2" s="152" t="s">
        <v>4</v>
      </c>
      <c r="G2" s="9">
        <f>Ennoncé!H1</f>
        <v>0</v>
      </c>
      <c r="H2" s="10" t="s">
        <v>5</v>
      </c>
      <c r="I2" s="154">
        <f>Ennoncé!J1</f>
        <v>0</v>
      </c>
      <c r="J2" s="146">
        <f>Ennoncé!O10</f>
        <v>275000</v>
      </c>
      <c r="K2" s="146">
        <f>Ennoncé!O11</f>
        <v>526699.05213270138</v>
      </c>
      <c r="L2" s="146">
        <f>Ennoncé!O12</f>
        <v>765550.94786729862</v>
      </c>
      <c r="M2" s="147">
        <f>Ennoncé!P10</f>
        <v>177000</v>
      </c>
      <c r="N2" s="147">
        <f>Ennoncé!P11</f>
        <v>220000</v>
      </c>
      <c r="O2" s="147">
        <f>Ennoncé!P12</f>
        <v>896964.94970389677</v>
      </c>
      <c r="P2" s="148">
        <f>Ennoncé!T11</f>
        <v>37938.832656538551</v>
      </c>
      <c r="Q2" s="148">
        <f>Ennoncé!T12</f>
        <v>12140.426450092338</v>
      </c>
      <c r="R2" s="148">
        <f>Ennoncé!U11</f>
        <v>-28271.58028799999</v>
      </c>
      <c r="S2" s="148">
        <f>Ennoncé!U12</f>
        <v>-19839.705465263152</v>
      </c>
      <c r="T2" s="163">
        <f>Ennoncé!L48</f>
        <v>323273.71370697336</v>
      </c>
      <c r="U2" s="149">
        <f>Ennoncé!L84</f>
        <v>517162.52615654049</v>
      </c>
      <c r="V2" s="164">
        <f>Ennoncé!M86</f>
        <v>0.59976671232018197</v>
      </c>
    </row>
    <row r="3" spans="2:22" ht="14.1" customHeight="1" x14ac:dyDescent="0.3"/>
    <row r="4" spans="2:22" ht="14.1" customHeight="1" x14ac:dyDescent="0.3"/>
    <row r="5" spans="2:22" ht="14.1" customHeight="1" x14ac:dyDescent="0.3"/>
    <row r="6" spans="2:22" ht="14.1" customHeight="1" x14ac:dyDescent="0.3"/>
    <row r="7" spans="2:22" ht="14.1" customHeight="1" x14ac:dyDescent="0.3"/>
    <row r="10" spans="2:22" ht="15.9" customHeight="1" x14ac:dyDescent="0.3"/>
    <row r="16" spans="2:22" ht="15.9" customHeight="1" x14ac:dyDescent="0.3"/>
    <row r="17" ht="14.1" customHeight="1" x14ac:dyDescent="0.3"/>
    <row r="19" ht="15.75" customHeight="1" x14ac:dyDescent="0.3"/>
    <row r="21" ht="15.9" customHeight="1" x14ac:dyDescent="0.3"/>
    <row r="22" ht="15.75" customHeight="1" x14ac:dyDescent="0.3"/>
    <row r="24" ht="15.75" customHeight="1" x14ac:dyDescent="0.3"/>
    <row r="25" ht="15.75" customHeight="1" x14ac:dyDescent="0.3"/>
    <row r="27" ht="15.75" customHeight="1" x14ac:dyDescent="0.3"/>
    <row r="30" ht="17.100000000000001" customHeight="1" x14ac:dyDescent="0.3"/>
    <row r="35" ht="15.9" customHeight="1" x14ac:dyDescent="0.3"/>
    <row r="36" ht="14.1" customHeight="1" x14ac:dyDescent="0.3"/>
    <row r="37" ht="15" customHeight="1" x14ac:dyDescent="0.3"/>
    <row r="39" ht="15.75" customHeight="1" x14ac:dyDescent="0.3"/>
    <row r="41" ht="15.75" customHeight="1" x14ac:dyDescent="0.3"/>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s F A A B Q S w M E F A A C A A g A g 1 1 M U b n / f F 6 m A A A A + A A A A B I A H A B D b 2 5 m a W c v U G F j a 2 F n Z S 5 4 b W w g o h g A K K A U A A A A A A A A A A A A A A A A A A A A A A A A A A A A h Y / B C o I w H I d f R X Z 3 m 2 Y o 8 n c S X h O C I L q O u X S k M 9 x s v l u H H q l X S C i r W 8 f f x 3 f 4 f o / b H f K p a 7 2 r H I z q d Y Y C T J E n t e g r p e s M j f b k J y h n s O P i z G v p z b I 2 6 W S q D D X W X l J C n H P Y r X A / 1 C S k N C D H c r s X j e w 4 + s j q v + w r b S z X Q i I G h 1 c M C 3 G c 4 H U c U R w l A Z A F Q 6 n 0 V w n n Y k y B / E A o x t a O g 2 R S + 8 U G y D K B v F + w J 1 B L A w Q U A A I A C A C D X U x 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1 1 M U R Q v 7 o X j A g A A g Q k A A B M A H A B G b 3 J t d W x h c y 9 T Z W N 0 a W 9 u M S 5 t I K I Y A C i g F A A A A A A A A A A A A A A A A A A A A A A A A A A A A O 1 V 0 W 7 a M B R 9 R + I f L P d h I E W I 0 q 7 d 2 t G q K 2 V D k 9 B W K u 0 h o M l N L s W q Y 6 e O 0 4 E Q / z O + g x + b H S / E d I F W 6 h 7 H C 9 b N 9 b n n n n t s J x A o K j g a 2 P / 9 0 2 q l W k k m R E K I F C Q K t R E D V a 0 g / R u I V A a g I 1 3 B Q p C N L m W Q 1 H D n Z P h J i D s G q C P p I w w D n Z Y M e / 3 O w X G z N S S t Z q s 5 N F C 4 7 l m c P X y h l K S 3 q Y 6 i c L V 8 B C b i e L X E G v q G 3 D J o X E 1 j w s N r C I Q M L w V L I 1 6 z x T 3 k 7 M U e m u M v l I d 6 g T / T M A S O F y Z W p D T y z 0 4 o z 3 T o p E p q K o F g g n O 9 S N I 4 l j R a L X W N N a c B M K 2 R Z Z P U t v b g z f G l 4 A q 4 M m X 7 J A K 3 U p c G E w o y Q R F J H t L V M k F j y p T U i / 2 n l a 7 F z 6 z M D m 4 e A h J M k F 9 Q G Z 3 7 t r 3 R O f p w h p R M w W k z j j W y R C k H N B b c D j 7 W b D Q y Y T T R m A 6 L i z C X f j d t 3 e W N J D w Z C x l p c G 2 D s c 3 O 6 e 1 t + 1 7 z / y g 1 q r 9 o F n 9 J 5 A z j J a 0 Z a 2 y h 4 o z o 0 l Z G I S B l a m 2 M 1 x X I m j R b r 4 X a y X 6 X U h b S 4 h j T m K a 2 y b a H r 6 Y Q x S z j m E f r j o Y 3 s x h Q J E I 6 p u 6 p W u P Z M i b L l H m u Y W 9 u L G 1 2 m B a U w V Y w V d l J s / H W l v h B H i d 8 5 o Q P y 8 N v y 8 N H 5 e H j 8 v C 7 8 v B 7 H e 5 x d X T Y M F 0 v F v V q h f J y u d w b 8 C u R J F r 9 0 j P d 1 y q W 6 o 4 i U A T 5 v S T L B Q X y W w p y 1 j Z H z 0 M f K S d y 1 t M H U m l 0 k O 1 S D D 1 + T a G N b b a h + g T t G h 5 S q g l l q C O X 4 R O X v I E S h m V X + N U 0 A N b 4 L u T 9 r R D 3 N a d R D / G U M W / j 7 u g L B T 8 G E w D z H l i M u d 9 T E L W x + Y Q 9 c 8 2 2 c Z a B R w u / Q x Q Z F R I X 2 z e p l 8 n 5 / 7 3 5 d + 9 N n z z S O 5 K 9 6 5 l 9 d 9 W d N x f r 6 9 i Z X I G Q j c 5 H 3 d T e r p k v t W F D y u 8 0 O J 5 j b L 1 H Z F e b M W U k 4 4 J P 8 K Z D h 2 m z 2 T o u s S l e Y D T a 5 u t n D O L 6 t 4 7 a Z 0 X K K 0 z / C u O b r b m E m z C F t B b t 9 D d Q S w E C L Q A U A A I A C A C D X U x R u f 9 8 X q Y A A A D 4 A A A A E g A A A A A A A A A A A A A A A A A A A A A A Q 2 9 u Z m l n L 1 B h Y 2 t h Z 2 U u e G 1 s U E s B A i 0 A F A A C A A g A g 1 1 M U Q / K 6 a u k A A A A 6 Q A A A B M A A A A A A A A A A A A A A A A A 8 g A A A F t D b 2 5 0 Z W 5 0 X 1 R 5 c G V z X S 5 4 b W x Q S w E C L Q A U A A I A C A C D X U x R F C / u h e M C A A C B C Q A A E w A A A A A A A A A A A A A A A A D j A Q A A R m 9 y b X V s Y X M v U 2 V j d G l v b j E u b V B L B Q Y A A A A A A w A D A M I A A A A T 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g I g A A A A A A A D 4 i 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J i M S 9 a L 2 J v Q 2 h S W m x F a X J v c l U 1 Z m R L R l J 5 W V c 1 e l p t O X l i V 1 Z 5 S U d 4 b E l H W n B Z M m h w W l h J Z 3 c 2 Q W d j R 0 Z 5 Z E d s e U l H U m x J S F J s Y z N R Q U F B Q U F B Q U F B Q U F B Q W R x d j l E N k w w a W s 2 R V V x U T I y U W V D U V J a U 1 p Y R j F 3 N n A w W l h N Z 1 p D Z G h j M 0 5 w Y z N S a G J t T m x B Q U Z i M S 9 a L 2 J v Q 2 h S W m x F a X J v c l U 1 Z m R B Q U F B Q U E 9 P S I g L z 4 8 L 1 N 0 Y W J s Z U V u d H J p Z X M + P C 9 J d G V t P j x J d G V t P j x J d G V t T G 9 j Y X R p b 2 4 + P E l 0 Z W 1 U e X B l P k Z v c m 1 1 b G E 8 L 0 l 0 Z W 1 U e X B l P j x J d G V t U G F 0 a D 5 T Z W N 0 a W 9 u M S 9 0 Z X N 0 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k F k Z G V k V G 9 E Y X R h T W 9 k Z W w i I F Z h b H V l P S J s M C I g L z 4 8 R W 5 0 c n k g V H l w Z T 0 i R m l s b E N v d W 5 0 I i B W Y W x 1 Z T 0 i b D I 0 O S I g L z 4 8 R W 5 0 c n k g V H l w Z T 0 i R m l s b E V y c m 9 y Q 2 9 k Z S I g V m F s d W U 9 I n N V b m t u b 3 d u I i A v P j x F b n R y e S B U e X B l P S J G a W x s R X J y b 3 J D b 3 V u d C I g V m F s d W U 9 I m w z I i A v P j x F b n R y e S B U e X B l P S J G a W x s T G F z d F V w Z G F 0 Z W Q i I F Z h b H V l P S J k M j A y M C 0 x M C 0 x M l Q x N T o 0 M T o 0 M y 4 y O T Y 0 O D c y W i I g L z 4 8 R W 5 0 c n k g V H l w Z T 0 i R m l s b E N v b H V t b l R 5 c G V z I i B W Y W x 1 Z T 0 i c 0 J n W U F B Q U F B Q U F B R C 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3 R l c 3 Q v V H l w Z S B t b 2 R p Z m n D q S 5 7 Q 2 9 s d W 1 u M S w w f S Z x d W 9 0 O y w m c X V v d D t T Z W N 0 a W 9 u M S 9 0 Z X N 0 L 1 R 5 c G U g b W 9 k a W Z p w 6 k u e 0 N v b H V t b j I s M X 0 m c X V v d D s s J n F 1 b 3 Q 7 U 2 V j d G l v b j E v d G V z d C 9 U e X B l I G 1 v Z G l m a c O p L n t D b 2 x 1 b W 4 z L D J 9 J n F 1 b 3 Q 7 L C Z x d W 9 0 O 1 N l Y 3 R p b 2 4 x L 3 R l c 3 Q v V H l w Z S B t b 2 R p Z m n D q S 5 7 Q 2 9 s d W 1 u N C w z f S Z x d W 9 0 O y w m c X V v d D t T Z W N 0 a W 9 u M S 9 0 Z X N 0 L 1 R 5 c G U g b W 9 k a W Z p w 6 k u e 0 N v b H V t b j U s N H 0 m c X V v d D s s J n F 1 b 3 Q 7 U 2 V j d G l v b j E v d G V z d C 9 U e X B l I G 1 v Z G l m a c O p L n t D b 2 x 1 b W 4 2 L D V 9 J n F 1 b 3 Q 7 L C Z x d W 9 0 O 1 N l Y 3 R p b 2 4 x L 3 R l c 3 Q v V H l w Z S B t b 2 R p Z m n D q S 5 7 Q 2 9 s d W 1 u N y w 2 f S Z x d W 9 0 O y w m c X V v d D t T Z W N 0 a W 9 u M S 9 0 Z X N 0 L 1 R 5 c G U g b W 9 k a W Z p w 6 k u e 0 N v b H V t b j g s N 3 0 m c X V v d D s s J n F 1 b 3 Q 7 U 2 V j d G l v b j E v d G V z d C 9 U e X B l I G 1 v Z G l m a c O p L n t D b 2 x 1 b W 4 5 L D h 9 J n F 1 b 3 Q 7 X S w m c X V v d D t D b 2 x 1 b W 5 D b 3 V u d C Z x d W 9 0 O z o 5 L C Z x d W 9 0 O 0 t l e U N v b H V t b k 5 h b W V z J n F 1 b 3 Q 7 O l t d L C Z x d W 9 0 O 0 N v b H V t b k l k Z W 5 0 a X R p Z X M m c X V v d D s 6 W y Z x d W 9 0 O 1 N l Y 3 R p b 2 4 x L 3 R l c 3 Q v V H l w Z S B t b 2 R p Z m n D q S 5 7 Q 2 9 s d W 1 u M S w w f S Z x d W 9 0 O y w m c X V v d D t T Z W N 0 a W 9 u M S 9 0 Z X N 0 L 1 R 5 c G U g b W 9 k a W Z p w 6 k u e 0 N v b H V t b j I s M X 0 m c X V v d D s s J n F 1 b 3 Q 7 U 2 V j d G l v b j E v d G V z d C 9 U e X B l I G 1 v Z G l m a c O p L n t D b 2 x 1 b W 4 z L D J 9 J n F 1 b 3 Q 7 L C Z x d W 9 0 O 1 N l Y 3 R p b 2 4 x L 3 R l c 3 Q v V H l w Z S B t b 2 R p Z m n D q S 5 7 Q 2 9 s d W 1 u N C w z f S Z x d W 9 0 O y w m c X V v d D t T Z W N 0 a W 9 u M S 9 0 Z X N 0 L 1 R 5 c G U g b W 9 k a W Z p w 6 k u e 0 N v b H V t b j U s N H 0 m c X V v d D s s J n F 1 b 3 Q 7 U 2 V j d G l v b j E v d G V z d C 9 U e X B l I G 1 v Z G l m a c O p L n t D b 2 x 1 b W 4 2 L D V 9 J n F 1 b 3 Q 7 L C Z x d W 9 0 O 1 N l Y 3 R p b 2 4 x L 3 R l c 3 Q v V H l w Z S B t b 2 R p Z m n D q S 5 7 Q 2 9 s d W 1 u N y w 2 f S Z x d W 9 0 O y w m c X V v d D t T Z W N 0 a W 9 u M S 9 0 Z X N 0 L 1 R 5 c G U g b W 9 k a W Z p w 6 k u e 0 N v b H V t b j g s N 3 0 m c X V v d D s s J n F 1 b 3 Q 7 U 2 V j d G l v b j E v d G V z d C 9 U e X B l I G 1 v Z G l m a c O p L n t D b 2 x 1 b W 4 5 L D h 9 J n F 1 b 3 Q 7 X S w m c X V v d D t S Z W x h d G l v b n N o a X B J b m Z v J n F 1 b 3 Q 7 O l t d f S I g L z 4 8 L 1 N 0 Y W J s Z U V u d H J p Z X M + P C 9 J d G V t P j x J d G V t P j x J d G V t T G 9 j Y X R p b 2 4 + P E l 0 Z W 1 U e X B l P k Z v c m 1 1 b G E 8 L 0 l 0 Z W 1 U e X B l P j x J d G V t U G F 0 a D 5 T Z W N 0 a W 9 u M S 9 0 Z X N 0 L 1 N v d X J j Z T w v S X R l b V B h d G g + P C 9 J d G V t T G 9 j Y X R p b 2 4 + P F N 0 Y W J s Z U V u d H J p Z X M g L z 4 8 L 0 l 0 Z W 0 + P E l 0 Z W 0 + P E l 0 Z W 1 M b 2 N h d G l v b j 4 8 S X R l b V R 5 c G U + R m 9 y b X V s Y T w v S X R l b V R 5 c G U + P E l 0 Z W 1 Q Y X R o P l N l Y 3 R p b 2 4 x L 3 R l c 3 Q v Q X R 0 c m l i d X R l c y U y M G Q l Q z M l Q T l 2 Z W x v c H A l Q z M l Q T k 8 L 0 l 0 Z W 1 Q Y X R o P j w v S X R l b U x v Y 2 F 0 a W 9 u P j x T d G F i b G V F b n R y a W V z I C 8 + P C 9 J d G V t P j x J d G V t P j x J d G V t T G 9 j Y X R p b 2 4 + P E l 0 Z W 1 U e X B l P k Z v c m 1 1 b G E 8 L 0 l 0 Z W 1 U e X B l P j x J d G V t U G F 0 a D 5 T Z W N 0 a W 9 u M S 9 0 Z X N 0 L 0 F 1 d H J l c y U y M G N v b G 9 u b m V z J T I w c 3 V w c H J p b S V D M y V B O W V z P C 9 J d G V t U G F 0 a D 4 8 L 0 l 0 Z W 1 M b 2 N h d G l v b j 4 8 U 3 R h Y m x l R W 5 0 c m l l c y A v P j w v S X R l b T 4 8 S X R l b T 4 8 S X R l b U x v Y 2 F 0 a W 9 u P j x J d G V t V H l w Z T 5 G b 3 J t d W x h P C 9 J d G V t V H l w Z T 4 8 S X R l b V B h d G g + U 2 V j d G l v b j E v U G F y Y W 0 l Q z M l Q T h 0 c m U x P C 9 J d G V t U G F 0 a D 4 8 L 0 l 0 Z W 1 M b 2 N h d G l v b j 4 8 U 3 R h Y m x l R W 5 0 c m l l c z 4 8 R W 5 0 c n k g V H l w Z T 0 i S X N Q c m l 2 Y X R l I i B W Y W x 1 Z T 0 i b D A i I C 8 + P E V u d H J 5 I F R 5 c G U 9 I k x v Y W R U b 1 J l c G 9 y d E R p c 2 F i b G V k I i B W Y W x 1 Z T 0 i b D E i I C 8 + P E V u d H J 5 I F R 5 c G U 9 I l F 1 Z X J 5 R 3 J v d X B J R C I g V m F s d W U 9 I n M w Z m Z k Y W I 3 N i 1 m N G E y L T R l O G E t O D Q 1 M i 1 h N D M 2 Z D k w N z g y N D E 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C 0 x M C 0 x M l Q x N T o 0 M T o 0 M S 4 x N z g z N D E y W i I g L z 4 8 R W 5 0 c n k g V H l w Z T 0 i R m l s b F N 0 Y X R 1 c y I g V m F s d W U 9 I n N D b 2 1 w b G V 0 Z S I g L z 4 8 L 1 N 0 Y W J s Z U V u d H J p Z X M + P C 9 J d G V t P j x J d G V t P j x J d G V t T G 9 j Y X R p b 2 4 + P E l 0 Z W 1 U e X B l P k Z v c m 1 1 b G E 8 L 0 l 0 Z W 1 U e X B l P j x J d G V t U G F 0 a D 5 T Z W N 0 a W 9 u M S 9 F e G V t c G x l J T I w Z G U l M j B m a W N o a W V y P C 9 J d G V t U G F 0 a D 4 8 L 0 l 0 Z W 1 M b 2 N h d G l v b j 4 8 U 3 R h Y m x l R W 5 0 c m l l c z 4 8 R W 5 0 c n k g V H l w Z T 0 i S X N Q c m l 2 Y X R l I i B W Y W x 1 Z T 0 i b D A i I C 8 + P E V u d H J 5 I F R 5 c G U 9 I k J 1 Z m Z l c k 5 l e H R S Z W Z y Z X N o I i B W Y W x 1 Z T 0 i b D E i I C 8 + P E V u d H J 5 I F R 5 c G U 9 I l J l c 3 V s d F R 5 c G U i I F Z h b H V l P S J z Q m l u Y X J 5 I i A v P j x F b n R y e S B U e X B l P S J O Y W 1 l V X B k Y X R l Z E F m d G V y R m l s b C I g V m F s d W U 9 I m w x I i A v P j x F b n R y e S B U e X B l P S J O Y X Z p Z 2 F 0 a W 9 u U 3 R l c E 5 h b W U i I F Z h b H V l P S J z T m F 2 a W d h d G l v b i I g L z 4 8 R W 5 0 c n k g V H l w Z T 0 i T G 9 h Z G V k V G 9 B b m F s e X N p c 1 N l c n Z p Y 2 V z I i B W Y W x 1 Z T 0 i b D A i I C 8 + P E V u d H J 5 I F R 5 c G U 9 I k Z p b G x T d G F 0 d X M i I F Z h b H V l P S J z Q 2 9 t c G x l d G U i I C 8 + P E V u d H J 5 I F R 5 c G U 9 I k Z p b G x M Y X N 0 V X B k Y X R l Z C I g V m F s d W U 9 I m Q y M D I w L T E w L T E y V D E 1 O j Q x O j Q x L j E 3 O D M 0 M T J a I i A v P j x F b n R y e S B U e X B l P S J G a W x s R X J y b 3 J D b 2 R l I i B W Y W x 1 Z T 0 i c 1 V u a 2 5 v d 2 4 i I C 8 + P E V u d H J 5 I F R 5 c G U 9 I k F k Z G V k V G 9 E Y X R h T W 9 k Z W w i I F Z h b H V l P S J s M C I g L z 4 8 R W 5 0 c n k g V H l w Z T 0 i T G 9 h Z F R v U m V w b 3 J 0 R G l z Y W J s Z W Q i I F Z h b H V l P S J s M S I g L z 4 8 R W 5 0 c n k g V H l w Z T 0 i U X V l c n l H c m 9 1 c E l E I i B W Y W x 1 Z T 0 i c z B m Z m R h Y j c 2 L W Y 0 Y T I t N G U 4 Y S 0 4 N D U y L W E 0 M z Z k O T A 3 O D I 0 M S I g L z 4 8 R W 5 0 c n k g V H l w Z T 0 i R m l s b E V u Y W J s Z W Q i I F Z h b H V l P S J s M C I g L z 4 8 R W 5 0 c n k g V H l w Z T 0 i R m l s b E 9 i a m V j d F R 5 c G U i I F Z h b H V l P S J z Q 2 9 u b m V j d G l v b k 9 u b H k i I C 8 + P E V u d H J 5 I F R 5 c G U 9 I k Z p b G x U b 0 R h d G F N b 2 R l b E V u Y W J s Z W Q i I F Z h b H V l P S J s M C I g L z 4 8 R W 5 0 c n k g V H l w Z T 0 i R m l s b G V k Q 2 9 t c G x l d G V S Z X N 1 b H R U b 1 d v c m t z a G V l d C I g V m F s d W U 9 I m w w I i A v P j w v U 3 R h Y m x l R W 5 0 c m l l c z 4 8 L 0 l 0 Z W 0 + P E l 0 Z W 0 + P E l 0 Z W 1 M b 2 N h d G l v b j 4 8 S X R l b V R 5 c G U + R m 9 y b X V s Y T w v S X R l b V R 5 c G U + P E l 0 Z W 1 Q Y X R o P l N l Y 3 R p b 2 4 x L 0 V 4 Z W 1 w b G U l M j B k Z S U y M G Z p Y 2 h p Z X I v U 2 9 1 c m N l P C 9 J d G V t U G F 0 a D 4 8 L 0 l 0 Z W 1 M b 2 N h d G l v b j 4 8 U 3 R h Y m x l R W 5 0 c m l l c y A v P j w v S X R l b T 4 8 S X R l b T 4 8 S X R l b U x v Y 2 F 0 a W 9 u P j x J d G V t V H l w Z T 5 G b 3 J t d W x h P C 9 J d G V t V H l w Z T 4 8 S X R l b V B h d G g + U 2 V j d G l v b j E v R X h l b X B s Z S U y M G R l J T I w Z m l j a G l l c i 9 B d H R y a W J 1 d G V z J T I w Z C V D M y V B O X Z l b G 9 w c C V D M y V B O T w v S X R l b V B h d G g + P C 9 J d G V t T G 9 j Y X R p b 2 4 + P F N 0 Y W J s Z U V u d H J p Z X M g L z 4 8 L 0 l 0 Z W 0 + P E l 0 Z W 0 + P E l 0 Z W 1 M b 2 N h d G l v b j 4 8 S X R l b V R 5 c G U + R m 9 y b X V s Y T w v S X R l b V R 5 c G U + P E l 0 Z W 1 Q Y X R o P l N l Y 3 R p b 2 4 x L 0 V 4 Z W 1 w b G U l M j B k Z S U y M G Z p Y 2 h p Z X I v Q X V 0 c m V z J T I w Y 2 9 s b 2 5 u Z X M l M j B z d X B w c m l t J U M z J U E 5 Z X M 8 L 0 l 0 Z W 1 Q Y X R o P j w v S X R l b U x v Y 2 F 0 a W 9 u P j x T d G F i b G V F b n R y a W V z I C 8 + P C 9 J d G V t P j x J d G V t P j x J d G V t T G 9 j Y X R p b 2 4 + P E l 0 Z W 1 U e X B l P k Z v c m 1 1 b G E 8 L 0 l 0 Z W 1 U e X B l P j x J d G V t U G F 0 a D 5 T Z W N 0 a W 9 u M S 9 F e G V t c G x l J T I w Z G U l M j B m a W N o a W V y L 0 5 h d m l n Y X R p b 2 4 x P C 9 J d G V t U G F 0 a D 4 8 L 0 l 0 Z W 1 M b 2 N h d G l v b j 4 8 U 3 R h Y m x l R W 5 0 c m l l c y A v P j w v S X R l b T 4 8 S X R l b T 4 8 S X R l b U x v Y 2 F 0 a W 9 u P j x J d G V t V H l w Z T 5 G b 3 J t d W x h P C 9 J d G V t V H l w Z T 4 8 S X R l b V B h d G g + U 2 V j d G l v b j E v V H J h b n N m b 3 J t Z X I l M j B s J 2 V 4 Z W 1 w b G U l M j B k Z S U y M G Z p Y 2 h p Z X I 8 L 0 l 0 Z W 1 Q Y X R o P j w v S X R l b U x v Y 2 F 0 a W 9 u P j x T d G F i b G V F b n R y a W V z P j x F b n R y e S B U e X B l P S J J c 1 B y a X Z h d G U i I F Z h b H V l P S J s M C I g L z 4 8 R W 5 0 c n k g V H l w Z T 0 i T G 9 h Z F R v U m V w b 3 J 0 R G l z Y W J s Z W Q i I F Z h b H V l P S J s M S I g L z 4 8 R W 5 0 c n k g V H l w Z T 0 i U X V l c n l H c m 9 1 c E l E I i B W Y W x 1 Z T 0 i c z d m Z j Z k N z V i L T g w N m U t N D V h M S 0 5 O T Q 0 L T h h Y m E y Y j U z O T d k Z C 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T A t M T J U M T U 6 N D E 6 N D E u M T c 4 M z Q x M l o i I C 8 + P E V u d H J 5 I F R 5 c G U 9 I k Z p b G x T d G F 0 d X M i I F Z h b H V l P S J z Q 2 9 t c G x l d G U i I C 8 + P C 9 T d G F i b G V F b n R y a W V z P j w v S X R l b T 4 8 S X R l b T 4 8 S X R l b U x v Y 2 F 0 a W 9 u P j x J d G V t V H l w Z T 5 G b 3 J t d W x h P C 9 J d G V t V H l w Z T 4 8 S X R l b V B h d G g + U 2 V j d G l v b j E v V H J h b n N m b 3 J t Z X I l M j B s J 2 V 4 Z W 1 w b G U l M j B k Z S U y M G Z p Y 2 h p Z X I v U 2 9 1 c m N l P C 9 J d G V t U G F 0 a D 4 8 L 0 l 0 Z W 1 M b 2 N h d G l v b j 4 8 U 3 R h Y m x l R W 5 0 c m l l c y A v P j w v S X R l b T 4 8 S X R l b T 4 8 S X R l b U x v Y 2 F 0 a W 9 u P j x J d G V t V H l w Z T 5 G b 3 J t d W x h P C 9 J d G V t V H l w Z T 4 8 S X R l b V B h d G g + U 2 V j d G l v b j E v V H J h b n N m b 3 J t Z X I l M j B s J 2 V 4 Z W 1 w b G U l M j B k Z S U y M G Z p Y 2 h p Z X I v T m 9 0 Z V 9 T a G V l d D w v S X R l b V B h d G g + P C 9 J d G V t T G 9 j Y X R p b 2 4 + P F N 0 Y W J s Z U V u d H J p Z X M g L z 4 8 L 0 l 0 Z W 0 + P E l 0 Z W 0 + P E l 0 Z W 1 M b 2 N h d G l v b j 4 8 S X R l b V R 5 c G U + R m 9 y b X V s Y T w v S X R l b V R 5 c G U + P E l 0 Z W 1 Q Y X R o P l N l Y 3 R p b 2 4 x L 1 R y Y W 5 z Z m 9 y b W V y J T I w b G U l M j B m a W N o a W V y P C 9 J d G V t U G F 0 a D 4 8 L 0 l 0 Z W 1 M b 2 N h d G l v b j 4 8 U 3 R h Y m x l R W 5 0 c m l l c z 4 8 R W 5 0 c n k g V H l w Z T 0 i T G 9 h Z F R v U m V w b 3 J 0 R G l z Y W J s Z W Q i I F Z h b H V l P S J s M S I g L z 4 8 R W 5 0 c n k g V H l w Z T 0 i U X V l c n l H c m 9 1 c E l E I i B W Y W x 1 Z T 0 i c z B m Z m R h Y j c 2 L W Y 0 Y T I t N G U 4 Y S 0 4 N D U y L W E 0 M z Z k O T A 3 O D I 0 M S I g L 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n V u Y 3 R p b 2 4 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E w L T E y V D E 1 O j Q x O j Q x L j E 4 M z M 0 M D N a I i A v P j x F b n R y e S B U e X B l P S J G a W x s U 3 R h d H V z I i B W Y W x 1 Z T 0 i c 0 N v b X B s Z X R l I i A v P j w v U 3 R h Y m x l R W 5 0 c m l l c z 4 8 L 0 l 0 Z W 0 + P E l 0 Z W 0 + P E l 0 Z W 1 M b 2 N h d G l v b j 4 8 S X R l b V R 5 c G U + R m 9 y b X V s Y T w v S X R l b V R 5 c G U + P E l 0 Z W 1 Q Y X R o P l N l Y 3 R p b 2 4 x L 1 R y Y W 5 z Z m 9 y b W V y J T I w b G U l M j B m a W N o a W V y L 1 N v d X J j Z T w v S X R l b V B h d G g + P C 9 J d G V t T G 9 j Y X R p b 2 4 + P F N 0 Y W J s Z U V u d H J p Z X M g L z 4 8 L 0 l 0 Z W 0 + P E l 0 Z W 0 + P E l 0 Z W 1 M b 2 N h d G l v b j 4 8 S X R l b V R 5 c G U + R m 9 y b X V s Y T w v S X R l b V R 5 c G U + P E l 0 Z W 1 Q Y X R o P l N l Y 3 R p b 2 4 x L 3 R l c 3 Q v R m l j a G l l c n M l M j B t Y X N x d S V D M y V B O X M l M j B m a W x 0 c i V D M y V B O X M x P C 9 J d G V t U G F 0 a D 4 8 L 0 l 0 Z W 1 M b 2 N h d G l v b j 4 8 U 3 R h Y m x l R W 5 0 c m l l c y A v P j w v S X R l b T 4 8 S X R l b T 4 8 S X R l b U x v Y 2 F 0 a W 9 u P j x J d G V t V H l w Z T 5 G b 3 J t d W x h P C 9 J d G V t V H l w Z T 4 8 S X R l b V B h d G g + U 2 V j d G l v b j E v d G V z d C 9 B c H B l b G V y J T I w d W 5 l J T I w Z m 9 u Y 3 R p b 2 4 l M j B w Z X J z b 2 5 u Y W x p c y V D M y V B O W U x P C 9 J d G V t U G F 0 a D 4 8 L 0 l 0 Z W 1 M b 2 N h d G l v b j 4 8 U 3 R h Y m x l R W 5 0 c m l l c y A v P j w v S X R l b T 4 8 S X R l b T 4 8 S X R l b U x v Y 2 F 0 a W 9 u P j x J d G V t V H l w Z T 5 G b 3 J t d W x h P C 9 J d G V t V H l w Z T 4 8 S X R l b V B h d G g + U 2 V j d G l v b j E v d G V z d C 9 B d X R y Z X M l M j B j b 2 x v b m 5 l c y U y M H N 1 c H B y a W 0 l Q z M l Q T l l c z E 8 L 0 l 0 Z W 1 Q Y X R o P j w v S X R l b U x v Y 2 F 0 a W 9 u P j x T d G F i b G V F b n R y a W V z I C 8 + P C 9 J d G V t P j x J d G V t P j x J d G V t T G 9 j Y X R p b 2 4 + P E l 0 Z W 1 U e X B l P k Z v c m 1 1 b G E 8 L 0 l 0 Z W 1 U e X B l P j x J d G V t U G F 0 a D 5 T Z W N 0 a W 9 u M S 9 0 Z X N 0 L 0 N v b G 9 u b m U l M j B k Z S U y M H R h Y m x l c y U y M G Q l Q z M l Q T l 2 Z W x v c H A l Q z M l Q T l l M T w v S X R l b V B h d G g + P C 9 J d G V t T G 9 j Y X R p b 2 4 + P F N 0 Y W J s Z U V u d H J p Z X M g L z 4 8 L 0 l 0 Z W 0 + P E l 0 Z W 0 + P E l 0 Z W 1 M b 2 N h d G l v b j 4 8 S X R l b V R 5 c G U + R m 9 y b X V s Y T w v S X R l b V R 5 c G U + P E l 0 Z W 1 Q Y X R o P l N l Y 3 R p b 2 4 x L 3 R l c 3 Q v V H l w Z S U y M G 1 v Z G l m a S V D M y V B O T w v S X R l b V B h d G g + P C 9 J d G V t T G 9 j Y X R p b 2 4 + P F N 0 Y W J s Z U V u d H J p Z X M g L z 4 8 L 0 l 0 Z W 0 + P C 9 J d G V t c z 4 8 L 0 x v Y 2 F s U G F j a 2 F n Z U 1 l d G F k Y X R h R m l s Z T 4 W A A A A U E s F B g A A A A A A A A A A A A A A A A A A A A A A A C Y B A A A B A A A A 0 I y d 3 w E V 0 R G M e g D A T 8 K X 6 w E A A A C C 2 E f p B C 8 L Q I 3 C M K n 3 + 6 c j A A A A A A I A A A A A A B B m A A A A A Q A A I A A A A M f t U U n x m L v B F s C l q P O 8 p C D + f 8 R f S e V h N X u r R a 4 h m t 7 g A A A A A A 6 A A A A A A g A A I A A A A A v i M U R j T 6 8 q p n x Q 6 p I q 4 D S 5 a 4 g O j q Q f o 0 D u V Q 1 8 u Y B 9 U A A A A L d w a r w b U w a c o 6 4 4 f o a t J 8 O z A i 0 V t 3 p P l K P c f i D M 6 3 g w l u V H q F i k b L k 8 M i v b y u v + 6 z P I V L l S D J s o m O R O B x s q R C + A I A Q r F C v P Q l q o t Q S L h N 8 r Q A A A A B l 0 C s q k 2 q 6 3 A 6 p c j V e g V b s T k s V W 3 R f B W H Y m y e / V 9 S z c l n 7 0 c M R V b o U V L t P c b G F E 1 j C I m r z l l o W B f o f U F G d p s e 0 = < / D a t a M a s h u p > 
</file>

<file path=customXml/itemProps1.xml><?xml version="1.0" encoding="utf-8"?>
<ds:datastoreItem xmlns:ds="http://schemas.openxmlformats.org/officeDocument/2006/customXml" ds:itemID="{CEB92A9E-F020-4502-90BC-216FD32BC1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Directives</vt:lpstr>
      <vt:lpstr>Ennoncé</vt:lpstr>
      <vt:lpstr>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Anas Ramdani</dc:creator>
  <cp:lastModifiedBy>User</cp:lastModifiedBy>
  <dcterms:created xsi:type="dcterms:W3CDTF">2020-03-12T19:48:50Z</dcterms:created>
  <dcterms:modified xsi:type="dcterms:W3CDTF">2020-12-25T18:23:30Z</dcterms:modified>
</cp:coreProperties>
</file>