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3270" windowHeight="1259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客户表!$A$1:$AL$364</definedName>
    <definedName name="_xlnm._FilterDatabase" localSheetId="1" hidden="1">媒体表!$A$1:$U$44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4" i="1" l="1"/>
  <c r="X364" i="1"/>
  <c r="Y364" i="1"/>
  <c r="I4" i="2" l="1"/>
  <c r="X300" i="1" l="1"/>
  <c r="X302" i="1"/>
  <c r="X354" i="1"/>
  <c r="X355" i="1"/>
  <c r="X357" i="1"/>
  <c r="X359" i="1"/>
  <c r="X360" i="1"/>
  <c r="X361" i="1"/>
  <c r="X362" i="1"/>
  <c r="X363" i="1"/>
  <c r="O44" i="2"/>
  <c r="Q44" i="2" s="1"/>
  <c r="R44" i="2" s="1"/>
  <c r="S44" i="2" s="1"/>
  <c r="J44" i="2"/>
  <c r="M44" i="2" s="1"/>
  <c r="O40" i="2"/>
  <c r="O41" i="2"/>
  <c r="O43" i="2"/>
  <c r="Q43" i="2" s="1"/>
  <c r="R43" i="2" s="1"/>
  <c r="AL302" i="1"/>
  <c r="M43" i="2"/>
  <c r="J43" i="2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Y363" i="1"/>
  <c r="Y362" i="1"/>
  <c r="Y361" i="1"/>
  <c r="Y360" i="1"/>
  <c r="Y359" i="1"/>
  <c r="AB358" i="1"/>
  <c r="V358" i="1"/>
  <c r="Y358" i="1" s="1"/>
  <c r="AB357" i="1"/>
  <c r="Y357" i="1"/>
  <c r="W357" i="1"/>
  <c r="AB356" i="1"/>
  <c r="V356" i="1"/>
  <c r="Y356" i="1" s="1"/>
  <c r="U356" i="1"/>
  <c r="K356" i="1"/>
  <c r="AB355" i="1"/>
  <c r="Y355" i="1"/>
  <c r="U355" i="1"/>
  <c r="AB354" i="1"/>
  <c r="Y354" i="1"/>
  <c r="U354" i="1"/>
  <c r="AB353" i="1"/>
  <c r="V353" i="1"/>
  <c r="Y353" i="1" s="1"/>
  <c r="AK352" i="1"/>
  <c r="AH352" i="1"/>
  <c r="AJ352" i="1" s="1"/>
  <c r="AF352" i="1"/>
  <c r="Z352" i="1"/>
  <c r="V352" i="1"/>
  <c r="Y352" i="1" s="1"/>
  <c r="U352" i="1"/>
  <c r="AK351" i="1"/>
  <c r="AH351" i="1"/>
  <c r="AJ351" i="1" s="1"/>
  <c r="AF351" i="1"/>
  <c r="Z351" i="1"/>
  <c r="V351" i="1"/>
  <c r="Y351" i="1" s="1"/>
  <c r="U351" i="1"/>
  <c r="AK350" i="1"/>
  <c r="AH350" i="1"/>
  <c r="AJ350" i="1" s="1"/>
  <c r="AF350" i="1"/>
  <c r="Z350" i="1"/>
  <c r="V350" i="1"/>
  <c r="Y350" i="1" s="1"/>
  <c r="U350" i="1"/>
  <c r="AK349" i="1"/>
  <c r="AH349" i="1"/>
  <c r="AJ349" i="1" s="1"/>
  <c r="AF349" i="1"/>
  <c r="Z349" i="1"/>
  <c r="V349" i="1"/>
  <c r="Y349" i="1" s="1"/>
  <c r="U349" i="1"/>
  <c r="AK348" i="1"/>
  <c r="AH348" i="1"/>
  <c r="AJ348" i="1" s="1"/>
  <c r="AF348" i="1"/>
  <c r="Z348" i="1"/>
  <c r="V348" i="1"/>
  <c r="Y348" i="1" s="1"/>
  <c r="U348" i="1"/>
  <c r="AK347" i="1"/>
  <c r="AH347" i="1"/>
  <c r="AJ347" i="1" s="1"/>
  <c r="AF347" i="1"/>
  <c r="Z347" i="1"/>
  <c r="V347" i="1"/>
  <c r="Y347" i="1" s="1"/>
  <c r="U347" i="1"/>
  <c r="AK346" i="1"/>
  <c r="AH346" i="1"/>
  <c r="AJ346" i="1" s="1"/>
  <c r="AF346" i="1"/>
  <c r="Z346" i="1"/>
  <c r="V346" i="1"/>
  <c r="Y346" i="1" s="1"/>
  <c r="U346" i="1"/>
  <c r="AK345" i="1"/>
  <c r="AH345" i="1"/>
  <c r="AJ345" i="1" s="1"/>
  <c r="AF345" i="1"/>
  <c r="Z345" i="1"/>
  <c r="V345" i="1"/>
  <c r="Y345" i="1" s="1"/>
  <c r="U345" i="1"/>
  <c r="AK344" i="1"/>
  <c r="AH344" i="1"/>
  <c r="AJ344" i="1" s="1"/>
  <c r="AF344" i="1"/>
  <c r="Z344" i="1"/>
  <c r="V344" i="1"/>
  <c r="Y344" i="1" s="1"/>
  <c r="U344" i="1"/>
  <c r="AK343" i="1"/>
  <c r="AH343" i="1"/>
  <c r="AJ343" i="1" s="1"/>
  <c r="AF343" i="1"/>
  <c r="Z343" i="1"/>
  <c r="V343" i="1"/>
  <c r="Y343" i="1" s="1"/>
  <c r="U343" i="1"/>
  <c r="AK342" i="1"/>
  <c r="AH342" i="1"/>
  <c r="AJ342" i="1" s="1"/>
  <c r="AF342" i="1"/>
  <c r="Z342" i="1"/>
  <c r="V342" i="1"/>
  <c r="Y342" i="1" s="1"/>
  <c r="U342" i="1"/>
  <c r="AK341" i="1"/>
  <c r="AH341" i="1"/>
  <c r="AJ341" i="1" s="1"/>
  <c r="AF341" i="1"/>
  <c r="Z341" i="1"/>
  <c r="V341" i="1"/>
  <c r="Y341" i="1" s="1"/>
  <c r="U341" i="1"/>
  <c r="AK340" i="1"/>
  <c r="AH340" i="1"/>
  <c r="AJ340" i="1" s="1"/>
  <c r="AF340" i="1"/>
  <c r="Z340" i="1"/>
  <c r="V340" i="1"/>
  <c r="Y340" i="1" s="1"/>
  <c r="U340" i="1"/>
  <c r="AK339" i="1"/>
  <c r="AH339" i="1"/>
  <c r="AJ339" i="1" s="1"/>
  <c r="AF339" i="1"/>
  <c r="Z339" i="1"/>
  <c r="V339" i="1"/>
  <c r="Y339" i="1" s="1"/>
  <c r="U339" i="1"/>
  <c r="AK338" i="1"/>
  <c r="AH338" i="1"/>
  <c r="AJ338" i="1" s="1"/>
  <c r="AF338" i="1"/>
  <c r="Z338" i="1"/>
  <c r="V338" i="1"/>
  <c r="Y338" i="1" s="1"/>
  <c r="U338" i="1"/>
  <c r="AK337" i="1"/>
  <c r="AH337" i="1"/>
  <c r="AJ337" i="1" s="1"/>
  <c r="AF337" i="1"/>
  <c r="Z337" i="1"/>
  <c r="V337" i="1"/>
  <c r="Y337" i="1" s="1"/>
  <c r="U337" i="1"/>
  <c r="AK336" i="1"/>
  <c r="AH336" i="1"/>
  <c r="AJ336" i="1" s="1"/>
  <c r="AF336" i="1"/>
  <c r="Z336" i="1"/>
  <c r="V336" i="1"/>
  <c r="Y336" i="1" s="1"/>
  <c r="U336" i="1"/>
  <c r="AK335" i="1"/>
  <c r="AH335" i="1"/>
  <c r="AJ335" i="1" s="1"/>
  <c r="AF335" i="1"/>
  <c r="Z335" i="1"/>
  <c r="V335" i="1"/>
  <c r="Y335" i="1" s="1"/>
  <c r="U335" i="1"/>
  <c r="AK334" i="1"/>
  <c r="AH334" i="1"/>
  <c r="AJ334" i="1" s="1"/>
  <c r="AF334" i="1"/>
  <c r="Z334" i="1"/>
  <c r="V334" i="1"/>
  <c r="Y334" i="1" s="1"/>
  <c r="U334" i="1"/>
  <c r="AK333" i="1"/>
  <c r="AH333" i="1"/>
  <c r="AJ333" i="1" s="1"/>
  <c r="AF333" i="1"/>
  <c r="Z333" i="1"/>
  <c r="V333" i="1"/>
  <c r="Y333" i="1" s="1"/>
  <c r="U333" i="1"/>
  <c r="AK332" i="1"/>
  <c r="AH332" i="1"/>
  <c r="AJ332" i="1" s="1"/>
  <c r="AF332" i="1"/>
  <c r="Z332" i="1"/>
  <c r="V332" i="1"/>
  <c r="Y332" i="1" s="1"/>
  <c r="U332" i="1"/>
  <c r="AK331" i="1"/>
  <c r="AH331" i="1"/>
  <c r="AJ331" i="1" s="1"/>
  <c r="AF331" i="1"/>
  <c r="Z331" i="1"/>
  <c r="V331" i="1"/>
  <c r="Y331" i="1" s="1"/>
  <c r="U331" i="1"/>
  <c r="AK330" i="1"/>
  <c r="AH330" i="1"/>
  <c r="AJ330" i="1" s="1"/>
  <c r="AF330" i="1"/>
  <c r="Z330" i="1"/>
  <c r="V330" i="1"/>
  <c r="Y330" i="1" s="1"/>
  <c r="U330" i="1"/>
  <c r="AK329" i="1"/>
  <c r="AH329" i="1"/>
  <c r="AJ329" i="1" s="1"/>
  <c r="AF329" i="1"/>
  <c r="Z329" i="1"/>
  <c r="V329" i="1"/>
  <c r="Y329" i="1" s="1"/>
  <c r="U329" i="1"/>
  <c r="AK328" i="1"/>
  <c r="AH328" i="1"/>
  <c r="AJ328" i="1" s="1"/>
  <c r="AF328" i="1"/>
  <c r="Z328" i="1"/>
  <c r="V328" i="1"/>
  <c r="Y328" i="1" s="1"/>
  <c r="U328" i="1"/>
  <c r="AK327" i="1"/>
  <c r="AH327" i="1"/>
  <c r="AJ327" i="1" s="1"/>
  <c r="AF327" i="1"/>
  <c r="Z327" i="1"/>
  <c r="V327" i="1"/>
  <c r="Y327" i="1" s="1"/>
  <c r="U327" i="1"/>
  <c r="AK326" i="1"/>
  <c r="AH326" i="1"/>
  <c r="AJ326" i="1" s="1"/>
  <c r="AF326" i="1"/>
  <c r="Z326" i="1"/>
  <c r="V326" i="1"/>
  <c r="Y326" i="1" s="1"/>
  <c r="U326" i="1"/>
  <c r="AK325" i="1"/>
  <c r="AH325" i="1"/>
  <c r="AJ325" i="1" s="1"/>
  <c r="AF325" i="1"/>
  <c r="Z325" i="1"/>
  <c r="V325" i="1"/>
  <c r="Y325" i="1" s="1"/>
  <c r="U325" i="1"/>
  <c r="AK324" i="1"/>
  <c r="AH324" i="1"/>
  <c r="AJ324" i="1" s="1"/>
  <c r="AF324" i="1"/>
  <c r="Z324" i="1"/>
  <c r="V324" i="1"/>
  <c r="Y324" i="1" s="1"/>
  <c r="U324" i="1"/>
  <c r="AK323" i="1"/>
  <c r="AH323" i="1"/>
  <c r="AJ323" i="1" s="1"/>
  <c r="AF323" i="1"/>
  <c r="Z323" i="1"/>
  <c r="V323" i="1"/>
  <c r="Y323" i="1" s="1"/>
  <c r="U323" i="1"/>
  <c r="AK322" i="1"/>
  <c r="AH322" i="1"/>
  <c r="AJ322" i="1" s="1"/>
  <c r="AF322" i="1"/>
  <c r="Z322" i="1"/>
  <c r="V322" i="1"/>
  <c r="Y322" i="1" s="1"/>
  <c r="U322" i="1"/>
  <c r="AK321" i="1"/>
  <c r="AH321" i="1"/>
  <c r="AJ321" i="1" s="1"/>
  <c r="AF321" i="1"/>
  <c r="Z321" i="1"/>
  <c r="V321" i="1"/>
  <c r="Y321" i="1" s="1"/>
  <c r="U321" i="1"/>
  <c r="AK320" i="1"/>
  <c r="AH320" i="1"/>
  <c r="AJ320" i="1" s="1"/>
  <c r="AF320" i="1"/>
  <c r="Z320" i="1"/>
  <c r="V320" i="1"/>
  <c r="Y320" i="1" s="1"/>
  <c r="U320" i="1"/>
  <c r="AK319" i="1"/>
  <c r="AH319" i="1"/>
  <c r="AJ319" i="1" s="1"/>
  <c r="AF319" i="1"/>
  <c r="Z319" i="1"/>
  <c r="V319" i="1"/>
  <c r="Y319" i="1" s="1"/>
  <c r="U319" i="1"/>
  <c r="AK318" i="1"/>
  <c r="AH318" i="1"/>
  <c r="AJ318" i="1" s="1"/>
  <c r="AF318" i="1"/>
  <c r="Z318" i="1"/>
  <c r="V318" i="1"/>
  <c r="Y318" i="1" s="1"/>
  <c r="U318" i="1"/>
  <c r="AK317" i="1"/>
  <c r="AH317" i="1"/>
  <c r="AJ317" i="1" s="1"/>
  <c r="AF317" i="1"/>
  <c r="Z317" i="1"/>
  <c r="V317" i="1"/>
  <c r="Y317" i="1" s="1"/>
  <c r="U317" i="1"/>
  <c r="AK316" i="1"/>
  <c r="AH316" i="1"/>
  <c r="AJ316" i="1" s="1"/>
  <c r="AF316" i="1"/>
  <c r="Z316" i="1"/>
  <c r="V316" i="1"/>
  <c r="Y316" i="1" s="1"/>
  <c r="U316" i="1"/>
  <c r="AK315" i="1"/>
  <c r="AH315" i="1"/>
  <c r="AJ315" i="1" s="1"/>
  <c r="AF315" i="1"/>
  <c r="Z315" i="1"/>
  <c r="V315" i="1"/>
  <c r="Y315" i="1" s="1"/>
  <c r="U315" i="1"/>
  <c r="AK314" i="1"/>
  <c r="AH314" i="1"/>
  <c r="AJ314" i="1" s="1"/>
  <c r="AF314" i="1"/>
  <c r="Z314" i="1"/>
  <c r="V314" i="1"/>
  <c r="Y314" i="1" s="1"/>
  <c r="U314" i="1"/>
  <c r="AK313" i="1"/>
  <c r="AH313" i="1"/>
  <c r="AJ313" i="1" s="1"/>
  <c r="AF313" i="1"/>
  <c r="Z313" i="1"/>
  <c r="V313" i="1"/>
  <c r="Y313" i="1" s="1"/>
  <c r="U313" i="1"/>
  <c r="AK312" i="1"/>
  <c r="AH312" i="1"/>
  <c r="AJ312" i="1" s="1"/>
  <c r="AF312" i="1"/>
  <c r="Z312" i="1"/>
  <c r="V312" i="1"/>
  <c r="Y312" i="1" s="1"/>
  <c r="U312" i="1"/>
  <c r="AK311" i="1"/>
  <c r="AH311" i="1"/>
  <c r="AJ311" i="1" s="1"/>
  <c r="AF311" i="1"/>
  <c r="Z311" i="1"/>
  <c r="V311" i="1"/>
  <c r="Y311" i="1" s="1"/>
  <c r="U311" i="1"/>
  <c r="AK310" i="1"/>
  <c r="AH310" i="1"/>
  <c r="AJ310" i="1" s="1"/>
  <c r="AF310" i="1"/>
  <c r="Z310" i="1"/>
  <c r="V310" i="1"/>
  <c r="Y310" i="1" s="1"/>
  <c r="U310" i="1"/>
  <c r="AK309" i="1"/>
  <c r="AH309" i="1"/>
  <c r="AJ309" i="1" s="1"/>
  <c r="AF309" i="1"/>
  <c r="Z309" i="1"/>
  <c r="V309" i="1"/>
  <c r="Y309" i="1" s="1"/>
  <c r="U309" i="1"/>
  <c r="AK308" i="1"/>
  <c r="AH308" i="1"/>
  <c r="AJ308" i="1" s="1"/>
  <c r="AF308" i="1"/>
  <c r="Z308" i="1"/>
  <c r="V308" i="1"/>
  <c r="Y308" i="1" s="1"/>
  <c r="U308" i="1"/>
  <c r="AK307" i="1"/>
  <c r="AH307" i="1"/>
  <c r="AJ307" i="1" s="1"/>
  <c r="AF307" i="1"/>
  <c r="Z307" i="1"/>
  <c r="V307" i="1"/>
  <c r="Y307" i="1" s="1"/>
  <c r="U307" i="1"/>
  <c r="AK306" i="1"/>
  <c r="AH306" i="1"/>
  <c r="AJ306" i="1" s="1"/>
  <c r="AF306" i="1"/>
  <c r="Z306" i="1"/>
  <c r="V306" i="1"/>
  <c r="Y306" i="1" s="1"/>
  <c r="U306" i="1"/>
  <c r="AK305" i="1"/>
  <c r="AH305" i="1"/>
  <c r="AJ305" i="1" s="1"/>
  <c r="AF305" i="1"/>
  <c r="Z305" i="1"/>
  <c r="V305" i="1"/>
  <c r="Y305" i="1" s="1"/>
  <c r="U305" i="1"/>
  <c r="AK304" i="1"/>
  <c r="AH304" i="1"/>
  <c r="AJ304" i="1" s="1"/>
  <c r="AF304" i="1"/>
  <c r="Z304" i="1"/>
  <c r="V304" i="1"/>
  <c r="Y304" i="1" s="1"/>
  <c r="U304" i="1"/>
  <c r="AK303" i="1"/>
  <c r="AH303" i="1"/>
  <c r="AJ303" i="1" s="1"/>
  <c r="AF303" i="1"/>
  <c r="Z303" i="1"/>
  <c r="V303" i="1"/>
  <c r="Y303" i="1" s="1"/>
  <c r="U303" i="1"/>
  <c r="AH302" i="1"/>
  <c r="AJ302" i="1" s="1"/>
  <c r="AF302" i="1"/>
  <c r="Y302" i="1"/>
  <c r="U302" i="1"/>
  <c r="AK301" i="1"/>
  <c r="AH301" i="1"/>
  <c r="AJ301" i="1" s="1"/>
  <c r="AF301" i="1"/>
  <c r="Z301" i="1"/>
  <c r="V301" i="1"/>
  <c r="Y301" i="1" s="1"/>
  <c r="U301" i="1"/>
  <c r="AK300" i="1"/>
  <c r="AL300" i="1" s="1"/>
  <c r="AH300" i="1"/>
  <c r="AJ300" i="1" s="1"/>
  <c r="AF300" i="1"/>
  <c r="Y300" i="1"/>
  <c r="W300" i="1"/>
  <c r="U300" i="1"/>
  <c r="AK299" i="1"/>
  <c r="AH299" i="1"/>
  <c r="AJ299" i="1" s="1"/>
  <c r="AF299" i="1"/>
  <c r="Z299" i="1"/>
  <c r="V299" i="1"/>
  <c r="Y299" i="1" s="1"/>
  <c r="U299" i="1"/>
  <c r="AK298" i="1"/>
  <c r="AH298" i="1"/>
  <c r="AJ298" i="1" s="1"/>
  <c r="AF298" i="1"/>
  <c r="Z298" i="1"/>
  <c r="V298" i="1"/>
  <c r="Y298" i="1" s="1"/>
  <c r="U298" i="1"/>
  <c r="O39" i="2" l="1"/>
  <c r="Q39" i="2" s="1"/>
  <c r="R39" i="2" s="1"/>
  <c r="S39" i="2" s="1"/>
  <c r="O38" i="2"/>
  <c r="Q38" i="2" s="1"/>
  <c r="R38" i="2" s="1"/>
  <c r="S38" i="2" s="1"/>
  <c r="X343" i="1"/>
  <c r="X335" i="1"/>
  <c r="X327" i="1"/>
  <c r="X319" i="1"/>
  <c r="X311" i="1"/>
  <c r="X303" i="1"/>
  <c r="X353" i="1"/>
  <c r="X351" i="1"/>
  <c r="X352" i="1"/>
  <c r="X344" i="1"/>
  <c r="X336" i="1"/>
  <c r="X328" i="1"/>
  <c r="X320" i="1"/>
  <c r="X312" i="1"/>
  <c r="X304" i="1"/>
  <c r="X358" i="1"/>
  <c r="X350" i="1"/>
  <c r="X342" i="1"/>
  <c r="X334" i="1"/>
  <c r="X326" i="1"/>
  <c r="X318" i="1"/>
  <c r="X310" i="1"/>
  <c r="X345" i="1"/>
  <c r="X337" i="1"/>
  <c r="X329" i="1"/>
  <c r="X321" i="1"/>
  <c r="X313" i="1"/>
  <c r="X305" i="1"/>
  <c r="X349" i="1"/>
  <c r="X341" i="1"/>
  <c r="X333" i="1"/>
  <c r="X325" i="1"/>
  <c r="X317" i="1"/>
  <c r="X309" i="1"/>
  <c r="X301" i="1"/>
  <c r="X356" i="1"/>
  <c r="X348" i="1"/>
  <c r="X340" i="1"/>
  <c r="X332" i="1"/>
  <c r="X324" i="1"/>
  <c r="X316" i="1"/>
  <c r="X308" i="1"/>
  <c r="X347" i="1"/>
  <c r="X339" i="1"/>
  <c r="X331" i="1"/>
  <c r="X323" i="1"/>
  <c r="X315" i="1"/>
  <c r="X307" i="1"/>
  <c r="X299" i="1"/>
  <c r="X346" i="1"/>
  <c r="X338" i="1"/>
  <c r="X330" i="1"/>
  <c r="X322" i="1"/>
  <c r="X314" i="1"/>
  <c r="X306" i="1"/>
  <c r="X298" i="1"/>
  <c r="AL308" i="1"/>
  <c r="AL340" i="1"/>
  <c r="AL299" i="1"/>
  <c r="AL346" i="1"/>
  <c r="O42" i="2"/>
  <c r="Q42" i="2" s="1"/>
  <c r="R42" i="2" s="1"/>
  <c r="S42" i="2" s="1"/>
  <c r="AL343" i="1"/>
  <c r="AL298" i="1"/>
  <c r="AL301" i="1"/>
  <c r="AL304" i="1"/>
  <c r="S43" i="2"/>
  <c r="Q41" i="2"/>
  <c r="R41" i="2" s="1"/>
  <c r="S41" i="2" s="1"/>
  <c r="Q40" i="2"/>
  <c r="R40" i="2" s="1"/>
  <c r="S40" i="2" s="1"/>
  <c r="V237" i="1"/>
  <c r="O37" i="2" l="1"/>
  <c r="Q37" i="2" s="1"/>
  <c r="R37" i="2" s="1"/>
  <c r="S37" i="2" s="1"/>
  <c r="O36" i="2"/>
  <c r="Q36" i="2" s="1"/>
  <c r="R36" i="2" s="1"/>
  <c r="S36" i="2" s="1"/>
  <c r="U297" i="1"/>
  <c r="V297" i="1"/>
  <c r="Z297" i="1"/>
  <c r="AF297" i="1"/>
  <c r="AH297" i="1"/>
  <c r="AJ297" i="1" s="1"/>
  <c r="AK297" i="1"/>
  <c r="AK296" i="1"/>
  <c r="AH296" i="1"/>
  <c r="AJ296" i="1" s="1"/>
  <c r="AF296" i="1"/>
  <c r="Z296" i="1"/>
  <c r="V296" i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6" i="1" l="1"/>
  <c r="X297" i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6" i="2"/>
  <c r="I5" i="2"/>
  <c r="I3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L240" i="1"/>
  <c r="AH240" i="1"/>
  <c r="AJ240" i="1" s="1"/>
  <c r="AF240" i="1"/>
  <c r="Y240" i="1"/>
  <c r="U240" i="1"/>
  <c r="AL239" i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6" i="1" l="1"/>
  <c r="AL225" i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2" i="2" l="1"/>
  <c r="I2" i="2"/>
  <c r="M15" i="2"/>
  <c r="I15" i="2"/>
  <c r="M17" i="2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</commentList>
</comments>
</file>

<file path=xl/sharedStrings.xml><?xml version="1.0" encoding="utf-8"?>
<sst xmlns="http://schemas.openxmlformats.org/spreadsheetml/2006/main" count="4984" uniqueCount="366">
  <si>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</si>
  <si>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</si>
  <si>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</si>
  <si>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</si>
  <si>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</si>
  <si>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</si>
  <si>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</si>
  <si>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</si>
  <si>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</si>
  <si>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</si>
  <si>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</si>
  <si>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</si>
  <si>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</si>
  <si>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</si>
  <si>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</si>
  <si>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</si>
  <si>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</si>
  <si>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</si>
  <si>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</si>
  <si>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</si>
  <si>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</si>
  <si>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</si>
  <si>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</si>
  <si>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</si>
  <si>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</si>
  <si>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</si>
  <si>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</si>
  <si>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</si>
  <si>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</si>
  <si>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</si>
  <si>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</si>
  <si>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</si>
  <si>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</si>
  <si>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</si>
  <si>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</si>
  <si>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</si>
  <si>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</si>
  <si>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</si>
  <si>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</si>
  <si>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</si>
  <si>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</si>
  <si>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</si>
  <si>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</si>
  <si>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</si>
  <si>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</si>
  <si>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</si>
  <si>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</si>
  <si>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</si>
  <si>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</si>
  <si>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</si>
  <si>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</si>
  <si>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</si>
  <si>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</si>
  <si>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</si>
  <si>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</si>
  <si>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</si>
  <si>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</si>
  <si>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</si>
  <si>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</si>
  <si>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</si>
  <si>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</si>
  <si>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</si>
  <si>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</si>
  <si>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</si>
  <si>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</si>
  <si>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</si>
  <si>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</si>
  <si>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</si>
  <si>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</si>
  <si>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</si>
  <si>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</si>
  <si>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</si>
  <si>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</si>
  <si>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</si>
  <si>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</si>
  <si>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</si>
  <si>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</si>
  <si>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</si>
  <si>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</si>
  <si>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</si>
  <si>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</si>
  <si>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</si>
  <si>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</si>
  <si>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</si>
  <si>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</si>
  <si>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</si>
  <si>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</si>
  <si>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</si>
  <si>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</si>
  <si>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</si>
  <si>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</si>
  <si>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</si>
  <si>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</si>
  <si>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</si>
  <si>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</si>
  <si>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</si>
  <si>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</si>
  <si>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</si>
  <si>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</si>
  <si>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</si>
  <si>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</si>
  <si>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</si>
  <si>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</si>
  <si>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</si>
  <si>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</si>
  <si>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</si>
  <si>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</si>
  <si>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</si>
  <si>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</si>
  <si>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</si>
  <si>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</si>
  <si>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</si>
  <si>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</si>
  <si>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</si>
  <si>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</si>
  <si>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</si>
  <si>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</si>
  <si>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</si>
  <si>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</si>
  <si>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</si>
  <si>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</si>
  <si>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</si>
  <si>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</si>
  <si>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</si>
  <si>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</si>
  <si>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</si>
  <si>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</si>
  <si>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</si>
  <si>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</si>
  <si>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</si>
  <si>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</si>
  <si>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</si>
  <si>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</si>
  <si>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</si>
  <si>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</si>
  <si>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</si>
  <si>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</si>
  <si>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</si>
  <si>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</si>
  <si>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</si>
  <si>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</si>
  <si>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</si>
  <si>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</si>
  <si>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</si>
  <si>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</si>
  <si>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</si>
  <si>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</si>
  <si>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</si>
  <si>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</si>
  <si>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</si>
  <si>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</si>
  <si>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</si>
  <si>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</si>
  <si>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</si>
  <si>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</si>
  <si>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</si>
  <si>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</si>
  <si>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</si>
  <si>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</si>
  <si>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</si>
  <si>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</si>
  <si>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</si>
  <si>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</si>
  <si>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</si>
  <si>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</si>
  <si>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</si>
  <si>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</si>
  <si>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</si>
  <si>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</si>
  <si>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</si>
  <si>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</si>
  <si>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</si>
  <si>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</si>
  <si>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</si>
  <si>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</si>
  <si>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</si>
  <si>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</si>
  <si>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</si>
  <si>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</si>
  <si>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</si>
  <si>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</si>
  <si>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</si>
  <si>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</si>
  <si>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</si>
  <si>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</si>
  <si>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</si>
  <si>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</si>
  <si>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</si>
  <si>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</si>
  <si>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</si>
  <si>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</si>
  <si>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</si>
  <si>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</si>
  <si>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</si>
  <si>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</si>
  <si>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</si>
  <si>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</si>
  <si>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</si>
  <si>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</si>
  <si>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</si>
  <si>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</si>
  <si>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</si>
  <si>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</si>
  <si>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</si>
  <si>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</si>
  <si>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</si>
  <si>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</si>
  <si>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</si>
  <si>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</si>
  <si>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</si>
  <si>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</si>
  <si>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</si>
  <si>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</si>
  <si>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</si>
  <si>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</si>
  <si>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</si>
  <si>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</si>
  <si>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</si>
  <si>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</si>
  <si>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</si>
  <si>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</si>
  <si>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</si>
  <si>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</si>
  <si>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</si>
  <si>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</si>
  <si>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</si>
  <si>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</si>
  <si>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</si>
  <si>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</si>
  <si>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</si>
  <si>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</si>
  <si>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</si>
  <si>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</si>
  <si>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</si>
  <si>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</si>
  <si>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</si>
  <si>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</si>
  <si>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</si>
  <si>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</si>
  <si>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</si>
  <si>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</si>
  <si>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</si>
  <si>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</si>
  <si>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</si>
  <si>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</si>
  <si>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</si>
  <si>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</si>
  <si>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</si>
  <si>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</si>
  <si>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</si>
  <si>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</si>
  <si>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</si>
  <si>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</si>
  <si>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</si>
  <si>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</si>
  <si>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</si>
  <si>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</si>
  <si>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</si>
  <si>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</si>
  <si>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</si>
  <si>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</si>
  <si>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</si>
  <si>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</si>
  <si>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</si>
  <si>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</si>
  <si>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</si>
  <si>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</si>
  <si>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</si>
  <si>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</si>
  <si>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</si>
  <si>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</si>
  <si>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</si>
  <si>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</si>
  <si>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</si>
  <si>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</si>
  <si>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</si>
  <si>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</si>
  <si>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</si>
  <si>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</si>
  <si>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</si>
  <si>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</si>
  <si>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</si>
  <si>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</si>
  <si>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</si>
  <si>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</si>
  <si>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</si>
  <si>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</si>
  <si>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</si>
  <si>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</si>
  <si>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</si>
  <si>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</si>
  <si>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</si>
  <si>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</si>
  <si>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</si>
  <si>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</si>
  <si>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</si>
  <si>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</si>
  <si>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</si>
  <si>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</si>
  <si>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</si>
  <si>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</si>
  <si>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</si>
  <si>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</si>
  <si>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</si>
  <si>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</si>
  <si>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</si>
  <si>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</si>
  <si>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</si>
  <si>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</si>
  <si>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</si>
  <si>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</si>
  <si>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</si>
  <si>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</si>
  <si>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</si>
  <si>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</si>
  <si>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</si>
  <si>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</si>
  <si>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</si>
  <si>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</si>
  <si>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</si>
  <si>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</si>
  <si>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</si>
  <si>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</si>
  <si>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</si>
  <si>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</si>
  <si>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</si>
  <si>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</si>
  <si>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</si>
  <si>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</si>
  <si>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</si>
  <si>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</si>
  <si>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</si>
  <si>
    <t>2020年6月</t>
    <phoneticPr fontId="10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</si>
  <si>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</si>
  <si>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</si>
  <si>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</si>
  <si>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</si>
  <si>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</si>
  <si>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</si>
  <si>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10" type="noConversion"/>
  </si>
  <si>
    <t>上海尼尔森市场研究有限公司</t>
  </si>
  <si>
    <t>北京金海群英网络信息技术有限公司</t>
    <phoneticPr fontId="10" type="noConversion"/>
  </si>
  <si>
    <t>新增</t>
    <phoneticPr fontId="10" type="noConversion"/>
  </si>
  <si>
    <t>溢价+服务费</t>
    <phoneticPr fontId="10" type="noConversion"/>
  </si>
  <si>
    <t>CPM</t>
    <phoneticPr fontId="10" type="noConversion"/>
  </si>
  <si>
    <t>服务费</t>
    <phoneticPr fontId="10" type="noConversion"/>
  </si>
  <si>
    <t>信息流</t>
    <phoneticPr fontId="10" type="noConversion"/>
  </si>
  <si>
    <t>霍尔果斯多彩互动广告有限公司-优矩-360</t>
  </si>
  <si>
    <t>指数专区赠送</t>
    <phoneticPr fontId="10" type="noConversion"/>
  </si>
  <si>
    <t>2020年6月</t>
    <phoneticPr fontId="10" type="noConversion"/>
  </si>
  <si>
    <t>尼尔森</t>
    <phoneticPr fontId="10" type="noConversion"/>
  </si>
  <si>
    <t>上海尼尔森市场研究有限公司</t>
    <phoneticPr fontId="10" type="noConversion"/>
  </si>
  <si>
    <t>咪咕视讯（金芽）-金源广告</t>
    <phoneticPr fontId="10" type="noConversion"/>
  </si>
  <si>
    <t>百度</t>
    <phoneticPr fontId="10" type="noConversion"/>
  </si>
  <si>
    <t>创奇</t>
    <phoneticPr fontId="10" type="noConversion"/>
  </si>
  <si>
    <t>霍尔果斯多彩互动广告有限公司-优矩-360</t>
    <phoneticPr fontId="10" type="noConversion"/>
  </si>
  <si>
    <t>优矩-360</t>
  </si>
  <si>
    <t>优矩-360</t>
    <phoneticPr fontId="10" type="noConversion"/>
  </si>
  <si>
    <t>霍尔果斯多彩互动广告有限公司-优矩-360</t>
    <phoneticPr fontId="10" type="noConversion"/>
  </si>
  <si>
    <t>霍尔果斯多彩互动广告有限公司</t>
    <phoneticPr fontId="10" type="noConversion"/>
  </si>
  <si>
    <t>咪咕视讯（金芽）-金源广告</t>
    <phoneticPr fontId="10" type="noConversion"/>
  </si>
  <si>
    <t>金源广告</t>
    <phoneticPr fontId="10" type="noConversion"/>
  </si>
  <si>
    <t>浙江菲遇互联网科技有限公司</t>
  </si>
  <si>
    <t>北京多彩-浙江菲遇互联网科技有限公司</t>
    <phoneticPr fontId="10" type="noConversion"/>
  </si>
  <si>
    <t>CPD</t>
    <phoneticPr fontId="10" type="noConversion"/>
  </si>
  <si>
    <t>返货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</si>
</sst>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43" fontId="1" fillId="0" borderId="0" xfId="1" applyFont="1" applyAlignment="1">
      <alignment vertical="center"/>
    </xf>
    <xf numFmtId="43" fontId="1" fillId="0" borderId="1" xfId="1" applyFont="1" applyBorder="1" applyAlignment="1"/>
    <xf numFmtId="43" fontId="1" fillId="0" borderId="1" xfId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43" fontId="12" fillId="0" borderId="1" xfId="0" applyNumberFormat="1" applyFont="1" applyBorder="1" applyAlignment="1">
      <alignment vertical="center"/>
    </xf>
    <xf numFmtId="43" fontId="12" fillId="0" borderId="1" xfId="1" applyFont="1" applyBorder="1" applyAlignment="1">
      <alignment vertical="center"/>
    </xf>
    <xf numFmtId="0" fontId="16" fillId="2" borderId="3" xfId="3" applyNumberFormat="1" applyFont="1" applyFill="1" applyBorder="1" applyAlignment="1">
      <alignment vertical="center"/>
    </xf>
    <xf numFmtId="0" fontId="16" fillId="2" borderId="4" xfId="3" applyNumberFormat="1" applyFont="1" applyFill="1" applyBorder="1" applyAlignment="1">
      <alignment vertical="center"/>
    </xf>
    <xf numFmtId="43" fontId="16" fillId="2" borderId="4" xfId="1" applyFont="1" applyFill="1" applyBorder="1" applyAlignment="1">
      <alignment vertical="center"/>
    </xf>
    <xf numFmtId="0" fontId="16" fillId="2" borderId="5" xfId="3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6" fontId="12" fillId="0" borderId="2" xfId="0" applyNumberFormat="1" applyFont="1" applyFill="1" applyBorder="1" applyAlignment="1">
      <alignment vertical="center"/>
    </xf>
    <xf numFmtId="49" fontId="12" fillId="0" borderId="2" xfId="0" applyNumberFormat="1" applyFont="1" applyFill="1" applyBorder="1" applyAlignment="1">
      <alignment vertical="center"/>
    </xf>
    <xf numFmtId="43" fontId="12" fillId="0" borderId="2" xfId="1" applyFont="1" applyBorder="1" applyAlignment="1">
      <alignment vertical="center"/>
    </xf>
    <xf numFmtId="10" fontId="12" fillId="0" borderId="2" xfId="2" applyNumberFormat="1" applyFont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3" fontId="12" fillId="0" borderId="2" xfId="0" applyNumberFormat="1" applyFont="1" applyFill="1" applyBorder="1" applyAlignment="1">
      <alignment vertical="center"/>
    </xf>
    <xf numFmtId="177" fontId="12" fillId="0" borderId="2" xfId="0" applyNumberFormat="1" applyFont="1" applyFill="1" applyBorder="1" applyAlignment="1">
      <alignment vertical="center"/>
    </xf>
    <xf numFmtId="9" fontId="12" fillId="0" borderId="2" xfId="2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43" fontId="12" fillId="0" borderId="1" xfId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177" fontId="12" fillId="0" borderId="1" xfId="0" applyNumberFormat="1" applyFont="1" applyFill="1" applyBorder="1" applyAlignment="1">
      <alignment vertical="center"/>
    </xf>
    <xf numFmtId="10" fontId="12" fillId="0" borderId="1" xfId="2" applyNumberFormat="1" applyFont="1" applyBorder="1" applyAlignment="1">
      <alignment vertical="center"/>
    </xf>
    <xf numFmtId="43" fontId="12" fillId="0" borderId="1" xfId="5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57" fontId="12" fillId="0" borderId="1" xfId="0" applyNumberFormat="1" applyFont="1" applyBorder="1" applyAlignment="1">
      <alignment vertical="center"/>
    </xf>
    <xf numFmtId="43" fontId="13" fillId="0" borderId="1" xfId="1" applyFont="1" applyBorder="1" applyAlignment="1">
      <alignment vertical="center"/>
    </xf>
    <xf numFmtId="10" fontId="12" fillId="0" borderId="1" xfId="1" applyNumberFormat="1" applyFont="1" applyBorder="1" applyAlignment="1">
      <alignment vertical="center"/>
    </xf>
    <xf numFmtId="10" fontId="12" fillId="0" borderId="1" xfId="6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3" fontId="16" fillId="0" borderId="2" xfId="1" applyFont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49" fontId="12" fillId="0" borderId="0" xfId="0" applyNumberFormat="1" applyFont="1" applyAlignment="1">
      <alignment vertical="center"/>
    </xf>
    <xf numFmtId="43" fontId="12" fillId="0" borderId="0" xfId="1" applyFont="1" applyAlignment="1">
      <alignment vertical="center"/>
    </xf>
    <xf numFmtId="176" fontId="2" fillId="0" borderId="1" xfId="10" applyNumberFormat="1" applyFont="1" applyFill="1" applyBorder="1" applyAlignment="1">
      <alignment vertical="center"/>
    </xf>
    <xf numFmtId="176" fontId="2" fillId="0" borderId="1" xfId="1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L364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9" defaultRowHeight="14"/>
  <cols>
    <col min="1" max="1" width="9.90625" bestFit="1" customWidth="1"/>
    <col min="2" max="3" width="9" customWidth="1"/>
    <col min="4" max="4" width="7" customWidth="1"/>
    <col min="5" max="5" width="17.08984375" customWidth="1"/>
    <col min="6" max="6" width="22.36328125" customWidth="1"/>
    <col min="7" max="7" width="22.453125" customWidth="1"/>
    <col min="8" max="8" width="20" customWidth="1"/>
    <col min="9" max="9" width="11.90625" customWidth="1"/>
    <col min="10" max="10" width="11" style="1" customWidth="1"/>
    <col min="11" max="11" width="25.90625" customWidth="1"/>
    <col min="12" max="12" width="9" customWidth="1"/>
    <col min="13" max="13" width="6.90625" customWidth="1"/>
    <col min="14" max="16" width="9" customWidth="1"/>
    <col min="17" max="17" width="6.90625" customWidth="1"/>
    <col min="18" max="18" width="13" customWidth="1"/>
    <col min="19" max="20" width="14.08984375" customWidth="1"/>
    <col min="21" max="21" width="15" customWidth="1"/>
    <col min="22" max="22" width="14.08984375" customWidth="1"/>
    <col min="23" max="23" width="13" bestFit="1" customWidth="1"/>
    <col min="24" max="24" width="13" customWidth="1"/>
    <col min="25" max="25" width="16.6328125" customWidth="1"/>
    <col min="26" max="26" width="13.36328125" customWidth="1"/>
    <col min="28" max="28" width="11.453125" bestFit="1" customWidth="1"/>
    <col min="32" max="32" width="14.08984375" customWidth="1"/>
    <col min="33" max="33" width="13.08984375" bestFit="1" customWidth="1"/>
    <col min="34" max="34" width="11.453125" customWidth="1"/>
    <col min="35" max="35" width="12" bestFit="1" customWidth="1"/>
    <col min="36" max="36" width="14.90625" bestFit="1" customWidth="1"/>
    <col min="37" max="37" width="12" bestFit="1" customWidth="1"/>
    <col min="38" max="38" width="17.08984375" bestFit="1" customWidth="1"/>
  </cols>
  <sheetData>
    <row r="1" spans="1:38" ht="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88" t="s">
        <v>297</v>
      </c>
      <c r="AG1" s="89" t="s">
        <v>298</v>
      </c>
      <c r="AH1" s="89" t="s">
        <v>299</v>
      </c>
      <c r="AI1" s="89" t="s">
        <v>300</v>
      </c>
      <c r="AJ1" s="89" t="s">
        <v>301</v>
      </c>
      <c r="AK1" s="89" t="s">
        <v>302</v>
      </c>
      <c r="AL1" s="89" t="s">
        <v>303</v>
      </c>
    </row>
    <row r="2" spans="1:38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8.3699999999999997E-2</v>
      </c>
      <c r="AB2" s="5"/>
      <c r="AC2" s="5"/>
      <c r="AD2" s="5"/>
      <c r="AE2" s="10">
        <v>7.0000000000000007E-2</v>
      </c>
    </row>
    <row r="3" spans="1:38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8.3699999999999997E-2</v>
      </c>
      <c r="AB3" s="5"/>
      <c r="AC3" s="5"/>
      <c r="AD3" s="5"/>
      <c r="AE3" s="10">
        <v>0</v>
      </c>
    </row>
    <row r="4" spans="1:38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8.3699999999999997E-2</v>
      </c>
      <c r="AB4" s="5"/>
      <c r="AC4" s="5"/>
      <c r="AD4" s="5"/>
      <c r="AE4" s="10">
        <v>0.32</v>
      </c>
    </row>
    <row r="5" spans="1:38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8.3699999999999997E-2</v>
      </c>
      <c r="AB5" s="10"/>
      <c r="AC5" s="10"/>
      <c r="AD5" s="5"/>
      <c r="AE5" s="10">
        <v>0</v>
      </c>
    </row>
    <row r="6" spans="1:38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8.3699999999999997E-2</v>
      </c>
      <c r="AB6" s="10"/>
      <c r="AC6" s="10"/>
      <c r="AD6" s="5"/>
      <c r="AE6" s="10">
        <v>7.0000000000000007E-2</v>
      </c>
    </row>
    <row r="7" spans="1:38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8.3699999999999997E-2</v>
      </c>
      <c r="AB7" s="10"/>
      <c r="AC7" s="10"/>
      <c r="AD7" s="5"/>
      <c r="AE7" s="10">
        <v>7.0000000000000007E-2</v>
      </c>
    </row>
    <row r="8" spans="1:38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8.3699999999999997E-2</v>
      </c>
      <c r="AB8" s="10"/>
      <c r="AC8" s="10"/>
      <c r="AD8" s="5"/>
      <c r="AE8" s="10">
        <v>0</v>
      </c>
    </row>
    <row r="9" spans="1:38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8.3699999999999997E-2</v>
      </c>
      <c r="AB9" s="10"/>
      <c r="AC9" s="10"/>
      <c r="AD9" s="5"/>
      <c r="AE9" s="10">
        <v>0.32</v>
      </c>
    </row>
    <row r="10" spans="1:38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8.3699999999999997E-2</v>
      </c>
      <c r="AB10" s="10"/>
      <c r="AC10" s="10"/>
      <c r="AD10" s="5"/>
      <c r="AE10" s="10">
        <v>0.32</v>
      </c>
    </row>
    <row r="11" spans="1:38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8.3699999999999997E-2</v>
      </c>
      <c r="AB11" s="10"/>
      <c r="AC11" s="10"/>
      <c r="AD11" s="5"/>
      <c r="AE11" s="10">
        <v>0</v>
      </c>
    </row>
    <row r="12" spans="1:38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8.3699999999999997E-2</v>
      </c>
      <c r="AB12" s="10"/>
      <c r="AC12" s="10"/>
      <c r="AD12" s="5"/>
      <c r="AE12" s="10">
        <v>0</v>
      </c>
    </row>
    <row r="13" spans="1:38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8.3699999999999997E-2</v>
      </c>
      <c r="AB13" s="10"/>
      <c r="AC13" s="10"/>
      <c r="AD13" s="5"/>
      <c r="AE13" s="10">
        <v>0</v>
      </c>
    </row>
    <row r="14" spans="1:38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8.3699999999999997E-2</v>
      </c>
      <c r="AB14" s="10"/>
      <c r="AC14" s="10"/>
      <c r="AD14" s="5"/>
      <c r="AE14" s="10">
        <v>0.42</v>
      </c>
    </row>
    <row r="15" spans="1:38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8.3699999999999997E-2</v>
      </c>
      <c r="AB15" s="10"/>
      <c r="AC15" s="10"/>
      <c r="AD15" s="5"/>
      <c r="AE15" s="10">
        <v>0.42</v>
      </c>
    </row>
    <row r="16" spans="1:38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8.3699999999999997E-2</v>
      </c>
      <c r="AB16" s="10"/>
      <c r="AC16" s="10"/>
      <c r="AD16" s="5"/>
      <c r="AE16" s="10">
        <v>0.42</v>
      </c>
    </row>
    <row r="17" spans="1:3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8.3699999999999997E-2</v>
      </c>
      <c r="AB17" s="10"/>
      <c r="AC17" s="10"/>
      <c r="AD17" s="5"/>
      <c r="AE17" s="10">
        <v>0.42</v>
      </c>
    </row>
    <row r="18" spans="1:3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8.3699999999999997E-2</v>
      </c>
      <c r="AB18" s="10"/>
      <c r="AC18" s="10"/>
      <c r="AD18" s="5"/>
      <c r="AE18" s="10">
        <v>0</v>
      </c>
    </row>
    <row r="19" spans="1:3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8.3699999999999997E-2</v>
      </c>
      <c r="AB19" s="10"/>
      <c r="AC19" s="10"/>
      <c r="AD19" s="5"/>
      <c r="AE19" s="10">
        <v>0.22</v>
      </c>
    </row>
    <row r="20" spans="1:3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8.3699999999999997E-2</v>
      </c>
      <c r="AB20" s="10"/>
      <c r="AC20" s="10"/>
      <c r="AD20" s="5"/>
      <c r="AE20" s="10">
        <v>0.42</v>
      </c>
    </row>
    <row r="21" spans="1:3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8.3699999999999997E-2</v>
      </c>
      <c r="AB21" s="10"/>
      <c r="AC21" s="10"/>
      <c r="AD21" s="5"/>
      <c r="AE21" s="10">
        <v>0.14000000000000001</v>
      </c>
    </row>
    <row r="22" spans="1:3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3187.624875</v>
      </c>
      <c r="W22" s="22"/>
      <c r="X22" s="22">
        <f t="shared" si="3"/>
        <v>0</v>
      </c>
      <c r="Y22" s="23">
        <f t="shared" si="6"/>
        <v>404.06512500000008</v>
      </c>
      <c r="Z22" s="20">
        <f t="shared" si="7"/>
        <v>3591.69</v>
      </c>
      <c r="AA22" s="10">
        <v>0.1038</v>
      </c>
      <c r="AB22" s="10"/>
      <c r="AC22" s="10"/>
      <c r="AD22" s="5"/>
      <c r="AE22" s="10">
        <v>0.42</v>
      </c>
    </row>
    <row r="23" spans="1:3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0.1038</v>
      </c>
      <c r="AB23" s="10"/>
      <c r="AC23" s="10"/>
      <c r="AD23" s="5"/>
      <c r="AE23" s="10">
        <v>0.42</v>
      </c>
    </row>
    <row r="24" spans="1:3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0.1038</v>
      </c>
      <c r="AB24" s="10"/>
      <c r="AC24" s="10"/>
      <c r="AD24" s="5"/>
      <c r="AE24" s="10">
        <v>0.42</v>
      </c>
    </row>
    <row r="25" spans="1:3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0.1038</v>
      </c>
      <c r="AB25" s="10"/>
      <c r="AC25" s="10"/>
      <c r="AD25" s="5"/>
      <c r="AE25" s="10">
        <v>0.42</v>
      </c>
    </row>
    <row r="26" spans="1:3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0.1038</v>
      </c>
      <c r="AB26" s="10"/>
      <c r="AC26" s="10"/>
      <c r="AD26" s="5"/>
      <c r="AE26" s="10" t="s">
        <v>95</v>
      </c>
    </row>
    <row r="27" spans="1:3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0.1038</v>
      </c>
      <c r="AB27" s="10"/>
      <c r="AC27" s="10"/>
      <c r="AD27" s="5"/>
      <c r="AE27" s="10">
        <v>0.42</v>
      </c>
    </row>
    <row r="28" spans="1:3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0.1038</v>
      </c>
      <c r="AB28" s="10"/>
      <c r="AC28" s="10"/>
      <c r="AD28" s="5"/>
      <c r="AE28" s="10" t="s">
        <v>95</v>
      </c>
    </row>
    <row r="29" spans="1:3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0.1038</v>
      </c>
      <c r="AB29" s="10"/>
      <c r="AC29" s="10"/>
      <c r="AD29" s="5"/>
      <c r="AE29" s="10" t="s">
        <v>95</v>
      </c>
    </row>
    <row r="30" spans="1:3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0.1038</v>
      </c>
      <c r="AB30" s="10"/>
      <c r="AC30" s="10"/>
      <c r="AD30" s="5"/>
      <c r="AE30" s="10">
        <v>0.42</v>
      </c>
    </row>
    <row r="31" spans="1:3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0.1038</v>
      </c>
      <c r="AB31" s="10"/>
      <c r="AC31" s="10"/>
      <c r="AD31" s="5"/>
      <c r="AE31" s="10">
        <v>0.42</v>
      </c>
    </row>
    <row r="32" spans="1:3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0.1038</v>
      </c>
      <c r="AB32" s="10"/>
      <c r="AC32" s="10"/>
      <c r="AD32" s="5"/>
      <c r="AE32" s="10">
        <v>0.42</v>
      </c>
    </row>
    <row r="33" spans="1:3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0.1038</v>
      </c>
      <c r="AB33" s="10"/>
      <c r="AC33" s="10"/>
      <c r="AD33" s="5"/>
      <c r="AE33" s="10">
        <v>0.42</v>
      </c>
    </row>
    <row r="34" spans="1:3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0.1038</v>
      </c>
      <c r="AB34" s="10"/>
      <c r="AC34" s="10"/>
      <c r="AD34" s="5"/>
      <c r="AE34" s="10">
        <v>0.42</v>
      </c>
    </row>
    <row r="35" spans="1:3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0.1038</v>
      </c>
      <c r="AB35" s="10"/>
      <c r="AC35" s="10"/>
      <c r="AD35" s="5"/>
      <c r="AE35" s="10">
        <v>0.42</v>
      </c>
    </row>
    <row r="36" spans="1:3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0.1038</v>
      </c>
      <c r="AB36" s="10"/>
      <c r="AC36" s="10"/>
      <c r="AD36" s="5"/>
      <c r="AE36" s="10">
        <v>0.42</v>
      </c>
    </row>
    <row r="37" spans="1:3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0.1038</v>
      </c>
      <c r="AB37" s="10"/>
      <c r="AC37" s="10"/>
      <c r="AD37" s="5"/>
      <c r="AE37" s="10">
        <v>0.42</v>
      </c>
    </row>
    <row r="38" spans="1:3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0.1038</v>
      </c>
      <c r="AB38" s="10"/>
      <c r="AC38" s="10"/>
      <c r="AD38" s="5"/>
      <c r="AE38" s="10">
        <v>0.42</v>
      </c>
    </row>
    <row r="39" spans="1:3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0.1038</v>
      </c>
      <c r="AB39" s="10"/>
      <c r="AC39" s="10"/>
      <c r="AD39" s="5"/>
      <c r="AE39" s="10">
        <v>0.42</v>
      </c>
    </row>
    <row r="40" spans="1:3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0.1038</v>
      </c>
      <c r="AB40" s="10"/>
      <c r="AC40" s="10"/>
      <c r="AD40" s="5"/>
      <c r="AE40" s="10">
        <v>0.42</v>
      </c>
    </row>
    <row r="41" spans="1:3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0.1038</v>
      </c>
      <c r="AB41" s="10"/>
      <c r="AC41" s="10"/>
      <c r="AD41" s="5"/>
      <c r="AE41" s="10">
        <v>0</v>
      </c>
    </row>
    <row r="42" spans="1:3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0.1038</v>
      </c>
      <c r="AB42" s="10"/>
      <c r="AC42" s="10"/>
      <c r="AD42" s="5"/>
      <c r="AE42" s="10">
        <v>0.42</v>
      </c>
    </row>
    <row r="43" spans="1:3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0.1038</v>
      </c>
      <c r="AB43" s="10"/>
      <c r="AC43" s="10"/>
      <c r="AD43" s="5"/>
      <c r="AE43" s="10">
        <v>0.42</v>
      </c>
    </row>
    <row r="44" spans="1:3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0.1038</v>
      </c>
      <c r="AB44" s="10"/>
      <c r="AC44" s="10"/>
      <c r="AD44" s="5"/>
      <c r="AE44" s="10">
        <v>0.42</v>
      </c>
    </row>
    <row r="45" spans="1:3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0.1038</v>
      </c>
      <c r="AB45" s="10"/>
      <c r="AC45" s="10"/>
      <c r="AD45" s="5"/>
      <c r="AE45" s="10" t="s">
        <v>95</v>
      </c>
    </row>
    <row r="46" spans="1:3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0.1038</v>
      </c>
      <c r="AB46" s="10"/>
      <c r="AC46" s="10"/>
      <c r="AD46" s="5"/>
      <c r="AE46" s="10">
        <v>0.42</v>
      </c>
    </row>
    <row r="47" spans="1:3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0.1038</v>
      </c>
      <c r="AB47" s="10"/>
      <c r="AC47" s="10"/>
      <c r="AD47" s="5"/>
      <c r="AE47" s="10">
        <v>0.42</v>
      </c>
    </row>
    <row r="48" spans="1:3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0.1038</v>
      </c>
      <c r="AB48" s="10"/>
      <c r="AC48" s="10"/>
      <c r="AD48" s="5"/>
      <c r="AE48" s="10">
        <v>0.42</v>
      </c>
    </row>
    <row r="49" spans="1:3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0.1038</v>
      </c>
      <c r="AB49" s="10"/>
      <c r="AC49" s="10"/>
      <c r="AD49" s="5"/>
      <c r="AE49" s="10">
        <v>0.42</v>
      </c>
    </row>
    <row r="50" spans="1:3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0.1038</v>
      </c>
      <c r="AB50" s="10"/>
      <c r="AC50" s="10"/>
      <c r="AD50" s="5"/>
      <c r="AE50" s="10">
        <v>0.42</v>
      </c>
    </row>
    <row r="51" spans="1:3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0.1038</v>
      </c>
      <c r="AB51" s="10"/>
      <c r="AC51" s="10"/>
      <c r="AD51" s="5"/>
      <c r="AE51" s="10">
        <v>0.42</v>
      </c>
    </row>
    <row r="52" spans="1:3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0.1038</v>
      </c>
      <c r="AB52" s="10"/>
      <c r="AC52" s="10"/>
      <c r="AD52" s="5"/>
      <c r="AE52" s="10">
        <v>0.36</v>
      </c>
    </row>
    <row r="53" spans="1:3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8.3699999999999997E-2</v>
      </c>
      <c r="AB53" s="10"/>
      <c r="AC53" s="10"/>
      <c r="AD53" s="5"/>
      <c r="AE53" s="10">
        <v>0</v>
      </c>
    </row>
    <row r="54" spans="1:3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8.3699999999999997E-2</v>
      </c>
      <c r="AB54" s="10"/>
      <c r="AC54" s="10"/>
      <c r="AD54" s="5"/>
      <c r="AE54" s="10">
        <v>0.11</v>
      </c>
    </row>
    <row r="55" spans="1:3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8.3699999999999997E-2</v>
      </c>
      <c r="AB55" s="10"/>
      <c r="AC55" s="10"/>
      <c r="AD55" s="5"/>
      <c r="AE55" s="10">
        <v>0.42</v>
      </c>
    </row>
    <row r="56" spans="1:3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0">
        <v>8.3699999999999997E-2</v>
      </c>
      <c r="AB56" s="5"/>
      <c r="AC56" s="5"/>
      <c r="AD56" s="5"/>
      <c r="AE56" s="14">
        <v>0</v>
      </c>
    </row>
    <row r="57" spans="1:3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0">
        <v>8.3699999999999997E-2</v>
      </c>
      <c r="AB57" s="5"/>
      <c r="AC57" s="5"/>
      <c r="AD57" s="5"/>
      <c r="AE57" s="14">
        <v>0</v>
      </c>
    </row>
    <row r="58" spans="1:3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8.3699999999999997E-2</v>
      </c>
      <c r="AB71" s="39"/>
      <c r="AC71" s="39"/>
      <c r="AD71" s="39"/>
      <c r="AE71" s="14">
        <v>0</v>
      </c>
    </row>
    <row r="72" spans="1:3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8.3699999999999997E-2</v>
      </c>
      <c r="AB72" s="39"/>
      <c r="AC72" s="39"/>
      <c r="AD72" s="39"/>
      <c r="AE72" s="14">
        <v>0.32</v>
      </c>
    </row>
    <row r="73" spans="1:3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8.3699999999999997E-2</v>
      </c>
      <c r="AB73" s="39"/>
      <c r="AC73" s="39"/>
      <c r="AD73" s="39"/>
      <c r="AE73" s="14">
        <v>0.32</v>
      </c>
    </row>
    <row r="74" spans="1:3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8.3699999999999997E-2</v>
      </c>
      <c r="AB74" s="39"/>
      <c r="AC74" s="39"/>
      <c r="AD74" s="39"/>
      <c r="AE74" s="14">
        <v>0.32</v>
      </c>
    </row>
    <row r="75" spans="1:3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8.3699999999999997E-2</v>
      </c>
      <c r="AB75" s="39"/>
      <c r="AC75" s="39"/>
      <c r="AD75" s="39"/>
      <c r="AE75" s="14">
        <v>0</v>
      </c>
    </row>
    <row r="76" spans="1:3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8.3699999999999997E-2</v>
      </c>
      <c r="AB76" s="39"/>
      <c r="AC76" s="39"/>
      <c r="AD76" s="39"/>
      <c r="AE76" s="14">
        <v>7.0000000000000007E-2</v>
      </c>
    </row>
    <row r="77" spans="1:3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8.3699999999999997E-2</v>
      </c>
      <c r="AB77" s="39"/>
      <c r="AC77" s="39"/>
      <c r="AD77" s="39"/>
      <c r="AE77" s="14">
        <v>7.0000000000000007E-2</v>
      </c>
    </row>
    <row r="78" spans="1:3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8.3699999999999997E-2</v>
      </c>
      <c r="AB78" s="39"/>
      <c r="AC78" s="39"/>
      <c r="AD78" s="39"/>
      <c r="AE78" s="14">
        <v>0</v>
      </c>
    </row>
    <row r="79" spans="1:3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8.3699999999999997E-2</v>
      </c>
      <c r="AB79" s="39"/>
      <c r="AC79" s="39"/>
      <c r="AD79" s="39"/>
      <c r="AE79" s="14">
        <v>0.42</v>
      </c>
    </row>
    <row r="80" spans="1:3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8.3699999999999997E-2</v>
      </c>
      <c r="AB80" s="39"/>
      <c r="AC80" s="39"/>
      <c r="AD80" s="39"/>
      <c r="AE80" s="14">
        <v>0.42</v>
      </c>
    </row>
    <row r="81" spans="1:3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8.3699999999999997E-2</v>
      </c>
      <c r="AB81" s="39"/>
      <c r="AC81" s="39"/>
      <c r="AD81" s="39"/>
      <c r="AE81" s="14">
        <v>0.42</v>
      </c>
    </row>
    <row r="82" spans="1:3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8.3699999999999997E-2</v>
      </c>
      <c r="AB82" s="39"/>
      <c r="AC82" s="39"/>
      <c r="AD82" s="39"/>
      <c r="AE82" s="14">
        <v>0.42</v>
      </c>
    </row>
    <row r="83" spans="1:3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8.3699999999999997E-2</v>
      </c>
      <c r="AB83" s="39"/>
      <c r="AC83" s="39"/>
      <c r="AD83" s="39"/>
      <c r="AE83" s="14">
        <v>0</v>
      </c>
    </row>
    <row r="84" spans="1:3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8.3699999999999997E-2</v>
      </c>
      <c r="AB84" s="39"/>
      <c r="AC84" s="39"/>
      <c r="AD84" s="39"/>
      <c r="AE84" s="14">
        <v>0.22</v>
      </c>
    </row>
    <row r="85" spans="1:3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8.3699999999999997E-2</v>
      </c>
      <c r="AB85" s="39"/>
      <c r="AC85" s="39"/>
      <c r="AD85" s="39"/>
      <c r="AE85" s="14">
        <v>0.42</v>
      </c>
    </row>
    <row r="86" spans="1:3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8.3699999999999997E-2</v>
      </c>
      <c r="AB86" s="39"/>
      <c r="AC86" s="39"/>
      <c r="AD86" s="39"/>
      <c r="AE86" s="14">
        <v>0.14000000000000001</v>
      </c>
    </row>
    <row r="87" spans="1:3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0.1038</v>
      </c>
      <c r="AB87" s="39"/>
      <c r="AC87" s="39"/>
      <c r="AD87" s="39"/>
      <c r="AE87" s="10">
        <v>0.42</v>
      </c>
    </row>
    <row r="88" spans="1:3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0.1038</v>
      </c>
      <c r="AB88" s="39"/>
      <c r="AC88" s="39"/>
      <c r="AD88" s="39"/>
      <c r="AE88" s="14">
        <v>0.42</v>
      </c>
    </row>
    <row r="89" spans="1:3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0.1038</v>
      </c>
      <c r="AB89" s="39"/>
      <c r="AC89" s="39"/>
      <c r="AD89" s="39"/>
      <c r="AE89" s="14">
        <v>0.42</v>
      </c>
    </row>
    <row r="90" spans="1:3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0.1038</v>
      </c>
      <c r="AB90" s="39"/>
      <c r="AC90" s="39"/>
      <c r="AD90" s="39"/>
      <c r="AE90" s="14">
        <v>0.42</v>
      </c>
    </row>
    <row r="91" spans="1:3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0.1038</v>
      </c>
      <c r="AB91" s="39"/>
      <c r="AC91" s="39"/>
      <c r="AD91" s="39"/>
      <c r="AE91" s="14" t="s">
        <v>95</v>
      </c>
    </row>
    <row r="92" spans="1:3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0.1038</v>
      </c>
      <c r="AB92" s="39"/>
      <c r="AC92" s="39"/>
      <c r="AD92" s="39"/>
      <c r="AE92" s="14">
        <v>0.42</v>
      </c>
    </row>
    <row r="93" spans="1:3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0.1038</v>
      </c>
      <c r="AB93" s="39"/>
      <c r="AC93" s="39"/>
      <c r="AD93" s="39"/>
      <c r="AE93" s="14" t="s">
        <v>95</v>
      </c>
    </row>
    <row r="94" spans="1:3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0.1038</v>
      </c>
      <c r="AB94" s="39"/>
      <c r="AC94" s="39"/>
      <c r="AD94" s="39"/>
      <c r="AE94" s="14" t="s">
        <v>95</v>
      </c>
    </row>
    <row r="95" spans="1:3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0.1038</v>
      </c>
      <c r="AB95" s="39"/>
      <c r="AC95" s="39"/>
      <c r="AD95" s="39"/>
      <c r="AE95" s="14">
        <v>0.42</v>
      </c>
    </row>
    <row r="96" spans="1:3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0.1038</v>
      </c>
      <c r="AB96" s="39"/>
      <c r="AC96" s="39"/>
      <c r="AD96" s="39"/>
      <c r="AE96" s="14">
        <v>0.42</v>
      </c>
    </row>
    <row r="97" spans="1:3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0.1038</v>
      </c>
      <c r="AB97" s="39"/>
      <c r="AC97" s="39"/>
      <c r="AD97" s="39"/>
      <c r="AE97" s="14">
        <v>0.42</v>
      </c>
    </row>
    <row r="98" spans="1:3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0.1038</v>
      </c>
      <c r="AB98" s="39"/>
      <c r="AC98" s="39"/>
      <c r="AD98" s="39"/>
      <c r="AE98" s="14">
        <v>0.42</v>
      </c>
    </row>
    <row r="99" spans="1:3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0.1038</v>
      </c>
      <c r="AB99" s="39"/>
      <c r="AC99" s="39"/>
      <c r="AD99" s="39"/>
      <c r="AE99" s="14">
        <v>0.42</v>
      </c>
    </row>
    <row r="100" spans="1:3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0.1038</v>
      </c>
      <c r="AB100" s="39"/>
      <c r="AC100" s="39"/>
      <c r="AD100" s="39"/>
      <c r="AE100" s="14">
        <v>0.42</v>
      </c>
    </row>
    <row r="101" spans="1:3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0.1038</v>
      </c>
      <c r="AB101" s="39"/>
      <c r="AC101" s="39"/>
      <c r="AD101" s="39"/>
      <c r="AE101" s="14">
        <v>0.42</v>
      </c>
    </row>
    <row r="102" spans="1:3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0.1038</v>
      </c>
      <c r="AB102" s="39"/>
      <c r="AC102" s="39"/>
      <c r="AD102" s="39"/>
      <c r="AE102" s="14">
        <v>0.42</v>
      </c>
    </row>
    <row r="103" spans="1:3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0.1038</v>
      </c>
      <c r="AB103" s="39"/>
      <c r="AC103" s="39"/>
      <c r="AD103" s="39"/>
      <c r="AE103" s="14">
        <v>0.42</v>
      </c>
    </row>
    <row r="104" spans="1:3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0.1038</v>
      </c>
      <c r="AB104" s="39"/>
      <c r="AC104" s="39"/>
      <c r="AD104" s="39"/>
      <c r="AE104" s="14">
        <v>0.42</v>
      </c>
    </row>
    <row r="105" spans="1:3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0.1038</v>
      </c>
      <c r="AB105" s="39"/>
      <c r="AC105" s="39"/>
      <c r="AD105" s="39"/>
      <c r="AE105" s="14">
        <v>0.42</v>
      </c>
    </row>
    <row r="106" spans="1:3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0.1038</v>
      </c>
      <c r="AB106" s="39"/>
      <c r="AC106" s="39"/>
      <c r="AD106" s="39"/>
      <c r="AE106" s="14">
        <v>0</v>
      </c>
    </row>
    <row r="107" spans="1:3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0.1038</v>
      </c>
      <c r="AB107" s="39"/>
      <c r="AC107" s="39"/>
      <c r="AD107" s="39"/>
      <c r="AE107" s="14">
        <v>0.42</v>
      </c>
    </row>
    <row r="108" spans="1:3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0.1038</v>
      </c>
      <c r="AB108" s="39"/>
      <c r="AC108" s="39"/>
      <c r="AD108" s="39"/>
      <c r="AE108" s="14">
        <v>0.42</v>
      </c>
    </row>
    <row r="109" spans="1:3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0.1038</v>
      </c>
      <c r="AB109" s="39"/>
      <c r="AC109" s="39"/>
      <c r="AD109" s="39"/>
      <c r="AE109" s="14">
        <v>0.42</v>
      </c>
    </row>
    <row r="110" spans="1:3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0.1038</v>
      </c>
      <c r="AB110" s="39"/>
      <c r="AC110" s="39"/>
      <c r="AD110" s="39"/>
      <c r="AE110" s="14" t="s">
        <v>95</v>
      </c>
    </row>
    <row r="111" spans="1:3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0.1038</v>
      </c>
      <c r="AB111" s="39"/>
      <c r="AC111" s="39"/>
      <c r="AD111" s="39"/>
      <c r="AE111" s="14">
        <v>0.42</v>
      </c>
    </row>
    <row r="112" spans="1:3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0.1038</v>
      </c>
      <c r="AB112" s="39"/>
      <c r="AC112" s="39"/>
      <c r="AD112" s="39"/>
      <c r="AE112" s="14">
        <v>0.42</v>
      </c>
    </row>
    <row r="113" spans="1:3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0.1038</v>
      </c>
      <c r="AB113" s="39"/>
      <c r="AC113" s="39"/>
      <c r="AD113" s="39"/>
      <c r="AE113" s="14">
        <v>0.42</v>
      </c>
    </row>
    <row r="114" spans="1:3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0.1038</v>
      </c>
      <c r="AB114" s="39"/>
      <c r="AC114" s="39"/>
      <c r="AD114" s="39"/>
      <c r="AE114" s="14">
        <v>0.42</v>
      </c>
    </row>
    <row r="115" spans="1:3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0.1038</v>
      </c>
      <c r="AB115" s="39"/>
      <c r="AC115" s="39"/>
      <c r="AD115" s="39"/>
      <c r="AE115" s="14">
        <v>0.42</v>
      </c>
    </row>
    <row r="116" spans="1:3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0.1038</v>
      </c>
      <c r="AB116" s="39"/>
      <c r="AC116" s="39"/>
      <c r="AD116" s="39"/>
      <c r="AE116" s="14">
        <v>0.42</v>
      </c>
    </row>
    <row r="117" spans="1:3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0.1038</v>
      </c>
      <c r="AB117" s="39"/>
      <c r="AC117" s="39"/>
      <c r="AD117" s="39"/>
      <c r="AE117" s="14">
        <v>0.36</v>
      </c>
    </row>
    <row r="118" spans="1:3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8.3699999999999997E-2</v>
      </c>
      <c r="AB118" s="39"/>
      <c r="AC118" s="39"/>
      <c r="AD118" s="39"/>
      <c r="AE118" s="14">
        <v>0</v>
      </c>
    </row>
    <row r="119" spans="1:3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8.3699999999999997E-2</v>
      </c>
      <c r="AB119" s="39"/>
      <c r="AC119" s="39"/>
      <c r="AD119" s="39"/>
      <c r="AE119" s="14">
        <v>0.11</v>
      </c>
    </row>
    <row r="120" spans="1:3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8.3699999999999997E-2</v>
      </c>
      <c r="AB120" s="39"/>
      <c r="AC120" s="39"/>
      <c r="AD120" s="39"/>
      <c r="AE120" s="14">
        <v>0.42</v>
      </c>
    </row>
    <row r="121" spans="1:3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8.3699999999999997E-2</v>
      </c>
      <c r="AB121" s="39"/>
      <c r="AC121" s="39"/>
      <c r="AD121" s="39"/>
      <c r="AE121" s="14">
        <v>0.09</v>
      </c>
    </row>
    <row r="122" spans="1:3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10">
        <v>8.3699999999999997E-2</v>
      </c>
      <c r="AB122" s="41"/>
      <c r="AC122" s="43" t="s">
        <v>234</v>
      </c>
      <c r="AD122" s="43"/>
      <c r="AE122" s="41">
        <v>0</v>
      </c>
    </row>
    <row r="123" spans="1:3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8.3699999999999997E-2</v>
      </c>
      <c r="AB129" s="23"/>
      <c r="AC129" s="41"/>
      <c r="AD129" s="41"/>
      <c r="AE129" s="14" t="s">
        <v>84</v>
      </c>
    </row>
    <row r="130" spans="1:3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8.3699999999999997E-2</v>
      </c>
      <c r="AB130" s="23"/>
      <c r="AC130" s="41"/>
      <c r="AD130" s="41"/>
      <c r="AE130" s="14" t="s">
        <v>243</v>
      </c>
    </row>
    <row r="131" spans="1:3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0.1038</v>
      </c>
      <c r="AB131" s="23"/>
      <c r="AC131" s="41"/>
      <c r="AD131" s="41"/>
      <c r="AE131" s="14" t="s">
        <v>243</v>
      </c>
    </row>
    <row r="132" spans="1:3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8.3699999999999997E-2</v>
      </c>
      <c r="AB132" s="23"/>
      <c r="AC132" s="41"/>
      <c r="AD132" s="41"/>
      <c r="AE132" s="14">
        <v>0.32</v>
      </c>
    </row>
    <row r="133" spans="1:3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8.3699999999999997E-2</v>
      </c>
      <c r="AB133" s="23"/>
      <c r="AC133" s="41"/>
      <c r="AD133" s="41"/>
      <c r="AE133" s="14">
        <v>0</v>
      </c>
    </row>
    <row r="134" spans="1:3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8.3699999999999997E-2</v>
      </c>
      <c r="AB134" s="23"/>
      <c r="AC134" s="41"/>
      <c r="AD134" s="41"/>
      <c r="AE134" s="14">
        <v>7.0000000000000007E-2</v>
      </c>
    </row>
    <row r="135" spans="1:3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8.3699999999999997E-2</v>
      </c>
      <c r="AB135" s="23"/>
      <c r="AC135" s="41"/>
      <c r="AD135" s="41"/>
      <c r="AE135" s="14">
        <v>7.0000000000000007E-2</v>
      </c>
    </row>
    <row r="136" spans="1:3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8.3699999999999997E-2</v>
      </c>
      <c r="AB136" s="23"/>
      <c r="AC136" s="41"/>
      <c r="AD136" s="41"/>
      <c r="AE136" s="14">
        <v>0</v>
      </c>
    </row>
    <row r="137" spans="1:3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8.3699999999999997E-2</v>
      </c>
      <c r="AB137" s="23"/>
      <c r="AC137" s="41"/>
      <c r="AD137" s="41"/>
      <c r="AE137" s="14">
        <v>0.42</v>
      </c>
    </row>
    <row r="138" spans="1:3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8.3699999999999997E-2</v>
      </c>
      <c r="AB138" s="23"/>
      <c r="AC138" s="41"/>
      <c r="AD138" s="41"/>
      <c r="AE138" s="14">
        <v>0.42</v>
      </c>
    </row>
    <row r="139" spans="1:3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8.3699999999999997E-2</v>
      </c>
      <c r="AB139" s="23"/>
      <c r="AC139" s="41"/>
      <c r="AD139" s="41"/>
      <c r="AE139" s="14">
        <v>0.42</v>
      </c>
    </row>
    <row r="140" spans="1:3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8.3699999999999997E-2</v>
      </c>
      <c r="AB140" s="23"/>
      <c r="AC140" s="41"/>
      <c r="AD140" s="41"/>
      <c r="AE140" s="14">
        <v>0</v>
      </c>
    </row>
    <row r="141" spans="1:3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8.3699999999999997E-2</v>
      </c>
      <c r="AB141" s="23"/>
      <c r="AC141" s="41"/>
      <c r="AD141" s="41"/>
      <c r="AE141" s="14">
        <v>0.22</v>
      </c>
    </row>
    <row r="142" spans="1:3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8.3699999999999997E-2</v>
      </c>
      <c r="AB142" s="23"/>
      <c r="AC142" s="41"/>
      <c r="AD142" s="41"/>
      <c r="AE142" s="14">
        <v>0.42</v>
      </c>
    </row>
    <row r="143" spans="1:3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8.3699999999999997E-2</v>
      </c>
      <c r="AB143" s="23"/>
      <c r="AC143" s="41"/>
      <c r="AD143" s="41"/>
      <c r="AE143" s="14">
        <v>0.14000000000000001</v>
      </c>
    </row>
    <row r="144" spans="1:3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0.1038</v>
      </c>
      <c r="AB144" s="23"/>
      <c r="AC144" s="41"/>
      <c r="AD144" s="41"/>
      <c r="AE144" s="10">
        <v>0.42</v>
      </c>
    </row>
    <row r="145" spans="1:3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0.1038</v>
      </c>
      <c r="AB145" s="23"/>
      <c r="AC145" s="41"/>
      <c r="AD145" s="41"/>
      <c r="AE145" s="14">
        <v>0.42</v>
      </c>
    </row>
    <row r="146" spans="1:3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0.1038</v>
      </c>
      <c r="AB146" s="23"/>
      <c r="AC146" s="41"/>
      <c r="AD146" s="41"/>
      <c r="AE146" s="14">
        <v>0.42</v>
      </c>
    </row>
    <row r="147" spans="1:3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0.1038</v>
      </c>
      <c r="AB147" s="23"/>
      <c r="AC147" s="41"/>
      <c r="AD147" s="41"/>
      <c r="AE147" s="14">
        <v>0.42</v>
      </c>
    </row>
    <row r="148" spans="1:3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0.1038</v>
      </c>
      <c r="AB148" s="23"/>
      <c r="AC148" s="41"/>
      <c r="AD148" s="41"/>
      <c r="AE148" s="14" t="s">
        <v>95</v>
      </c>
    </row>
    <row r="149" spans="1:3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0.1038</v>
      </c>
      <c r="AB149" s="23"/>
      <c r="AC149" s="41"/>
      <c r="AD149" s="41"/>
      <c r="AE149" s="14">
        <v>0.42</v>
      </c>
    </row>
    <row r="150" spans="1:3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0.1038</v>
      </c>
      <c r="AB150" s="23"/>
      <c r="AC150" s="41"/>
      <c r="AD150" s="41"/>
      <c r="AE150" s="14" t="s">
        <v>95</v>
      </c>
    </row>
    <row r="151" spans="1:3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0.1038</v>
      </c>
      <c r="AB151" s="23"/>
      <c r="AC151" s="41"/>
      <c r="AD151" s="41"/>
      <c r="AE151" s="14" t="s">
        <v>95</v>
      </c>
    </row>
    <row r="152" spans="1:3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0.1038</v>
      </c>
      <c r="AB152" s="23"/>
      <c r="AC152" s="41"/>
      <c r="AD152" s="41"/>
      <c r="AE152" s="14">
        <v>0.42</v>
      </c>
    </row>
    <row r="153" spans="1:3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0.1038</v>
      </c>
      <c r="AB153" s="23"/>
      <c r="AC153" s="41"/>
      <c r="AD153" s="41"/>
      <c r="AE153" s="14">
        <v>0.42</v>
      </c>
    </row>
    <row r="154" spans="1:3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0.1038</v>
      </c>
      <c r="AB154" s="23"/>
      <c r="AC154" s="41"/>
      <c r="AD154" s="41"/>
      <c r="AE154" s="14">
        <v>0.42</v>
      </c>
    </row>
    <row r="155" spans="1:3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0.1038</v>
      </c>
      <c r="AB155" s="23"/>
      <c r="AC155" s="41"/>
      <c r="AD155" s="41"/>
      <c r="AE155" s="14">
        <v>0.42</v>
      </c>
    </row>
    <row r="156" spans="1:3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0.1038</v>
      </c>
      <c r="AB156" s="23"/>
      <c r="AC156" s="41"/>
      <c r="AD156" s="41"/>
      <c r="AE156" s="14">
        <v>0.42</v>
      </c>
    </row>
    <row r="157" spans="1:3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0.1038</v>
      </c>
      <c r="AB157" s="23"/>
      <c r="AC157" s="41"/>
      <c r="AD157" s="41"/>
      <c r="AE157" s="14">
        <v>0.42</v>
      </c>
    </row>
    <row r="158" spans="1:3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0.1038</v>
      </c>
      <c r="AB158" s="23"/>
      <c r="AC158" s="41"/>
      <c r="AD158" s="41"/>
      <c r="AE158" s="14">
        <v>0.42</v>
      </c>
    </row>
    <row r="159" spans="1:3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0.1038</v>
      </c>
      <c r="AB159" s="23"/>
      <c r="AC159" s="41"/>
      <c r="AD159" s="41"/>
      <c r="AE159" s="14">
        <v>0.42</v>
      </c>
    </row>
    <row r="160" spans="1:3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0.1038</v>
      </c>
      <c r="AB160" s="23"/>
      <c r="AC160" s="41"/>
      <c r="AD160" s="41"/>
      <c r="AE160" s="14">
        <v>0.42</v>
      </c>
    </row>
    <row r="161" spans="1:3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0.1038</v>
      </c>
      <c r="AB161" s="23"/>
      <c r="AC161" s="41"/>
      <c r="AD161" s="41"/>
      <c r="AE161" s="14">
        <v>0.42</v>
      </c>
    </row>
    <row r="162" spans="1:3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0.1038</v>
      </c>
      <c r="AB162" s="23"/>
      <c r="AC162" s="41"/>
      <c r="AD162" s="41"/>
      <c r="AE162" s="14">
        <v>0.42</v>
      </c>
    </row>
    <row r="163" spans="1:3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0.1038</v>
      </c>
      <c r="AB163" s="23"/>
      <c r="AC163" s="41"/>
      <c r="AD163" s="41"/>
      <c r="AE163" s="14">
        <v>0</v>
      </c>
    </row>
    <row r="164" spans="1:3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0.1038</v>
      </c>
      <c r="AB164" s="23"/>
      <c r="AC164" s="41"/>
      <c r="AD164" s="41"/>
      <c r="AE164" s="14">
        <v>0.42</v>
      </c>
    </row>
    <row r="165" spans="1:3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0.1038</v>
      </c>
      <c r="AB165" s="23"/>
      <c r="AC165" s="41"/>
      <c r="AD165" s="41"/>
      <c r="AE165" s="14">
        <v>0.42</v>
      </c>
    </row>
    <row r="166" spans="1:3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0.1038</v>
      </c>
      <c r="AB166" s="23"/>
      <c r="AC166" s="41"/>
      <c r="AD166" s="41"/>
      <c r="AE166" s="14">
        <v>0.42</v>
      </c>
    </row>
    <row r="167" spans="1:3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0.1038</v>
      </c>
      <c r="AB167" s="23"/>
      <c r="AC167" s="41"/>
      <c r="AD167" s="41"/>
      <c r="AE167" s="14" t="s">
        <v>95</v>
      </c>
    </row>
    <row r="168" spans="1:3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0.1038</v>
      </c>
      <c r="AB168" s="23"/>
      <c r="AC168" s="41"/>
      <c r="AD168" s="41"/>
      <c r="AE168" s="14">
        <v>0.42</v>
      </c>
    </row>
    <row r="169" spans="1:3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0.1038</v>
      </c>
      <c r="AB169" s="23"/>
      <c r="AC169" s="41"/>
      <c r="AD169" s="41"/>
      <c r="AE169" s="14">
        <v>0.42</v>
      </c>
    </row>
    <row r="170" spans="1:3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0.1038</v>
      </c>
      <c r="AB170" s="23"/>
      <c r="AC170" s="41"/>
      <c r="AD170" s="41"/>
      <c r="AE170" s="14">
        <v>0.42</v>
      </c>
    </row>
    <row r="171" spans="1:3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0.1038</v>
      </c>
      <c r="AB171" s="23"/>
      <c r="AC171" s="41"/>
      <c r="AD171" s="41"/>
      <c r="AE171" s="14">
        <v>0.42</v>
      </c>
    </row>
    <row r="172" spans="1:3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0.1038</v>
      </c>
      <c r="AB172" s="23"/>
      <c r="AC172" s="41"/>
      <c r="AD172" s="41"/>
      <c r="AE172" s="14">
        <v>0.42</v>
      </c>
    </row>
    <row r="173" spans="1:3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0.1038</v>
      </c>
      <c r="AB173" s="23"/>
      <c r="AC173" s="41"/>
      <c r="AD173" s="41"/>
      <c r="AE173" s="14">
        <v>0.42</v>
      </c>
    </row>
    <row r="174" spans="1:3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0.1038</v>
      </c>
      <c r="AB174" s="23"/>
      <c r="AC174" s="41"/>
      <c r="AD174" s="41"/>
      <c r="AE174" s="14">
        <v>0.36</v>
      </c>
    </row>
    <row r="175" spans="1:3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8.3699999999999997E-2</v>
      </c>
      <c r="AB175" s="23"/>
      <c r="AC175" s="41"/>
      <c r="AD175" s="41"/>
      <c r="AE175" s="14">
        <v>0.11</v>
      </c>
    </row>
    <row r="176" spans="1:3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8.3699999999999997E-2</v>
      </c>
      <c r="AB176" s="23"/>
      <c r="AC176" s="41"/>
      <c r="AD176" s="41"/>
      <c r="AE176" s="14">
        <v>0.42</v>
      </c>
    </row>
    <row r="177" spans="1:38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0">
        <v>8.3699999999999997E-2</v>
      </c>
      <c r="AB177" s="23"/>
      <c r="AC177" s="41"/>
      <c r="AD177" s="41"/>
      <c r="AE177" s="14" t="s">
        <v>245</v>
      </c>
    </row>
    <row r="178" spans="1:38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>
      <c r="A181" s="67">
        <v>43922</v>
      </c>
      <c r="B181" s="68" t="s">
        <v>28</v>
      </c>
      <c r="C181" s="68" t="s">
        <v>151</v>
      </c>
      <c r="D181" s="68" t="s">
        <v>152</v>
      </c>
      <c r="E181" s="68" t="s">
        <v>153</v>
      </c>
      <c r="F181" s="68" t="s">
        <v>283</v>
      </c>
      <c r="G181" s="68" t="s">
        <v>33</v>
      </c>
      <c r="H181" s="68" t="s">
        <v>34</v>
      </c>
      <c r="I181" s="68" t="s">
        <v>276</v>
      </c>
      <c r="J181" s="41" t="s">
        <v>241</v>
      </c>
      <c r="K181" s="68" t="s">
        <v>155</v>
      </c>
      <c r="L181" s="69"/>
      <c r="M181" s="70" t="s">
        <v>36</v>
      </c>
      <c r="N181" s="70" t="s">
        <v>37</v>
      </c>
      <c r="O181" s="71">
        <v>0</v>
      </c>
      <c r="P181" s="72"/>
      <c r="Q181" s="69"/>
      <c r="R181" s="20">
        <v>2956.69</v>
      </c>
      <c r="S181" s="73">
        <v>0</v>
      </c>
      <c r="T181" s="73">
        <v>0</v>
      </c>
      <c r="U181" s="73">
        <f t="shared" ref="U181:U233" si="22">R181+S181-T181</f>
        <v>2956.69</v>
      </c>
      <c r="V181" s="73">
        <f t="shared" ref="V181:V221" si="23">IF(N181="折扣",T181*O181,T181*(1+AE181)/(1+O181+AE181))</f>
        <v>0</v>
      </c>
      <c r="W181" s="69"/>
      <c r="X181" s="22">
        <f t="shared" si="18"/>
        <v>0</v>
      </c>
      <c r="Y181" s="74">
        <f>T181-V181</f>
        <v>0</v>
      </c>
      <c r="Z181" s="74">
        <f t="shared" ref="Z181:Z231" si="24">T181</f>
        <v>0</v>
      </c>
      <c r="AA181" s="75">
        <v>0.05</v>
      </c>
      <c r="AB181" s="69"/>
      <c r="AC181" s="69"/>
      <c r="AD181" s="69"/>
      <c r="AE181" s="71">
        <v>0.42</v>
      </c>
      <c r="AF181" s="73">
        <f>AI181/(1+AE181)</f>
        <v>0</v>
      </c>
      <c r="AG181" s="73"/>
      <c r="AH181" s="73">
        <f t="shared" ref="AH181:AH212" si="25">S181*AE181</f>
        <v>0</v>
      </c>
      <c r="AI181" s="73">
        <v>0</v>
      </c>
      <c r="AJ181" s="73"/>
      <c r="AK181" s="73">
        <f t="shared" ref="AK181:AK221" si="26">IF(N181="折扣",AI181*O181,AI181/(1+O181+AE181))</f>
        <v>0</v>
      </c>
    </row>
    <row r="182" spans="1:38">
      <c r="A182" s="67">
        <v>43922</v>
      </c>
      <c r="B182" s="68" t="s">
        <v>28</v>
      </c>
      <c r="C182" s="68" t="s">
        <v>57</v>
      </c>
      <c r="D182" s="68" t="s">
        <v>58</v>
      </c>
      <c r="E182" s="68" t="s">
        <v>69</v>
      </c>
      <c r="F182" s="68" t="s">
        <v>70</v>
      </c>
      <c r="G182" s="68" t="s">
        <v>33</v>
      </c>
      <c r="H182" s="68" t="s">
        <v>34</v>
      </c>
      <c r="I182" s="68" t="s">
        <v>276</v>
      </c>
      <c r="J182" s="41" t="s">
        <v>241</v>
      </c>
      <c r="K182" s="68" t="s">
        <v>69</v>
      </c>
      <c r="L182" s="69"/>
      <c r="M182" s="70" t="s">
        <v>43</v>
      </c>
      <c r="N182" s="70" t="s">
        <v>37</v>
      </c>
      <c r="O182" s="71">
        <v>0</v>
      </c>
      <c r="P182" s="72"/>
      <c r="Q182" s="69"/>
      <c r="R182" s="20">
        <v>70024.240000000005</v>
      </c>
      <c r="S182" s="73">
        <v>0</v>
      </c>
      <c r="T182" s="73">
        <v>0.88</v>
      </c>
      <c r="U182" s="73">
        <f t="shared" si="22"/>
        <v>70023.360000000001</v>
      </c>
      <c r="V182" s="73">
        <f t="shared" si="23"/>
        <v>0.88</v>
      </c>
      <c r="W182" s="69"/>
      <c r="X182" s="22">
        <f t="shared" si="18"/>
        <v>0</v>
      </c>
      <c r="Y182" s="74">
        <f t="shared" ref="Y182:Y221" si="27">T182-V182</f>
        <v>0</v>
      </c>
      <c r="Z182" s="74">
        <f t="shared" si="24"/>
        <v>0.88</v>
      </c>
      <c r="AA182" s="75">
        <v>0.05</v>
      </c>
      <c r="AB182" s="69"/>
      <c r="AC182" s="69"/>
      <c r="AD182" s="69"/>
      <c r="AE182" s="71">
        <v>0</v>
      </c>
      <c r="AF182" s="73">
        <f t="shared" ref="AF182:AF231" si="28">AI182/(1+AE182)</f>
        <v>0.88</v>
      </c>
      <c r="AG182" s="73"/>
      <c r="AH182" s="73">
        <f t="shared" si="25"/>
        <v>0</v>
      </c>
      <c r="AI182" s="73">
        <v>0.88</v>
      </c>
      <c r="AJ182" s="73"/>
      <c r="AK182" s="73">
        <f t="shared" si="26"/>
        <v>0.88</v>
      </c>
      <c r="AL182" s="57">
        <f>AK182-V182</f>
        <v>0</v>
      </c>
    </row>
    <row r="183" spans="1:38">
      <c r="A183" s="67">
        <v>43922</v>
      </c>
      <c r="B183" s="68" t="s">
        <v>28</v>
      </c>
      <c r="C183" s="68" t="s">
        <v>46</v>
      </c>
      <c r="D183" s="68" t="s">
        <v>62</v>
      </c>
      <c r="E183" s="68" t="s">
        <v>63</v>
      </c>
      <c r="F183" s="68" t="s">
        <v>64</v>
      </c>
      <c r="G183" s="68" t="s">
        <v>33</v>
      </c>
      <c r="H183" s="68" t="s">
        <v>34</v>
      </c>
      <c r="I183" s="68" t="s">
        <v>276</v>
      </c>
      <c r="J183" s="41" t="s">
        <v>241</v>
      </c>
      <c r="K183" s="68" t="s">
        <v>63</v>
      </c>
      <c r="L183" s="69"/>
      <c r="M183" s="70" t="s">
        <v>36</v>
      </c>
      <c r="N183" s="70" t="s">
        <v>37</v>
      </c>
      <c r="O183" s="71">
        <v>0</v>
      </c>
      <c r="P183" s="72"/>
      <c r="Q183" s="69"/>
      <c r="R183" s="20">
        <v>7741.65</v>
      </c>
      <c r="S183" s="73">
        <v>0</v>
      </c>
      <c r="T183" s="73">
        <v>0</v>
      </c>
      <c r="U183" s="73">
        <f t="shared" si="22"/>
        <v>7741.65</v>
      </c>
      <c r="V183" s="73">
        <f t="shared" si="23"/>
        <v>0</v>
      </c>
      <c r="W183" s="69"/>
      <c r="X183" s="22">
        <f t="shared" si="18"/>
        <v>0</v>
      </c>
      <c r="Y183" s="74">
        <f t="shared" si="27"/>
        <v>0</v>
      </c>
      <c r="Z183" s="74">
        <f t="shared" si="24"/>
        <v>0</v>
      </c>
      <c r="AA183" s="75">
        <v>0.05</v>
      </c>
      <c r="AB183" s="69"/>
      <c r="AC183" s="69"/>
      <c r="AD183" s="69"/>
      <c r="AE183" s="71">
        <v>0.42</v>
      </c>
      <c r="AF183" s="73">
        <f t="shared" si="28"/>
        <v>0</v>
      </c>
      <c r="AG183" s="73"/>
      <c r="AH183" s="73">
        <f t="shared" si="25"/>
        <v>0</v>
      </c>
      <c r="AI183" s="73">
        <v>0</v>
      </c>
      <c r="AJ183" s="73"/>
      <c r="AK183" s="73">
        <f t="shared" si="26"/>
        <v>0</v>
      </c>
    </row>
    <row r="184" spans="1:38">
      <c r="A184" s="67">
        <v>43922</v>
      </c>
      <c r="B184" s="68" t="s">
        <v>28</v>
      </c>
      <c r="C184" s="68" t="s">
        <v>46</v>
      </c>
      <c r="D184" s="68" t="s">
        <v>47</v>
      </c>
      <c r="E184" s="68" t="s">
        <v>48</v>
      </c>
      <c r="F184" s="68" t="s">
        <v>49</v>
      </c>
      <c r="G184" s="68" t="s">
        <v>33</v>
      </c>
      <c r="H184" s="68" t="s">
        <v>34</v>
      </c>
      <c r="I184" s="68" t="s">
        <v>276</v>
      </c>
      <c r="J184" s="41" t="s">
        <v>241</v>
      </c>
      <c r="K184" s="68" t="s">
        <v>48</v>
      </c>
      <c r="L184" s="69"/>
      <c r="M184" s="70" t="s">
        <v>43</v>
      </c>
      <c r="N184" s="70" t="s">
        <v>37</v>
      </c>
      <c r="O184" s="71">
        <v>0</v>
      </c>
      <c r="P184" s="72"/>
      <c r="Q184" s="69"/>
      <c r="R184" s="20">
        <v>7.0399999999990497</v>
      </c>
      <c r="S184" s="73">
        <v>0</v>
      </c>
      <c r="T184" s="73">
        <v>0</v>
      </c>
      <c r="U184" s="73">
        <f t="shared" si="22"/>
        <v>7.0399999999990497</v>
      </c>
      <c r="V184" s="73">
        <f t="shared" si="23"/>
        <v>0</v>
      </c>
      <c r="W184" s="69"/>
      <c r="X184" s="22">
        <f t="shared" si="18"/>
        <v>0</v>
      </c>
      <c r="Y184" s="74">
        <f t="shared" si="27"/>
        <v>0</v>
      </c>
      <c r="Z184" s="74">
        <f t="shared" si="24"/>
        <v>0</v>
      </c>
      <c r="AA184" s="75">
        <v>0.05</v>
      </c>
      <c r="AB184" s="69"/>
      <c r="AC184" s="69"/>
      <c r="AD184" s="69"/>
      <c r="AE184" s="71">
        <v>0</v>
      </c>
      <c r="AF184" s="73">
        <f t="shared" si="28"/>
        <v>0</v>
      </c>
      <c r="AG184" s="73"/>
      <c r="AH184" s="73">
        <f t="shared" si="25"/>
        <v>0</v>
      </c>
      <c r="AI184" s="73">
        <v>0</v>
      </c>
      <c r="AJ184" s="73"/>
      <c r="AK184" s="73">
        <f t="shared" si="26"/>
        <v>0</v>
      </c>
    </row>
    <row r="185" spans="1:38">
      <c r="A185" s="67">
        <v>43922</v>
      </c>
      <c r="B185" s="68" t="s">
        <v>28</v>
      </c>
      <c r="C185" s="68" t="s">
        <v>46</v>
      </c>
      <c r="D185" s="68" t="s">
        <v>47</v>
      </c>
      <c r="E185" s="68" t="s">
        <v>60</v>
      </c>
      <c r="F185" s="68" t="s">
        <v>61</v>
      </c>
      <c r="G185" s="68" t="s">
        <v>33</v>
      </c>
      <c r="H185" s="68" t="s">
        <v>34</v>
      </c>
      <c r="I185" s="68" t="s">
        <v>276</v>
      </c>
      <c r="J185" s="41" t="s">
        <v>241</v>
      </c>
      <c r="K185" s="68" t="s">
        <v>60</v>
      </c>
      <c r="L185" s="69"/>
      <c r="M185" s="70" t="s">
        <v>43</v>
      </c>
      <c r="N185" s="70" t="s">
        <v>50</v>
      </c>
      <c r="O185" s="71">
        <v>0.02</v>
      </c>
      <c r="P185" s="72"/>
      <c r="Q185" s="69"/>
      <c r="R185" s="20">
        <v>106099.63</v>
      </c>
      <c r="S185" s="73">
        <v>0</v>
      </c>
      <c r="T185" s="73">
        <v>0</v>
      </c>
      <c r="U185" s="73">
        <f t="shared" si="22"/>
        <v>106099.63</v>
      </c>
      <c r="V185" s="73">
        <f t="shared" si="23"/>
        <v>0</v>
      </c>
      <c r="W185" s="69"/>
      <c r="X185" s="22">
        <f t="shared" si="18"/>
        <v>0</v>
      </c>
      <c r="Y185" s="74">
        <f t="shared" si="27"/>
        <v>0</v>
      </c>
      <c r="Z185" s="74">
        <f t="shared" si="24"/>
        <v>0</v>
      </c>
      <c r="AA185" s="75">
        <v>0.05</v>
      </c>
      <c r="AB185" s="69"/>
      <c r="AC185" s="69"/>
      <c r="AD185" s="69"/>
      <c r="AE185" s="71">
        <v>0.42</v>
      </c>
      <c r="AF185" s="73">
        <f t="shared" si="28"/>
        <v>0</v>
      </c>
      <c r="AG185" s="73"/>
      <c r="AH185" s="73">
        <f t="shared" si="25"/>
        <v>0</v>
      </c>
      <c r="AI185" s="73">
        <v>0</v>
      </c>
      <c r="AJ185" s="73"/>
      <c r="AK185" s="73">
        <f t="shared" si="26"/>
        <v>0</v>
      </c>
    </row>
    <row r="186" spans="1:38">
      <c r="A186" s="67">
        <v>43922</v>
      </c>
      <c r="B186" s="68" t="s">
        <v>28</v>
      </c>
      <c r="C186" s="68" t="s">
        <v>29</v>
      </c>
      <c r="D186" s="68" t="s">
        <v>79</v>
      </c>
      <c r="E186" s="68" t="s">
        <v>80</v>
      </c>
      <c r="F186" s="68" t="s">
        <v>81</v>
      </c>
      <c r="G186" s="68" t="s">
        <v>33</v>
      </c>
      <c r="H186" s="68" t="s">
        <v>34</v>
      </c>
      <c r="I186" s="68" t="s">
        <v>276</v>
      </c>
      <c r="J186" s="41" t="s">
        <v>241</v>
      </c>
      <c r="K186" s="68" t="s">
        <v>82</v>
      </c>
      <c r="L186" s="69"/>
      <c r="M186" s="70" t="s">
        <v>83</v>
      </c>
      <c r="N186" s="70" t="s">
        <v>50</v>
      </c>
      <c r="O186" s="71">
        <v>0.18</v>
      </c>
      <c r="P186" s="72"/>
      <c r="Q186" s="69"/>
      <c r="R186" s="20">
        <v>131941.95000000001</v>
      </c>
      <c r="S186" s="73">
        <v>0</v>
      </c>
      <c r="T186" s="73">
        <v>0</v>
      </c>
      <c r="U186" s="73">
        <f t="shared" si="22"/>
        <v>131941.95000000001</v>
      </c>
      <c r="V186" s="73">
        <f t="shared" si="23"/>
        <v>0</v>
      </c>
      <c r="W186" s="69"/>
      <c r="X186" s="22">
        <f t="shared" si="18"/>
        <v>0</v>
      </c>
      <c r="Y186" s="74">
        <f t="shared" si="27"/>
        <v>0</v>
      </c>
      <c r="Z186" s="74">
        <f t="shared" si="24"/>
        <v>0</v>
      </c>
      <c r="AA186" s="75">
        <v>0.05</v>
      </c>
      <c r="AB186" s="69"/>
      <c r="AC186" s="69"/>
      <c r="AD186" s="69"/>
      <c r="AE186" s="10">
        <v>0.42</v>
      </c>
      <c r="AF186" s="73">
        <f t="shared" si="28"/>
        <v>0</v>
      </c>
      <c r="AG186" s="73"/>
      <c r="AH186" s="73">
        <f t="shared" si="25"/>
        <v>0</v>
      </c>
      <c r="AI186" s="73">
        <v>0</v>
      </c>
      <c r="AJ186" s="73"/>
      <c r="AK186" s="73">
        <f t="shared" si="26"/>
        <v>0</v>
      </c>
    </row>
    <row r="187" spans="1:38">
      <c r="A187" s="67">
        <v>43922</v>
      </c>
      <c r="B187" s="68" t="s">
        <v>28</v>
      </c>
      <c r="C187" s="68" t="s">
        <v>29</v>
      </c>
      <c r="D187" s="68" t="s">
        <v>30</v>
      </c>
      <c r="E187" s="68" t="s">
        <v>31</v>
      </c>
      <c r="F187" s="68" t="s">
        <v>32</v>
      </c>
      <c r="G187" s="68" t="s">
        <v>33</v>
      </c>
      <c r="H187" s="68" t="s">
        <v>34</v>
      </c>
      <c r="I187" s="68" t="s">
        <v>276</v>
      </c>
      <c r="J187" s="41" t="s">
        <v>241</v>
      </c>
      <c r="K187" s="68" t="s">
        <v>31</v>
      </c>
      <c r="L187" s="69"/>
      <c r="M187" s="70" t="s">
        <v>43</v>
      </c>
      <c r="N187" s="70" t="s">
        <v>50</v>
      </c>
      <c r="O187" s="71">
        <v>0.03</v>
      </c>
      <c r="P187" s="72"/>
      <c r="Q187" s="69"/>
      <c r="R187" s="20">
        <v>15901.84</v>
      </c>
      <c r="S187" s="73">
        <v>0</v>
      </c>
      <c r="T187" s="73">
        <v>0</v>
      </c>
      <c r="U187" s="73">
        <f t="shared" si="22"/>
        <v>15901.84</v>
      </c>
      <c r="V187" s="73">
        <f t="shared" si="23"/>
        <v>0</v>
      </c>
      <c r="W187" s="69"/>
      <c r="X187" s="22">
        <f t="shared" si="18"/>
        <v>0</v>
      </c>
      <c r="Y187" s="74">
        <f t="shared" si="27"/>
        <v>0</v>
      </c>
      <c r="Z187" s="74">
        <f t="shared" si="24"/>
        <v>0</v>
      </c>
      <c r="AA187" s="75">
        <v>0.05</v>
      </c>
      <c r="AB187" s="69"/>
      <c r="AC187" s="69"/>
      <c r="AD187" s="69"/>
      <c r="AE187" s="71">
        <v>7.0000000000000007E-2</v>
      </c>
      <c r="AF187" s="73">
        <f t="shared" si="28"/>
        <v>0</v>
      </c>
      <c r="AG187" s="73"/>
      <c r="AH187" s="73">
        <f t="shared" si="25"/>
        <v>0</v>
      </c>
      <c r="AI187" s="73">
        <v>0</v>
      </c>
      <c r="AJ187" s="73"/>
      <c r="AK187" s="73">
        <f t="shared" si="26"/>
        <v>0</v>
      </c>
    </row>
    <row r="188" spans="1:38">
      <c r="A188" s="67">
        <v>43922</v>
      </c>
      <c r="B188" s="68" t="s">
        <v>28</v>
      </c>
      <c r="C188" s="68" t="s">
        <v>29</v>
      </c>
      <c r="D188" s="68" t="s">
        <v>30</v>
      </c>
      <c r="E188" s="68" t="s">
        <v>31</v>
      </c>
      <c r="F188" s="68" t="s">
        <v>32</v>
      </c>
      <c r="G188" s="68" t="s">
        <v>33</v>
      </c>
      <c r="H188" s="68" t="s">
        <v>34</v>
      </c>
      <c r="I188" s="68" t="s">
        <v>276</v>
      </c>
      <c r="J188" s="41" t="s">
        <v>241</v>
      </c>
      <c r="K188" s="68" t="s">
        <v>31</v>
      </c>
      <c r="L188" s="69"/>
      <c r="M188" s="70" t="s">
        <v>36</v>
      </c>
      <c r="N188" s="70" t="s">
        <v>50</v>
      </c>
      <c r="O188" s="71">
        <v>0.03</v>
      </c>
      <c r="P188" s="72"/>
      <c r="Q188" s="69"/>
      <c r="R188" s="20">
        <v>2375.20999999992</v>
      </c>
      <c r="S188" s="73">
        <v>0</v>
      </c>
      <c r="T188" s="73">
        <v>0</v>
      </c>
      <c r="U188" s="73">
        <f t="shared" si="22"/>
        <v>2375.20999999992</v>
      </c>
      <c r="V188" s="73">
        <f t="shared" si="23"/>
        <v>0</v>
      </c>
      <c r="W188" s="69"/>
      <c r="X188" s="22">
        <f t="shared" si="18"/>
        <v>0</v>
      </c>
      <c r="Y188" s="74">
        <f t="shared" si="27"/>
        <v>0</v>
      </c>
      <c r="Z188" s="74">
        <f t="shared" si="24"/>
        <v>0</v>
      </c>
      <c r="AA188" s="75">
        <v>0.05</v>
      </c>
      <c r="AB188" s="69"/>
      <c r="AC188" s="69"/>
      <c r="AD188" s="69"/>
      <c r="AE188" s="71">
        <v>7.0000000000000007E-2</v>
      </c>
      <c r="AF188" s="73">
        <f t="shared" si="28"/>
        <v>0</v>
      </c>
      <c r="AG188" s="73"/>
      <c r="AH188" s="73">
        <f t="shared" si="25"/>
        <v>0</v>
      </c>
      <c r="AI188" s="73">
        <v>0</v>
      </c>
      <c r="AJ188" s="73"/>
      <c r="AK188" s="73">
        <f t="shared" si="26"/>
        <v>0</v>
      </c>
    </row>
    <row r="189" spans="1:38">
      <c r="A189" s="67">
        <v>43922</v>
      </c>
      <c r="B189" s="68" t="s">
        <v>28</v>
      </c>
      <c r="C189" s="68" t="s">
        <v>39</v>
      </c>
      <c r="D189" s="68" t="s">
        <v>74</v>
      </c>
      <c r="E189" s="68" t="s">
        <v>75</v>
      </c>
      <c r="F189" s="68" t="s">
        <v>76</v>
      </c>
      <c r="G189" s="68" t="s">
        <v>33</v>
      </c>
      <c r="H189" s="68" t="s">
        <v>34</v>
      </c>
      <c r="I189" s="68" t="s">
        <v>276</v>
      </c>
      <c r="J189" s="41" t="s">
        <v>241</v>
      </c>
      <c r="K189" s="68" t="s">
        <v>77</v>
      </c>
      <c r="L189" s="69"/>
      <c r="M189" s="70" t="s">
        <v>36</v>
      </c>
      <c r="N189" s="70" t="s">
        <v>50</v>
      </c>
      <c r="O189" s="71">
        <v>0.05</v>
      </c>
      <c r="P189" s="72"/>
      <c r="Q189" s="69"/>
      <c r="R189" s="20">
        <v>1766.24</v>
      </c>
      <c r="S189" s="73">
        <v>0</v>
      </c>
      <c r="T189" s="73">
        <v>0</v>
      </c>
      <c r="U189" s="73">
        <f t="shared" si="22"/>
        <v>1766.24</v>
      </c>
      <c r="V189" s="73">
        <f t="shared" si="23"/>
        <v>0</v>
      </c>
      <c r="W189" s="69"/>
      <c r="X189" s="22">
        <f t="shared" si="18"/>
        <v>0</v>
      </c>
      <c r="Y189" s="74">
        <f t="shared" si="27"/>
        <v>0</v>
      </c>
      <c r="Z189" s="74">
        <f t="shared" si="24"/>
        <v>0</v>
      </c>
      <c r="AA189" s="75">
        <v>0.05</v>
      </c>
      <c r="AB189" s="69"/>
      <c r="AC189" s="69"/>
      <c r="AD189" s="69"/>
      <c r="AE189" s="71">
        <v>0.42</v>
      </c>
      <c r="AF189" s="73">
        <f t="shared" si="28"/>
        <v>0</v>
      </c>
      <c r="AG189" s="73"/>
      <c r="AH189" s="73">
        <f t="shared" si="25"/>
        <v>0</v>
      </c>
      <c r="AI189" s="73">
        <v>0</v>
      </c>
      <c r="AJ189" s="73"/>
      <c r="AK189" s="73">
        <f t="shared" si="26"/>
        <v>0</v>
      </c>
    </row>
    <row r="190" spans="1:38">
      <c r="A190" s="67">
        <v>43922</v>
      </c>
      <c r="B190" s="68" t="s">
        <v>28</v>
      </c>
      <c r="C190" s="68" t="s">
        <v>85</v>
      </c>
      <c r="D190" s="68" t="s">
        <v>86</v>
      </c>
      <c r="E190" s="68" t="s">
        <v>87</v>
      </c>
      <c r="F190" s="68" t="s">
        <v>88</v>
      </c>
      <c r="G190" s="68" t="s">
        <v>33</v>
      </c>
      <c r="H190" s="68" t="s">
        <v>34</v>
      </c>
      <c r="I190" s="68" t="s">
        <v>276</v>
      </c>
      <c r="J190" s="41" t="s">
        <v>241</v>
      </c>
      <c r="K190" s="68" t="s">
        <v>82</v>
      </c>
      <c r="L190" s="69"/>
      <c r="M190" s="70" t="s">
        <v>83</v>
      </c>
      <c r="N190" s="70" t="s">
        <v>50</v>
      </c>
      <c r="O190" s="71">
        <v>0.18</v>
      </c>
      <c r="P190" s="72"/>
      <c r="Q190" s="69"/>
      <c r="R190" s="20">
        <v>8102.9149295775096</v>
      </c>
      <c r="S190" s="73">
        <v>0</v>
      </c>
      <c r="T190" s="73">
        <v>0</v>
      </c>
      <c r="U190" s="73">
        <f t="shared" si="22"/>
        <v>8102.9149295775096</v>
      </c>
      <c r="V190" s="73">
        <f t="shared" si="23"/>
        <v>0</v>
      </c>
      <c r="W190" s="69"/>
      <c r="X190" s="22">
        <f t="shared" si="18"/>
        <v>0</v>
      </c>
      <c r="Y190" s="74">
        <f t="shared" si="27"/>
        <v>0</v>
      </c>
      <c r="Z190" s="74">
        <f t="shared" si="24"/>
        <v>0</v>
      </c>
      <c r="AA190" s="75">
        <v>0.05</v>
      </c>
      <c r="AB190" s="69"/>
      <c r="AC190" s="69"/>
      <c r="AD190" s="69"/>
      <c r="AE190" s="71">
        <v>0.42</v>
      </c>
      <c r="AF190" s="73">
        <f t="shared" si="28"/>
        <v>0</v>
      </c>
      <c r="AG190" s="73"/>
      <c r="AH190" s="73">
        <f t="shared" si="25"/>
        <v>0</v>
      </c>
      <c r="AI190" s="73">
        <v>0</v>
      </c>
      <c r="AJ190" s="73"/>
      <c r="AK190" s="73">
        <f t="shared" si="26"/>
        <v>0</v>
      </c>
    </row>
    <row r="191" spans="1:38">
      <c r="A191" s="67">
        <v>43922</v>
      </c>
      <c r="B191" s="68" t="s">
        <v>28</v>
      </c>
      <c r="C191" s="68" t="s">
        <v>85</v>
      </c>
      <c r="D191" s="68" t="s">
        <v>86</v>
      </c>
      <c r="E191" s="68" t="s">
        <v>109</v>
      </c>
      <c r="F191" s="68" t="s">
        <v>110</v>
      </c>
      <c r="G191" s="68" t="s">
        <v>33</v>
      </c>
      <c r="H191" s="68" t="s">
        <v>34</v>
      </c>
      <c r="I191" s="68" t="s">
        <v>276</v>
      </c>
      <c r="J191" s="41" t="s">
        <v>241</v>
      </c>
      <c r="K191" s="68" t="s">
        <v>82</v>
      </c>
      <c r="L191" s="69"/>
      <c r="M191" s="70" t="s">
        <v>83</v>
      </c>
      <c r="N191" s="70" t="s">
        <v>50</v>
      </c>
      <c r="O191" s="71">
        <v>0.18</v>
      </c>
      <c r="P191" s="72"/>
      <c r="Q191" s="69"/>
      <c r="R191" s="20">
        <v>2063.5353521120301</v>
      </c>
      <c r="S191" s="73">
        <v>0</v>
      </c>
      <c r="T191" s="73">
        <v>0</v>
      </c>
      <c r="U191" s="73">
        <f t="shared" si="22"/>
        <v>2063.5353521120301</v>
      </c>
      <c r="V191" s="73">
        <f t="shared" si="23"/>
        <v>0</v>
      </c>
      <c r="W191" s="69"/>
      <c r="X191" s="22">
        <f t="shared" si="18"/>
        <v>0</v>
      </c>
      <c r="Y191" s="74">
        <f t="shared" si="27"/>
        <v>0</v>
      </c>
      <c r="Z191" s="74">
        <f t="shared" si="24"/>
        <v>0</v>
      </c>
      <c r="AA191" s="75">
        <v>0.05</v>
      </c>
      <c r="AB191" s="69"/>
      <c r="AC191" s="69"/>
      <c r="AD191" s="69"/>
      <c r="AE191" s="71">
        <v>0.42</v>
      </c>
      <c r="AF191" s="73">
        <f t="shared" si="28"/>
        <v>0</v>
      </c>
      <c r="AG191" s="73"/>
      <c r="AH191" s="73">
        <f t="shared" si="25"/>
        <v>0</v>
      </c>
      <c r="AI191" s="73">
        <v>0</v>
      </c>
      <c r="AJ191" s="73"/>
      <c r="AK191" s="73">
        <f t="shared" si="26"/>
        <v>0</v>
      </c>
    </row>
    <row r="192" spans="1:38">
      <c r="A192" s="67">
        <v>43922</v>
      </c>
      <c r="B192" s="68" t="s">
        <v>28</v>
      </c>
      <c r="C192" s="68" t="s">
        <v>85</v>
      </c>
      <c r="D192" s="68" t="s">
        <v>86</v>
      </c>
      <c r="E192" s="68" t="s">
        <v>89</v>
      </c>
      <c r="F192" s="68" t="s">
        <v>90</v>
      </c>
      <c r="G192" s="68" t="s">
        <v>33</v>
      </c>
      <c r="H192" s="68" t="s">
        <v>34</v>
      </c>
      <c r="I192" s="68" t="s">
        <v>276</v>
      </c>
      <c r="J192" s="41" t="s">
        <v>241</v>
      </c>
      <c r="K192" s="68" t="s">
        <v>82</v>
      </c>
      <c r="L192" s="69"/>
      <c r="M192" s="70" t="s">
        <v>83</v>
      </c>
      <c r="N192" s="70" t="s">
        <v>50</v>
      </c>
      <c r="O192" s="71">
        <v>0.03</v>
      </c>
      <c r="P192" s="72"/>
      <c r="Q192" s="69"/>
      <c r="R192" s="20">
        <v>655.37999999978604</v>
      </c>
      <c r="S192" s="73">
        <v>0</v>
      </c>
      <c r="T192" s="73">
        <v>0</v>
      </c>
      <c r="U192" s="73">
        <f t="shared" si="22"/>
        <v>655.37999999978604</v>
      </c>
      <c r="V192" s="73">
        <f t="shared" si="23"/>
        <v>0</v>
      </c>
      <c r="W192" s="69"/>
      <c r="X192" s="22">
        <f t="shared" si="18"/>
        <v>0</v>
      </c>
      <c r="Y192" s="74">
        <f t="shared" si="27"/>
        <v>0</v>
      </c>
      <c r="Z192" s="74">
        <f t="shared" si="24"/>
        <v>0</v>
      </c>
      <c r="AA192" s="75">
        <v>0.05</v>
      </c>
      <c r="AB192" s="69"/>
      <c r="AC192" s="69"/>
      <c r="AD192" s="69"/>
      <c r="AE192" s="71">
        <v>0.42</v>
      </c>
      <c r="AF192" s="73">
        <f t="shared" si="28"/>
        <v>0</v>
      </c>
      <c r="AG192" s="73"/>
      <c r="AH192" s="73">
        <f t="shared" si="25"/>
        <v>0</v>
      </c>
      <c r="AI192" s="73">
        <v>0</v>
      </c>
      <c r="AJ192" s="73"/>
      <c r="AK192" s="73">
        <f t="shared" si="26"/>
        <v>0</v>
      </c>
    </row>
    <row r="193" spans="1:37">
      <c r="A193" s="67">
        <v>43922</v>
      </c>
      <c r="B193" s="68" t="s">
        <v>28</v>
      </c>
      <c r="C193" s="68" t="s">
        <v>85</v>
      </c>
      <c r="D193" s="68" t="s">
        <v>86</v>
      </c>
      <c r="E193" s="68" t="s">
        <v>91</v>
      </c>
      <c r="F193" s="68" t="s">
        <v>92</v>
      </c>
      <c r="G193" s="68" t="s">
        <v>33</v>
      </c>
      <c r="H193" s="68" t="s">
        <v>34</v>
      </c>
      <c r="I193" s="68" t="s">
        <v>276</v>
      </c>
      <c r="J193" s="41" t="s">
        <v>241</v>
      </c>
      <c r="K193" s="68" t="s">
        <v>82</v>
      </c>
      <c r="L193" s="69"/>
      <c r="M193" s="70" t="s">
        <v>83</v>
      </c>
      <c r="N193" s="70" t="s">
        <v>50</v>
      </c>
      <c r="O193" s="71">
        <v>0.22</v>
      </c>
      <c r="P193" s="72"/>
      <c r="Q193" s="69"/>
      <c r="R193" s="20">
        <v>354.84000000002561</v>
      </c>
      <c r="S193" s="73">
        <v>0</v>
      </c>
      <c r="T193" s="73">
        <v>0</v>
      </c>
      <c r="U193" s="73">
        <f t="shared" si="22"/>
        <v>354.84000000002561</v>
      </c>
      <c r="V193" s="73">
        <f t="shared" si="23"/>
        <v>0</v>
      </c>
      <c r="W193" s="69"/>
      <c r="X193" s="22">
        <f t="shared" si="18"/>
        <v>0</v>
      </c>
      <c r="Y193" s="74">
        <f t="shared" si="27"/>
        <v>0</v>
      </c>
      <c r="Z193" s="74">
        <f t="shared" si="24"/>
        <v>0</v>
      </c>
      <c r="AA193" s="75">
        <v>0.05</v>
      </c>
      <c r="AB193" s="69"/>
      <c r="AC193" s="69"/>
      <c r="AD193" s="69"/>
      <c r="AE193" s="71">
        <v>0.42</v>
      </c>
      <c r="AF193" s="73">
        <f t="shared" si="28"/>
        <v>0</v>
      </c>
      <c r="AG193" s="73"/>
      <c r="AH193" s="73">
        <f t="shared" si="25"/>
        <v>0</v>
      </c>
      <c r="AI193" s="73">
        <v>0</v>
      </c>
      <c r="AJ193" s="73"/>
      <c r="AK193" s="73">
        <f t="shared" si="26"/>
        <v>0</v>
      </c>
    </row>
    <row r="194" spans="1:37">
      <c r="A194" s="67">
        <v>43922</v>
      </c>
      <c r="B194" s="68" t="s">
        <v>28</v>
      </c>
      <c r="C194" s="68" t="s">
        <v>85</v>
      </c>
      <c r="D194" s="68" t="s">
        <v>86</v>
      </c>
      <c r="E194" s="68" t="s">
        <v>93</v>
      </c>
      <c r="F194" s="68" t="s">
        <v>94</v>
      </c>
      <c r="G194" s="68" t="s">
        <v>33</v>
      </c>
      <c r="H194" s="68" t="s">
        <v>34</v>
      </c>
      <c r="I194" s="68" t="s">
        <v>276</v>
      </c>
      <c r="J194" s="41" t="s">
        <v>241</v>
      </c>
      <c r="K194" s="68" t="s">
        <v>82</v>
      </c>
      <c r="L194" s="69"/>
      <c r="M194" s="70" t="s">
        <v>83</v>
      </c>
      <c r="N194" s="70" t="s">
        <v>50</v>
      </c>
      <c r="O194" s="71">
        <v>0.08</v>
      </c>
      <c r="P194" s="72"/>
      <c r="Q194" s="69"/>
      <c r="R194" s="20">
        <v>0</v>
      </c>
      <c r="S194" s="73">
        <v>0</v>
      </c>
      <c r="T194" s="73">
        <v>0</v>
      </c>
      <c r="U194" s="73">
        <f t="shared" si="22"/>
        <v>0</v>
      </c>
      <c r="V194" s="73">
        <f t="shared" si="23"/>
        <v>0</v>
      </c>
      <c r="W194" s="69"/>
      <c r="X194" s="22">
        <f t="shared" si="18"/>
        <v>0</v>
      </c>
      <c r="Y194" s="74">
        <f t="shared" si="27"/>
        <v>0</v>
      </c>
      <c r="Z194" s="74">
        <f t="shared" si="24"/>
        <v>0</v>
      </c>
      <c r="AA194" s="75">
        <v>0.05</v>
      </c>
      <c r="AB194" s="69"/>
      <c r="AC194" s="69"/>
      <c r="AD194" s="69"/>
      <c r="AE194" s="71" t="s">
        <v>95</v>
      </c>
      <c r="AF194" s="73">
        <f t="shared" si="28"/>
        <v>0</v>
      </c>
      <c r="AG194" s="73"/>
      <c r="AH194" s="73">
        <f t="shared" si="25"/>
        <v>0</v>
      </c>
      <c r="AI194" s="73">
        <v>0</v>
      </c>
      <c r="AJ194" s="73"/>
      <c r="AK194" s="73">
        <f t="shared" si="26"/>
        <v>0</v>
      </c>
    </row>
    <row r="195" spans="1:37">
      <c r="A195" s="67">
        <v>43922</v>
      </c>
      <c r="B195" s="68" t="s">
        <v>28</v>
      </c>
      <c r="C195" s="68" t="s">
        <v>85</v>
      </c>
      <c r="D195" s="68" t="s">
        <v>86</v>
      </c>
      <c r="E195" s="68" t="s">
        <v>96</v>
      </c>
      <c r="F195" s="68" t="s">
        <v>97</v>
      </c>
      <c r="G195" s="68" t="s">
        <v>33</v>
      </c>
      <c r="H195" s="68" t="s">
        <v>34</v>
      </c>
      <c r="I195" s="68" t="s">
        <v>276</v>
      </c>
      <c r="J195" s="41" t="s">
        <v>241</v>
      </c>
      <c r="K195" s="68" t="s">
        <v>82</v>
      </c>
      <c r="L195" s="69"/>
      <c r="M195" s="70" t="s">
        <v>83</v>
      </c>
      <c r="N195" s="70" t="s">
        <v>50</v>
      </c>
      <c r="O195" s="71">
        <v>0.04</v>
      </c>
      <c r="P195" s="72"/>
      <c r="Q195" s="69"/>
      <c r="R195" s="20">
        <v>227.30774647876399</v>
      </c>
      <c r="S195" s="73">
        <v>0</v>
      </c>
      <c r="T195" s="73">
        <v>0</v>
      </c>
      <c r="U195" s="73">
        <f t="shared" si="22"/>
        <v>227.30774647876399</v>
      </c>
      <c r="V195" s="73">
        <f t="shared" si="23"/>
        <v>0</v>
      </c>
      <c r="W195" s="69"/>
      <c r="X195" s="22">
        <f t="shared" ref="X195:X236" si="29">IF(V195-Z195&lt;0,0,IF(N195="返现",MAX(V195-Y195-Z195,0),MAX(V195-Z195,0)))</f>
        <v>0</v>
      </c>
      <c r="Y195" s="74">
        <f t="shared" si="27"/>
        <v>0</v>
      </c>
      <c r="Z195" s="74">
        <f t="shared" si="24"/>
        <v>0</v>
      </c>
      <c r="AA195" s="75">
        <v>0.05</v>
      </c>
      <c r="AB195" s="69"/>
      <c r="AC195" s="69"/>
      <c r="AD195" s="69"/>
      <c r="AE195" s="71">
        <v>0.42</v>
      </c>
      <c r="AF195" s="73">
        <f t="shared" si="28"/>
        <v>0</v>
      </c>
      <c r="AG195" s="73"/>
      <c r="AH195" s="73">
        <f t="shared" si="25"/>
        <v>0</v>
      </c>
      <c r="AI195" s="73">
        <v>0</v>
      </c>
      <c r="AJ195" s="73"/>
      <c r="AK195" s="73">
        <f t="shared" si="26"/>
        <v>0</v>
      </c>
    </row>
    <row r="196" spans="1:37">
      <c r="A196" s="67">
        <v>43922</v>
      </c>
      <c r="B196" s="68" t="s">
        <v>28</v>
      </c>
      <c r="C196" s="68" t="s">
        <v>85</v>
      </c>
      <c r="D196" s="68" t="s">
        <v>86</v>
      </c>
      <c r="E196" s="68" t="s">
        <v>80</v>
      </c>
      <c r="F196" s="68" t="s">
        <v>98</v>
      </c>
      <c r="G196" s="68" t="s">
        <v>33</v>
      </c>
      <c r="H196" s="68" t="s">
        <v>34</v>
      </c>
      <c r="I196" s="68" t="s">
        <v>276</v>
      </c>
      <c r="J196" s="41" t="s">
        <v>241</v>
      </c>
      <c r="K196" s="68" t="s">
        <v>82</v>
      </c>
      <c r="L196" s="69"/>
      <c r="M196" s="70" t="s">
        <v>83</v>
      </c>
      <c r="N196" s="70" t="s">
        <v>50</v>
      </c>
      <c r="O196" s="71">
        <v>0.23</v>
      </c>
      <c r="P196" s="72"/>
      <c r="Q196" s="69"/>
      <c r="R196" s="20">
        <v>152.264929577999</v>
      </c>
      <c r="S196" s="73">
        <v>0</v>
      </c>
      <c r="T196" s="73">
        <v>0</v>
      </c>
      <c r="U196" s="73">
        <f t="shared" si="22"/>
        <v>152.264929577999</v>
      </c>
      <c r="V196" s="73">
        <f t="shared" si="23"/>
        <v>0</v>
      </c>
      <c r="W196" s="69"/>
      <c r="X196" s="22">
        <f t="shared" si="29"/>
        <v>0</v>
      </c>
      <c r="Y196" s="74">
        <f t="shared" si="27"/>
        <v>0</v>
      </c>
      <c r="Z196" s="74">
        <f t="shared" si="24"/>
        <v>0</v>
      </c>
      <c r="AA196" s="75">
        <v>0.05</v>
      </c>
      <c r="AB196" s="69"/>
      <c r="AC196" s="69"/>
      <c r="AD196" s="69"/>
      <c r="AE196" s="71" t="s">
        <v>95</v>
      </c>
      <c r="AF196" s="73">
        <f t="shared" si="28"/>
        <v>0</v>
      </c>
      <c r="AG196" s="73"/>
      <c r="AH196" s="73">
        <f t="shared" si="25"/>
        <v>0</v>
      </c>
      <c r="AI196" s="73">
        <v>0</v>
      </c>
      <c r="AJ196" s="73"/>
      <c r="AK196" s="73">
        <f t="shared" si="26"/>
        <v>0</v>
      </c>
    </row>
    <row r="197" spans="1:37">
      <c r="A197" s="67">
        <v>43922</v>
      </c>
      <c r="B197" s="68" t="s">
        <v>28</v>
      </c>
      <c r="C197" s="68" t="s">
        <v>85</v>
      </c>
      <c r="D197" s="68" t="s">
        <v>86</v>
      </c>
      <c r="E197" s="68" t="s">
        <v>99</v>
      </c>
      <c r="F197" s="68" t="s">
        <v>100</v>
      </c>
      <c r="G197" s="68" t="s">
        <v>33</v>
      </c>
      <c r="H197" s="68" t="s">
        <v>34</v>
      </c>
      <c r="I197" s="68" t="s">
        <v>276</v>
      </c>
      <c r="J197" s="41" t="s">
        <v>241</v>
      </c>
      <c r="K197" s="68" t="s">
        <v>82</v>
      </c>
      <c r="L197" s="69"/>
      <c r="M197" s="70" t="s">
        <v>83</v>
      </c>
      <c r="N197" s="70" t="s">
        <v>50</v>
      </c>
      <c r="O197" s="71">
        <v>0.13</v>
      </c>
      <c r="P197" s="72"/>
      <c r="Q197" s="69"/>
      <c r="R197" s="20">
        <v>-30329.470000000056</v>
      </c>
      <c r="S197" s="73">
        <v>0</v>
      </c>
      <c r="T197" s="73">
        <v>0</v>
      </c>
      <c r="U197" s="73">
        <f t="shared" si="22"/>
        <v>-30329.470000000056</v>
      </c>
      <c r="V197" s="73">
        <f t="shared" si="23"/>
        <v>0</v>
      </c>
      <c r="W197" s="69"/>
      <c r="X197" s="22">
        <f t="shared" si="29"/>
        <v>0</v>
      </c>
      <c r="Y197" s="74">
        <f t="shared" si="27"/>
        <v>0</v>
      </c>
      <c r="Z197" s="74">
        <f t="shared" si="24"/>
        <v>0</v>
      </c>
      <c r="AA197" s="75">
        <v>0.05</v>
      </c>
      <c r="AB197" s="69"/>
      <c r="AC197" s="69"/>
      <c r="AD197" s="69"/>
      <c r="AE197" s="71" t="s">
        <v>95</v>
      </c>
      <c r="AF197" s="73">
        <f t="shared" si="28"/>
        <v>0</v>
      </c>
      <c r="AG197" s="73"/>
      <c r="AH197" s="73">
        <f t="shared" si="25"/>
        <v>0</v>
      </c>
      <c r="AI197" s="73">
        <v>0</v>
      </c>
      <c r="AJ197" s="73"/>
      <c r="AK197" s="73">
        <f t="shared" si="26"/>
        <v>0</v>
      </c>
    </row>
    <row r="198" spans="1:37">
      <c r="A198" s="67">
        <v>43922</v>
      </c>
      <c r="B198" s="68" t="s">
        <v>28</v>
      </c>
      <c r="C198" s="68" t="s">
        <v>85</v>
      </c>
      <c r="D198" s="68" t="s">
        <v>86</v>
      </c>
      <c r="E198" s="68" t="s">
        <v>101</v>
      </c>
      <c r="F198" s="68" t="s">
        <v>102</v>
      </c>
      <c r="G198" s="68" t="s">
        <v>33</v>
      </c>
      <c r="H198" s="68" t="s">
        <v>34</v>
      </c>
      <c r="I198" s="68" t="s">
        <v>276</v>
      </c>
      <c r="J198" s="41" t="s">
        <v>241</v>
      </c>
      <c r="K198" s="68" t="s">
        <v>82</v>
      </c>
      <c r="L198" s="69"/>
      <c r="M198" s="70" t="s">
        <v>83</v>
      </c>
      <c r="N198" s="70" t="s">
        <v>50</v>
      </c>
      <c r="O198" s="71">
        <v>0.03</v>
      </c>
      <c r="P198" s="72"/>
      <c r="Q198" s="69"/>
      <c r="R198" s="20">
        <v>425.555211267598</v>
      </c>
      <c r="S198" s="73">
        <v>0</v>
      </c>
      <c r="T198" s="73">
        <v>0</v>
      </c>
      <c r="U198" s="73">
        <f t="shared" si="22"/>
        <v>425.555211267598</v>
      </c>
      <c r="V198" s="73">
        <f t="shared" si="23"/>
        <v>0</v>
      </c>
      <c r="W198" s="69"/>
      <c r="X198" s="22">
        <f t="shared" si="29"/>
        <v>0</v>
      </c>
      <c r="Y198" s="74">
        <f t="shared" si="27"/>
        <v>0</v>
      </c>
      <c r="Z198" s="74">
        <f t="shared" si="24"/>
        <v>0</v>
      </c>
      <c r="AA198" s="75">
        <v>0.05</v>
      </c>
      <c r="AB198" s="69"/>
      <c r="AC198" s="69"/>
      <c r="AD198" s="69"/>
      <c r="AE198" s="71">
        <v>0.42</v>
      </c>
      <c r="AF198" s="73">
        <f t="shared" si="28"/>
        <v>0</v>
      </c>
      <c r="AG198" s="73"/>
      <c r="AH198" s="73">
        <f t="shared" si="25"/>
        <v>0</v>
      </c>
      <c r="AI198" s="73">
        <v>0</v>
      </c>
      <c r="AJ198" s="73"/>
      <c r="AK198" s="73">
        <f t="shared" si="26"/>
        <v>0</v>
      </c>
    </row>
    <row r="199" spans="1:37">
      <c r="A199" s="67">
        <v>43922</v>
      </c>
      <c r="B199" s="68" t="s">
        <v>28</v>
      </c>
      <c r="C199" s="68" t="s">
        <v>85</v>
      </c>
      <c r="D199" s="68" t="s">
        <v>86</v>
      </c>
      <c r="E199" s="68" t="s">
        <v>103</v>
      </c>
      <c r="F199" s="68" t="s">
        <v>104</v>
      </c>
      <c r="G199" s="68" t="s">
        <v>33</v>
      </c>
      <c r="H199" s="68" t="s">
        <v>34</v>
      </c>
      <c r="I199" s="68" t="s">
        <v>276</v>
      </c>
      <c r="J199" s="41" t="s">
        <v>241</v>
      </c>
      <c r="K199" s="68" t="s">
        <v>82</v>
      </c>
      <c r="L199" s="69"/>
      <c r="M199" s="70" t="s">
        <v>83</v>
      </c>
      <c r="N199" s="70" t="s">
        <v>50</v>
      </c>
      <c r="O199" s="71">
        <v>0.22</v>
      </c>
      <c r="P199" s="72"/>
      <c r="Q199" s="69"/>
      <c r="R199" s="20">
        <v>1402.38690140774</v>
      </c>
      <c r="S199" s="73">
        <v>0</v>
      </c>
      <c r="T199" s="73">
        <v>0</v>
      </c>
      <c r="U199" s="73">
        <f t="shared" si="22"/>
        <v>1402.38690140774</v>
      </c>
      <c r="V199" s="73">
        <f t="shared" si="23"/>
        <v>0</v>
      </c>
      <c r="W199" s="69"/>
      <c r="X199" s="22">
        <f t="shared" si="29"/>
        <v>0</v>
      </c>
      <c r="Y199" s="74">
        <f t="shared" si="27"/>
        <v>0</v>
      </c>
      <c r="Z199" s="74">
        <f t="shared" si="24"/>
        <v>0</v>
      </c>
      <c r="AA199" s="75">
        <v>0.05</v>
      </c>
      <c r="AB199" s="69"/>
      <c r="AC199" s="69"/>
      <c r="AD199" s="69"/>
      <c r="AE199" s="71">
        <v>0.42</v>
      </c>
      <c r="AF199" s="73">
        <f t="shared" si="28"/>
        <v>0</v>
      </c>
      <c r="AG199" s="73"/>
      <c r="AH199" s="73">
        <f t="shared" si="25"/>
        <v>0</v>
      </c>
      <c r="AI199" s="73">
        <v>0</v>
      </c>
      <c r="AJ199" s="73"/>
      <c r="AK199" s="73">
        <f t="shared" si="26"/>
        <v>0</v>
      </c>
    </row>
    <row r="200" spans="1:37">
      <c r="A200" s="67">
        <v>43922</v>
      </c>
      <c r="B200" s="68" t="s">
        <v>28</v>
      </c>
      <c r="C200" s="68" t="s">
        <v>85</v>
      </c>
      <c r="D200" s="68" t="s">
        <v>86</v>
      </c>
      <c r="E200" s="68" t="s">
        <v>105</v>
      </c>
      <c r="F200" s="68" t="s">
        <v>106</v>
      </c>
      <c r="G200" s="68" t="s">
        <v>33</v>
      </c>
      <c r="H200" s="68" t="s">
        <v>34</v>
      </c>
      <c r="I200" s="68" t="s">
        <v>276</v>
      </c>
      <c r="J200" s="41" t="s">
        <v>241</v>
      </c>
      <c r="K200" s="68" t="s">
        <v>82</v>
      </c>
      <c r="L200" s="69"/>
      <c r="M200" s="70" t="s">
        <v>83</v>
      </c>
      <c r="N200" s="70" t="s">
        <v>50</v>
      </c>
      <c r="O200" s="71">
        <v>0.23</v>
      </c>
      <c r="P200" s="72"/>
      <c r="Q200" s="69"/>
      <c r="R200" s="20">
        <v>12961.68</v>
      </c>
      <c r="S200" s="73">
        <v>0</v>
      </c>
      <c r="T200" s="73">
        <v>0</v>
      </c>
      <c r="U200" s="73">
        <f t="shared" si="22"/>
        <v>12961.68</v>
      </c>
      <c r="V200" s="73">
        <f t="shared" si="23"/>
        <v>0</v>
      </c>
      <c r="W200" s="69"/>
      <c r="X200" s="22">
        <f t="shared" si="29"/>
        <v>0</v>
      </c>
      <c r="Y200" s="74">
        <f t="shared" si="27"/>
        <v>0</v>
      </c>
      <c r="Z200" s="74">
        <f t="shared" si="24"/>
        <v>0</v>
      </c>
      <c r="AA200" s="75">
        <v>0.05</v>
      </c>
      <c r="AB200" s="69"/>
      <c r="AC200" s="69"/>
      <c r="AD200" s="69"/>
      <c r="AE200" s="71">
        <v>0.42</v>
      </c>
      <c r="AF200" s="73">
        <f t="shared" si="28"/>
        <v>0</v>
      </c>
      <c r="AG200" s="73"/>
      <c r="AH200" s="73">
        <f t="shared" si="25"/>
        <v>0</v>
      </c>
      <c r="AI200" s="73">
        <v>0</v>
      </c>
      <c r="AJ200" s="73"/>
      <c r="AK200" s="73">
        <f t="shared" si="26"/>
        <v>0</v>
      </c>
    </row>
    <row r="201" spans="1:37">
      <c r="A201" s="67">
        <v>43922</v>
      </c>
      <c r="B201" s="68" t="s">
        <v>28</v>
      </c>
      <c r="C201" s="68" t="s">
        <v>85</v>
      </c>
      <c r="D201" s="68" t="s">
        <v>86</v>
      </c>
      <c r="E201" s="68" t="s">
        <v>107</v>
      </c>
      <c r="F201" s="68" t="s">
        <v>108</v>
      </c>
      <c r="G201" s="68" t="s">
        <v>33</v>
      </c>
      <c r="H201" s="68" t="s">
        <v>34</v>
      </c>
      <c r="I201" s="68" t="s">
        <v>276</v>
      </c>
      <c r="J201" s="41" t="s">
        <v>241</v>
      </c>
      <c r="K201" s="68" t="s">
        <v>82</v>
      </c>
      <c r="L201" s="69"/>
      <c r="M201" s="70" t="s">
        <v>83</v>
      </c>
      <c r="N201" s="70" t="s">
        <v>50</v>
      </c>
      <c r="O201" s="71">
        <v>0.13</v>
      </c>
      <c r="P201" s="72"/>
      <c r="Q201" s="69"/>
      <c r="R201" s="20">
        <v>143.460985915328</v>
      </c>
      <c r="S201" s="73">
        <v>0</v>
      </c>
      <c r="T201" s="73">
        <v>0</v>
      </c>
      <c r="U201" s="73">
        <f t="shared" si="22"/>
        <v>143.460985915328</v>
      </c>
      <c r="V201" s="73">
        <f t="shared" si="23"/>
        <v>0</v>
      </c>
      <c r="W201" s="69"/>
      <c r="X201" s="22">
        <f t="shared" si="29"/>
        <v>0</v>
      </c>
      <c r="Y201" s="74">
        <f t="shared" si="27"/>
        <v>0</v>
      </c>
      <c r="Z201" s="74">
        <f t="shared" si="24"/>
        <v>0</v>
      </c>
      <c r="AA201" s="75">
        <v>0.05</v>
      </c>
      <c r="AB201" s="69"/>
      <c r="AC201" s="69"/>
      <c r="AD201" s="69"/>
      <c r="AE201" s="71">
        <v>0.42</v>
      </c>
      <c r="AF201" s="73">
        <f t="shared" si="28"/>
        <v>0</v>
      </c>
      <c r="AG201" s="73"/>
      <c r="AH201" s="73">
        <f t="shared" si="25"/>
        <v>0</v>
      </c>
      <c r="AI201" s="73">
        <v>0</v>
      </c>
      <c r="AJ201" s="73"/>
      <c r="AK201" s="73">
        <f t="shared" si="26"/>
        <v>0</v>
      </c>
    </row>
    <row r="202" spans="1:37">
      <c r="A202" s="67">
        <v>43922</v>
      </c>
      <c r="B202" s="68" t="s">
        <v>28</v>
      </c>
      <c r="C202" s="68" t="s">
        <v>85</v>
      </c>
      <c r="D202" s="68" t="s">
        <v>111</v>
      </c>
      <c r="E202" s="68" t="s">
        <v>112</v>
      </c>
      <c r="F202" s="68" t="s">
        <v>113</v>
      </c>
      <c r="G202" s="68" t="s">
        <v>33</v>
      </c>
      <c r="H202" s="68" t="s">
        <v>34</v>
      </c>
      <c r="I202" s="68" t="s">
        <v>276</v>
      </c>
      <c r="J202" s="41" t="s">
        <v>241</v>
      </c>
      <c r="K202" s="68" t="s">
        <v>82</v>
      </c>
      <c r="L202" s="69"/>
      <c r="M202" s="70" t="s">
        <v>83</v>
      </c>
      <c r="N202" s="70" t="s">
        <v>50</v>
      </c>
      <c r="O202" s="71">
        <v>0.18</v>
      </c>
      <c r="P202" s="72"/>
      <c r="Q202" s="69"/>
      <c r="R202" s="20">
        <v>114142.344929578</v>
      </c>
      <c r="S202" s="73">
        <v>0</v>
      </c>
      <c r="T202" s="73">
        <v>0</v>
      </c>
      <c r="U202" s="73">
        <f t="shared" si="22"/>
        <v>114142.344929578</v>
      </c>
      <c r="V202" s="73">
        <f t="shared" si="23"/>
        <v>0</v>
      </c>
      <c r="W202" s="69"/>
      <c r="X202" s="22">
        <f t="shared" si="29"/>
        <v>0</v>
      </c>
      <c r="Y202" s="74">
        <f t="shared" si="27"/>
        <v>0</v>
      </c>
      <c r="Z202" s="74">
        <f t="shared" si="24"/>
        <v>0</v>
      </c>
      <c r="AA202" s="75">
        <v>0.05</v>
      </c>
      <c r="AB202" s="69"/>
      <c r="AC202" s="69"/>
      <c r="AD202" s="69"/>
      <c r="AE202" s="71">
        <v>0.42</v>
      </c>
      <c r="AF202" s="73">
        <f t="shared" si="28"/>
        <v>0</v>
      </c>
      <c r="AG202" s="73"/>
      <c r="AH202" s="73">
        <f t="shared" si="25"/>
        <v>0</v>
      </c>
      <c r="AI202" s="73">
        <v>0</v>
      </c>
      <c r="AJ202" s="73"/>
      <c r="AK202" s="73">
        <f t="shared" si="26"/>
        <v>0</v>
      </c>
    </row>
    <row r="203" spans="1:37">
      <c r="A203" s="67">
        <v>43922</v>
      </c>
      <c r="B203" s="68" t="s">
        <v>28</v>
      </c>
      <c r="C203" s="68" t="s">
        <v>85</v>
      </c>
      <c r="D203" s="68" t="s">
        <v>111</v>
      </c>
      <c r="E203" s="68" t="s">
        <v>82</v>
      </c>
      <c r="F203" s="68" t="s">
        <v>114</v>
      </c>
      <c r="G203" s="68" t="s">
        <v>33</v>
      </c>
      <c r="H203" s="68" t="s">
        <v>34</v>
      </c>
      <c r="I203" s="68" t="s">
        <v>276</v>
      </c>
      <c r="J203" s="41" t="s">
        <v>241</v>
      </c>
      <c r="K203" s="68" t="s">
        <v>82</v>
      </c>
      <c r="L203" s="69"/>
      <c r="M203" s="70" t="s">
        <v>83</v>
      </c>
      <c r="N203" s="70" t="s">
        <v>50</v>
      </c>
      <c r="O203" s="71">
        <v>0.08</v>
      </c>
      <c r="P203" s="72"/>
      <c r="Q203" s="69"/>
      <c r="R203" s="20">
        <v>29897.39</v>
      </c>
      <c r="S203" s="73">
        <v>0</v>
      </c>
      <c r="T203" s="73">
        <v>0</v>
      </c>
      <c r="U203" s="73">
        <f t="shared" si="22"/>
        <v>29897.39</v>
      </c>
      <c r="V203" s="73">
        <f t="shared" si="23"/>
        <v>0</v>
      </c>
      <c r="W203" s="69"/>
      <c r="X203" s="22">
        <f t="shared" si="29"/>
        <v>0</v>
      </c>
      <c r="Y203" s="74">
        <f t="shared" si="27"/>
        <v>0</v>
      </c>
      <c r="Z203" s="74">
        <f t="shared" si="24"/>
        <v>0</v>
      </c>
      <c r="AA203" s="75">
        <v>0.05</v>
      </c>
      <c r="AB203" s="69"/>
      <c r="AC203" s="69"/>
      <c r="AD203" s="69"/>
      <c r="AE203" s="71">
        <v>0.42</v>
      </c>
      <c r="AF203" s="73">
        <f t="shared" si="28"/>
        <v>0</v>
      </c>
      <c r="AG203" s="73"/>
      <c r="AH203" s="73">
        <f t="shared" si="25"/>
        <v>0</v>
      </c>
      <c r="AI203" s="73">
        <v>0</v>
      </c>
      <c r="AJ203" s="73"/>
      <c r="AK203" s="73">
        <f t="shared" si="26"/>
        <v>0</v>
      </c>
    </row>
    <row r="204" spans="1:37">
      <c r="A204" s="67">
        <v>43922</v>
      </c>
      <c r="B204" s="68" t="s">
        <v>28</v>
      </c>
      <c r="C204" s="68" t="s">
        <v>85</v>
      </c>
      <c r="D204" s="68" t="s">
        <v>111</v>
      </c>
      <c r="E204" s="68" t="s">
        <v>115</v>
      </c>
      <c r="F204" s="68" t="s">
        <v>116</v>
      </c>
      <c r="G204" s="68" t="s">
        <v>33</v>
      </c>
      <c r="H204" s="68" t="s">
        <v>34</v>
      </c>
      <c r="I204" s="68" t="s">
        <v>276</v>
      </c>
      <c r="J204" s="41" t="s">
        <v>241</v>
      </c>
      <c r="K204" s="68" t="s">
        <v>82</v>
      </c>
      <c r="L204" s="69"/>
      <c r="M204" s="70" t="s">
        <v>83</v>
      </c>
      <c r="N204" s="70" t="s">
        <v>50</v>
      </c>
      <c r="O204" s="71">
        <v>0.08</v>
      </c>
      <c r="P204" s="72"/>
      <c r="Q204" s="69"/>
      <c r="R204" s="20">
        <v>20014.111126760599</v>
      </c>
      <c r="S204" s="73">
        <v>0</v>
      </c>
      <c r="T204" s="73">
        <v>0</v>
      </c>
      <c r="U204" s="73">
        <f t="shared" si="22"/>
        <v>20014.111126760599</v>
      </c>
      <c r="V204" s="73">
        <f t="shared" si="23"/>
        <v>0</v>
      </c>
      <c r="W204" s="69"/>
      <c r="X204" s="22">
        <f t="shared" si="29"/>
        <v>0</v>
      </c>
      <c r="Y204" s="74">
        <f t="shared" si="27"/>
        <v>0</v>
      </c>
      <c r="Z204" s="74">
        <f t="shared" si="24"/>
        <v>0</v>
      </c>
      <c r="AA204" s="75">
        <v>0.05</v>
      </c>
      <c r="AB204" s="69"/>
      <c r="AC204" s="69"/>
      <c r="AD204" s="69"/>
      <c r="AE204" s="71">
        <v>0.42</v>
      </c>
      <c r="AF204" s="73">
        <f t="shared" si="28"/>
        <v>0</v>
      </c>
      <c r="AG204" s="73"/>
      <c r="AH204" s="73">
        <f t="shared" si="25"/>
        <v>0</v>
      </c>
      <c r="AI204" s="73">
        <v>0</v>
      </c>
      <c r="AJ204" s="73"/>
      <c r="AK204" s="73">
        <f t="shared" si="26"/>
        <v>0</v>
      </c>
    </row>
    <row r="205" spans="1:37">
      <c r="A205" s="67">
        <v>43922</v>
      </c>
      <c r="B205" s="68" t="s">
        <v>28</v>
      </c>
      <c r="C205" s="68" t="s">
        <v>85</v>
      </c>
      <c r="D205" s="68" t="s">
        <v>111</v>
      </c>
      <c r="E205" s="68" t="s">
        <v>117</v>
      </c>
      <c r="F205" s="68" t="s">
        <v>118</v>
      </c>
      <c r="G205" s="68" t="s">
        <v>33</v>
      </c>
      <c r="H205" s="68" t="s">
        <v>34</v>
      </c>
      <c r="I205" s="68" t="s">
        <v>276</v>
      </c>
      <c r="J205" s="41" t="s">
        <v>241</v>
      </c>
      <c r="K205" s="68" t="s">
        <v>82</v>
      </c>
      <c r="L205" s="69"/>
      <c r="M205" s="70" t="s">
        <v>83</v>
      </c>
      <c r="N205" s="70" t="s">
        <v>50</v>
      </c>
      <c r="O205" s="71">
        <v>0.04</v>
      </c>
      <c r="P205" s="72"/>
      <c r="Q205" s="69"/>
      <c r="R205" s="20">
        <v>322.47394365991897</v>
      </c>
      <c r="S205" s="73">
        <v>0</v>
      </c>
      <c r="T205" s="73">
        <v>0</v>
      </c>
      <c r="U205" s="73">
        <f t="shared" si="22"/>
        <v>322.47394365991897</v>
      </c>
      <c r="V205" s="73">
        <f t="shared" si="23"/>
        <v>0</v>
      </c>
      <c r="W205" s="69"/>
      <c r="X205" s="22">
        <f t="shared" si="29"/>
        <v>0</v>
      </c>
      <c r="Y205" s="74">
        <f t="shared" si="27"/>
        <v>0</v>
      </c>
      <c r="Z205" s="74">
        <f t="shared" si="24"/>
        <v>0</v>
      </c>
      <c r="AA205" s="75">
        <v>0.05</v>
      </c>
      <c r="AB205" s="69"/>
      <c r="AC205" s="69"/>
      <c r="AD205" s="69"/>
      <c r="AE205" s="71">
        <v>0.42</v>
      </c>
      <c r="AF205" s="73">
        <f t="shared" si="28"/>
        <v>0</v>
      </c>
      <c r="AG205" s="73"/>
      <c r="AH205" s="73">
        <f t="shared" si="25"/>
        <v>0</v>
      </c>
      <c r="AI205" s="73">
        <v>0</v>
      </c>
      <c r="AJ205" s="73"/>
      <c r="AK205" s="73">
        <f t="shared" si="26"/>
        <v>0</v>
      </c>
    </row>
    <row r="206" spans="1:37">
      <c r="A206" s="67">
        <v>43922</v>
      </c>
      <c r="B206" s="68" t="s">
        <v>28</v>
      </c>
      <c r="C206" s="68" t="s">
        <v>85</v>
      </c>
      <c r="D206" s="68" t="s">
        <v>111</v>
      </c>
      <c r="E206" s="68" t="s">
        <v>119</v>
      </c>
      <c r="F206" s="68" t="s">
        <v>120</v>
      </c>
      <c r="G206" s="68" t="s">
        <v>33</v>
      </c>
      <c r="H206" s="68" t="s">
        <v>34</v>
      </c>
      <c r="I206" s="68" t="s">
        <v>276</v>
      </c>
      <c r="J206" s="41" t="s">
        <v>241</v>
      </c>
      <c r="K206" s="68" t="s">
        <v>82</v>
      </c>
      <c r="L206" s="69"/>
      <c r="M206" s="70" t="s">
        <v>83</v>
      </c>
      <c r="N206" s="70" t="s">
        <v>50</v>
      </c>
      <c r="O206" s="71">
        <v>0.23</v>
      </c>
      <c r="P206" s="72"/>
      <c r="Q206" s="69"/>
      <c r="R206" s="20">
        <v>196.54507042269699</v>
      </c>
      <c r="S206" s="73">
        <v>0</v>
      </c>
      <c r="T206" s="73">
        <v>0</v>
      </c>
      <c r="U206" s="73">
        <f t="shared" si="22"/>
        <v>196.54507042269699</v>
      </c>
      <c r="V206" s="73">
        <f t="shared" si="23"/>
        <v>0</v>
      </c>
      <c r="W206" s="69"/>
      <c r="X206" s="22">
        <f t="shared" si="29"/>
        <v>0</v>
      </c>
      <c r="Y206" s="74">
        <f t="shared" si="27"/>
        <v>0</v>
      </c>
      <c r="Z206" s="74">
        <f t="shared" si="24"/>
        <v>0</v>
      </c>
      <c r="AA206" s="75">
        <v>0.05</v>
      </c>
      <c r="AB206" s="69"/>
      <c r="AC206" s="69"/>
      <c r="AD206" s="69"/>
      <c r="AE206" s="71">
        <v>0.42</v>
      </c>
      <c r="AF206" s="73">
        <f t="shared" si="28"/>
        <v>0</v>
      </c>
      <c r="AG206" s="73"/>
      <c r="AH206" s="73">
        <f t="shared" si="25"/>
        <v>0</v>
      </c>
      <c r="AI206" s="73">
        <v>0</v>
      </c>
      <c r="AJ206" s="73"/>
      <c r="AK206" s="73">
        <f t="shared" si="26"/>
        <v>0</v>
      </c>
    </row>
    <row r="207" spans="1:37">
      <c r="A207" s="67">
        <v>43922</v>
      </c>
      <c r="B207" s="68" t="s">
        <v>28</v>
      </c>
      <c r="C207" s="68" t="s">
        <v>85</v>
      </c>
      <c r="D207" s="68" t="s">
        <v>111</v>
      </c>
      <c r="E207" s="68" t="s">
        <v>121</v>
      </c>
      <c r="F207" s="68" t="s">
        <v>122</v>
      </c>
      <c r="G207" s="68" t="s">
        <v>33</v>
      </c>
      <c r="H207" s="68" t="s">
        <v>34</v>
      </c>
      <c r="I207" s="68" t="s">
        <v>276</v>
      </c>
      <c r="J207" s="41" t="s">
        <v>241</v>
      </c>
      <c r="K207" s="68" t="s">
        <v>82</v>
      </c>
      <c r="L207" s="69"/>
      <c r="M207" s="70" t="s">
        <v>83</v>
      </c>
      <c r="N207" s="70" t="s">
        <v>50</v>
      </c>
      <c r="O207" s="71">
        <v>0.03</v>
      </c>
      <c r="P207" s="72"/>
      <c r="Q207" s="69"/>
      <c r="R207" s="20">
        <v>1513.0032394366101</v>
      </c>
      <c r="S207" s="73">
        <v>0</v>
      </c>
      <c r="T207" s="73">
        <v>0</v>
      </c>
      <c r="U207" s="73">
        <f t="shared" si="22"/>
        <v>1513.0032394366101</v>
      </c>
      <c r="V207" s="73">
        <f t="shared" si="23"/>
        <v>0</v>
      </c>
      <c r="W207" s="69"/>
      <c r="X207" s="22">
        <f t="shared" si="29"/>
        <v>0</v>
      </c>
      <c r="Y207" s="74">
        <f t="shared" si="27"/>
        <v>0</v>
      </c>
      <c r="Z207" s="74">
        <f t="shared" si="24"/>
        <v>0</v>
      </c>
      <c r="AA207" s="75">
        <v>0.05</v>
      </c>
      <c r="AB207" s="69"/>
      <c r="AC207" s="69"/>
      <c r="AD207" s="69"/>
      <c r="AE207" s="71">
        <v>0.42</v>
      </c>
      <c r="AF207" s="73">
        <f t="shared" si="28"/>
        <v>0</v>
      </c>
      <c r="AG207" s="73"/>
      <c r="AH207" s="73">
        <f t="shared" si="25"/>
        <v>0</v>
      </c>
      <c r="AI207" s="73">
        <v>0</v>
      </c>
      <c r="AJ207" s="73"/>
      <c r="AK207" s="73">
        <f t="shared" si="26"/>
        <v>0</v>
      </c>
    </row>
    <row r="208" spans="1:37">
      <c r="A208" s="67">
        <v>43922</v>
      </c>
      <c r="B208" s="68" t="s">
        <v>28</v>
      </c>
      <c r="C208" s="68" t="s">
        <v>85</v>
      </c>
      <c r="D208" s="68" t="s">
        <v>111</v>
      </c>
      <c r="E208" s="68" t="s">
        <v>123</v>
      </c>
      <c r="F208" s="68" t="s">
        <v>124</v>
      </c>
      <c r="G208" s="68" t="s">
        <v>33</v>
      </c>
      <c r="H208" s="68" t="s">
        <v>34</v>
      </c>
      <c r="I208" s="68" t="s">
        <v>276</v>
      </c>
      <c r="J208" s="41" t="s">
        <v>241</v>
      </c>
      <c r="K208" s="68" t="s">
        <v>82</v>
      </c>
      <c r="L208" s="69"/>
      <c r="M208" s="70" t="s">
        <v>83</v>
      </c>
      <c r="N208" s="70" t="s">
        <v>50</v>
      </c>
      <c r="O208" s="71">
        <v>0.03</v>
      </c>
      <c r="P208" s="72"/>
      <c r="Q208" s="69"/>
      <c r="R208" s="20">
        <v>6504.6216901406997</v>
      </c>
      <c r="S208" s="73">
        <v>0</v>
      </c>
      <c r="T208" s="73">
        <v>0</v>
      </c>
      <c r="U208" s="73">
        <f t="shared" si="22"/>
        <v>6504.6216901406997</v>
      </c>
      <c r="V208" s="73">
        <f t="shared" si="23"/>
        <v>0</v>
      </c>
      <c r="W208" s="69"/>
      <c r="X208" s="22">
        <f t="shared" si="29"/>
        <v>0</v>
      </c>
      <c r="Y208" s="74">
        <f t="shared" si="27"/>
        <v>0</v>
      </c>
      <c r="Z208" s="74">
        <f t="shared" si="24"/>
        <v>0</v>
      </c>
      <c r="AA208" s="75">
        <v>0.05</v>
      </c>
      <c r="AB208" s="69"/>
      <c r="AC208" s="69"/>
      <c r="AD208" s="69"/>
      <c r="AE208" s="71">
        <v>0</v>
      </c>
      <c r="AF208" s="73">
        <f t="shared" si="28"/>
        <v>0</v>
      </c>
      <c r="AG208" s="73"/>
      <c r="AH208" s="73">
        <f t="shared" si="25"/>
        <v>0</v>
      </c>
      <c r="AI208" s="73">
        <v>0</v>
      </c>
      <c r="AJ208" s="73"/>
      <c r="AK208" s="73">
        <f t="shared" si="26"/>
        <v>0</v>
      </c>
    </row>
    <row r="209" spans="1:38">
      <c r="A209" s="67">
        <v>43922</v>
      </c>
      <c r="B209" s="68" t="s">
        <v>28</v>
      </c>
      <c r="C209" s="68" t="s">
        <v>85</v>
      </c>
      <c r="D209" s="68" t="s">
        <v>111</v>
      </c>
      <c r="E209" s="68" t="s">
        <v>125</v>
      </c>
      <c r="F209" s="68" t="s">
        <v>126</v>
      </c>
      <c r="G209" s="68" t="s">
        <v>33</v>
      </c>
      <c r="H209" s="68" t="s">
        <v>34</v>
      </c>
      <c r="I209" s="68" t="s">
        <v>276</v>
      </c>
      <c r="J209" s="41" t="s">
        <v>241</v>
      </c>
      <c r="K209" s="68" t="s">
        <v>82</v>
      </c>
      <c r="L209" s="69"/>
      <c r="M209" s="70" t="s">
        <v>83</v>
      </c>
      <c r="N209" s="70" t="s">
        <v>50</v>
      </c>
      <c r="O209" s="71">
        <v>0.18</v>
      </c>
      <c r="P209" s="72"/>
      <c r="Q209" s="69"/>
      <c r="R209" s="20">
        <v>44820.261970721403</v>
      </c>
      <c r="S209" s="73">
        <v>0</v>
      </c>
      <c r="T209" s="73">
        <v>0</v>
      </c>
      <c r="U209" s="73">
        <f t="shared" si="22"/>
        <v>44820.261970721403</v>
      </c>
      <c r="V209" s="73">
        <f t="shared" si="23"/>
        <v>0</v>
      </c>
      <c r="W209" s="69"/>
      <c r="X209" s="22">
        <f t="shared" si="29"/>
        <v>0</v>
      </c>
      <c r="Y209" s="74">
        <f t="shared" si="27"/>
        <v>0</v>
      </c>
      <c r="Z209" s="74">
        <f t="shared" si="24"/>
        <v>0</v>
      </c>
      <c r="AA209" s="75">
        <v>0.05</v>
      </c>
      <c r="AB209" s="69"/>
      <c r="AC209" s="69"/>
      <c r="AD209" s="69"/>
      <c r="AE209" s="71">
        <v>0.42</v>
      </c>
      <c r="AF209" s="73">
        <f t="shared" si="28"/>
        <v>0</v>
      </c>
      <c r="AG209" s="73"/>
      <c r="AH209" s="73">
        <f t="shared" si="25"/>
        <v>0</v>
      </c>
      <c r="AI209" s="73">
        <v>0</v>
      </c>
      <c r="AJ209" s="73"/>
      <c r="AK209" s="73">
        <f t="shared" si="26"/>
        <v>0</v>
      </c>
    </row>
    <row r="210" spans="1:38">
      <c r="A210" s="67">
        <v>43922</v>
      </c>
      <c r="B210" s="68" t="s">
        <v>28</v>
      </c>
      <c r="C210" s="68" t="s">
        <v>85</v>
      </c>
      <c r="D210" s="68" t="s">
        <v>111</v>
      </c>
      <c r="E210" s="68" t="s">
        <v>127</v>
      </c>
      <c r="F210" s="68" t="s">
        <v>128</v>
      </c>
      <c r="G210" s="68" t="s">
        <v>33</v>
      </c>
      <c r="H210" s="68" t="s">
        <v>34</v>
      </c>
      <c r="I210" s="68" t="s">
        <v>276</v>
      </c>
      <c r="J210" s="41" t="s">
        <v>241</v>
      </c>
      <c r="K210" s="68" t="s">
        <v>82</v>
      </c>
      <c r="L210" s="69"/>
      <c r="M210" s="70" t="s">
        <v>83</v>
      </c>
      <c r="N210" s="70" t="s">
        <v>50</v>
      </c>
      <c r="O210" s="71">
        <v>0.23</v>
      </c>
      <c r="P210" s="72"/>
      <c r="Q210" s="69"/>
      <c r="R210" s="20">
        <v>132154.611549297</v>
      </c>
      <c r="S210" s="73">
        <v>0</v>
      </c>
      <c r="T210" s="73">
        <v>0</v>
      </c>
      <c r="U210" s="73">
        <f t="shared" si="22"/>
        <v>132154.611549297</v>
      </c>
      <c r="V210" s="73">
        <f t="shared" si="23"/>
        <v>0</v>
      </c>
      <c r="W210" s="69"/>
      <c r="X210" s="22">
        <f t="shared" si="29"/>
        <v>0</v>
      </c>
      <c r="Y210" s="74">
        <f t="shared" si="27"/>
        <v>0</v>
      </c>
      <c r="Z210" s="74">
        <f t="shared" si="24"/>
        <v>0</v>
      </c>
      <c r="AA210" s="75">
        <v>0.05</v>
      </c>
      <c r="AB210" s="69"/>
      <c r="AC210" s="69"/>
      <c r="AD210" s="69"/>
      <c r="AE210" s="71">
        <v>0.42</v>
      </c>
      <c r="AF210" s="73">
        <f t="shared" si="28"/>
        <v>0</v>
      </c>
      <c r="AG210" s="73"/>
      <c r="AH210" s="73">
        <f t="shared" si="25"/>
        <v>0</v>
      </c>
      <c r="AI210" s="73">
        <v>0</v>
      </c>
      <c r="AJ210" s="73"/>
      <c r="AK210" s="73">
        <f t="shared" si="26"/>
        <v>0</v>
      </c>
    </row>
    <row r="211" spans="1:38">
      <c r="A211" s="67">
        <v>43922</v>
      </c>
      <c r="B211" s="68" t="s">
        <v>28</v>
      </c>
      <c r="C211" s="68" t="s">
        <v>85</v>
      </c>
      <c r="D211" s="68" t="s">
        <v>111</v>
      </c>
      <c r="E211" s="68" t="s">
        <v>129</v>
      </c>
      <c r="F211" s="68" t="s">
        <v>130</v>
      </c>
      <c r="G211" s="68" t="s">
        <v>33</v>
      </c>
      <c r="H211" s="68" t="s">
        <v>34</v>
      </c>
      <c r="I211" s="68" t="s">
        <v>276</v>
      </c>
      <c r="J211" s="41" t="s">
        <v>241</v>
      </c>
      <c r="K211" s="68" t="s">
        <v>82</v>
      </c>
      <c r="L211" s="69"/>
      <c r="M211" s="70" t="s">
        <v>83</v>
      </c>
      <c r="N211" s="70" t="s">
        <v>50</v>
      </c>
      <c r="O211" s="71">
        <v>0.03</v>
      </c>
      <c r="P211" s="72"/>
      <c r="Q211" s="69"/>
      <c r="R211" s="20">
        <v>14157.309295774696</v>
      </c>
      <c r="S211" s="73">
        <v>0</v>
      </c>
      <c r="T211" s="73">
        <v>0</v>
      </c>
      <c r="U211" s="73">
        <f t="shared" si="22"/>
        <v>14157.309295774696</v>
      </c>
      <c r="V211" s="73">
        <f t="shared" si="23"/>
        <v>0</v>
      </c>
      <c r="W211" s="69"/>
      <c r="X211" s="22">
        <f t="shared" si="29"/>
        <v>0</v>
      </c>
      <c r="Y211" s="74">
        <f t="shared" si="27"/>
        <v>0</v>
      </c>
      <c r="Z211" s="74">
        <f t="shared" si="24"/>
        <v>0</v>
      </c>
      <c r="AA211" s="75">
        <v>0.05</v>
      </c>
      <c r="AB211" s="69"/>
      <c r="AC211" s="69"/>
      <c r="AD211" s="69"/>
      <c r="AE211" s="71">
        <v>0.42</v>
      </c>
      <c r="AF211" s="73">
        <f t="shared" si="28"/>
        <v>0</v>
      </c>
      <c r="AG211" s="73"/>
      <c r="AH211" s="73">
        <f t="shared" si="25"/>
        <v>0</v>
      </c>
      <c r="AI211" s="73">
        <v>0</v>
      </c>
      <c r="AJ211" s="73"/>
      <c r="AK211" s="73">
        <f t="shared" si="26"/>
        <v>0</v>
      </c>
    </row>
    <row r="212" spans="1:38">
      <c r="A212" s="67">
        <v>43922</v>
      </c>
      <c r="B212" s="68" t="s">
        <v>28</v>
      </c>
      <c r="C212" s="68" t="s">
        <v>85</v>
      </c>
      <c r="D212" s="68" t="s">
        <v>111</v>
      </c>
      <c r="E212" s="68" t="s">
        <v>131</v>
      </c>
      <c r="F212" s="68" t="s">
        <v>132</v>
      </c>
      <c r="G212" s="68" t="s">
        <v>33</v>
      </c>
      <c r="H212" s="68" t="s">
        <v>34</v>
      </c>
      <c r="I212" s="68" t="s">
        <v>276</v>
      </c>
      <c r="J212" s="41" t="s">
        <v>241</v>
      </c>
      <c r="K212" s="68" t="s">
        <v>82</v>
      </c>
      <c r="L212" s="69"/>
      <c r="M212" s="70" t="s">
        <v>83</v>
      </c>
      <c r="N212" s="70" t="s">
        <v>50</v>
      </c>
      <c r="O212" s="71">
        <v>0.03</v>
      </c>
      <c r="P212" s="72"/>
      <c r="Q212" s="69"/>
      <c r="R212" s="20">
        <v>480.55873239384499</v>
      </c>
      <c r="S212" s="73">
        <v>0</v>
      </c>
      <c r="T212" s="73">
        <v>0</v>
      </c>
      <c r="U212" s="73">
        <f t="shared" si="22"/>
        <v>480.55873239384499</v>
      </c>
      <c r="V212" s="73">
        <f t="shared" si="23"/>
        <v>0</v>
      </c>
      <c r="W212" s="69"/>
      <c r="X212" s="22">
        <f t="shared" si="29"/>
        <v>0</v>
      </c>
      <c r="Y212" s="74">
        <f t="shared" si="27"/>
        <v>0</v>
      </c>
      <c r="Z212" s="74">
        <f t="shared" si="24"/>
        <v>0</v>
      </c>
      <c r="AA212" s="75">
        <v>0.05</v>
      </c>
      <c r="AB212" s="69"/>
      <c r="AC212" s="69"/>
      <c r="AD212" s="69"/>
      <c r="AE212" s="71" t="s">
        <v>95</v>
      </c>
      <c r="AF212" s="73">
        <f t="shared" si="28"/>
        <v>0</v>
      </c>
      <c r="AG212" s="73"/>
      <c r="AH212" s="73">
        <f t="shared" si="25"/>
        <v>0</v>
      </c>
      <c r="AI212" s="73">
        <v>0</v>
      </c>
      <c r="AJ212" s="73"/>
      <c r="AK212" s="73">
        <f t="shared" si="26"/>
        <v>0</v>
      </c>
    </row>
    <row r="213" spans="1:38">
      <c r="A213" s="67">
        <v>43922</v>
      </c>
      <c r="B213" s="68" t="s">
        <v>28</v>
      </c>
      <c r="C213" s="68" t="s">
        <v>85</v>
      </c>
      <c r="D213" s="68" t="s">
        <v>111</v>
      </c>
      <c r="E213" s="68" t="s">
        <v>133</v>
      </c>
      <c r="F213" s="68" t="s">
        <v>134</v>
      </c>
      <c r="G213" s="68" t="s">
        <v>33</v>
      </c>
      <c r="H213" s="68" t="s">
        <v>34</v>
      </c>
      <c r="I213" s="68" t="s">
        <v>276</v>
      </c>
      <c r="J213" s="41" t="s">
        <v>241</v>
      </c>
      <c r="K213" s="68" t="s">
        <v>82</v>
      </c>
      <c r="L213" s="69"/>
      <c r="M213" s="70" t="s">
        <v>83</v>
      </c>
      <c r="N213" s="70" t="s">
        <v>50</v>
      </c>
      <c r="O213" s="71">
        <v>0.23</v>
      </c>
      <c r="P213" s="72"/>
      <c r="Q213" s="69"/>
      <c r="R213" s="20">
        <v>88.72</v>
      </c>
      <c r="S213" s="73">
        <v>0</v>
      </c>
      <c r="T213" s="73">
        <v>0</v>
      </c>
      <c r="U213" s="73">
        <f t="shared" si="22"/>
        <v>88.72</v>
      </c>
      <c r="V213" s="73">
        <f t="shared" si="23"/>
        <v>0</v>
      </c>
      <c r="W213" s="69"/>
      <c r="X213" s="22">
        <f t="shared" si="29"/>
        <v>0</v>
      </c>
      <c r="Y213" s="74">
        <f t="shared" si="27"/>
        <v>0</v>
      </c>
      <c r="Z213" s="74">
        <f t="shared" si="24"/>
        <v>0</v>
      </c>
      <c r="AA213" s="75">
        <v>0.05</v>
      </c>
      <c r="AB213" s="69"/>
      <c r="AC213" s="69"/>
      <c r="AD213" s="69"/>
      <c r="AE213" s="71">
        <v>0.42</v>
      </c>
      <c r="AF213" s="73">
        <f t="shared" si="28"/>
        <v>0</v>
      </c>
      <c r="AG213" s="73"/>
      <c r="AH213" s="73">
        <f t="shared" ref="AH213:AH231" si="30">S213*AE213</f>
        <v>0</v>
      </c>
      <c r="AI213" s="73">
        <v>0</v>
      </c>
      <c r="AJ213" s="73"/>
      <c r="AK213" s="73">
        <f t="shared" si="26"/>
        <v>0</v>
      </c>
    </row>
    <row r="214" spans="1:38">
      <c r="A214" s="67">
        <v>43922</v>
      </c>
      <c r="B214" s="68" t="s">
        <v>28</v>
      </c>
      <c r="C214" s="68" t="s">
        <v>85</v>
      </c>
      <c r="D214" s="68" t="s">
        <v>111</v>
      </c>
      <c r="E214" s="68" t="s">
        <v>135</v>
      </c>
      <c r="F214" s="68" t="s">
        <v>136</v>
      </c>
      <c r="G214" s="68" t="s">
        <v>33</v>
      </c>
      <c r="H214" s="68" t="s">
        <v>34</v>
      </c>
      <c r="I214" s="68" t="s">
        <v>276</v>
      </c>
      <c r="J214" s="41" t="s">
        <v>241</v>
      </c>
      <c r="K214" s="68" t="s">
        <v>82</v>
      </c>
      <c r="L214" s="69"/>
      <c r="M214" s="70" t="s">
        <v>83</v>
      </c>
      <c r="N214" s="70" t="s">
        <v>50</v>
      </c>
      <c r="O214" s="71">
        <v>0.18</v>
      </c>
      <c r="P214" s="72"/>
      <c r="Q214" s="69"/>
      <c r="R214" s="20">
        <v>147.29985915508601</v>
      </c>
      <c r="S214" s="73">
        <v>0</v>
      </c>
      <c r="T214" s="73">
        <v>0</v>
      </c>
      <c r="U214" s="73">
        <f t="shared" si="22"/>
        <v>147.29985915508601</v>
      </c>
      <c r="V214" s="73">
        <f t="shared" si="23"/>
        <v>0</v>
      </c>
      <c r="W214" s="69"/>
      <c r="X214" s="22">
        <f t="shared" si="29"/>
        <v>0</v>
      </c>
      <c r="Y214" s="74">
        <f t="shared" si="27"/>
        <v>0</v>
      </c>
      <c r="Z214" s="74">
        <f t="shared" si="24"/>
        <v>0</v>
      </c>
      <c r="AA214" s="75">
        <v>0.05</v>
      </c>
      <c r="AB214" s="69"/>
      <c r="AC214" s="69"/>
      <c r="AD214" s="69"/>
      <c r="AE214" s="71">
        <v>0.42</v>
      </c>
      <c r="AF214" s="73">
        <f t="shared" si="28"/>
        <v>0</v>
      </c>
      <c r="AG214" s="73"/>
      <c r="AH214" s="73">
        <f t="shared" si="30"/>
        <v>0</v>
      </c>
      <c r="AI214" s="73">
        <v>0</v>
      </c>
      <c r="AJ214" s="73"/>
      <c r="AK214" s="73">
        <f t="shared" si="26"/>
        <v>0</v>
      </c>
    </row>
    <row r="215" spans="1:38">
      <c r="A215" s="67">
        <v>43922</v>
      </c>
      <c r="B215" s="68" t="s">
        <v>28</v>
      </c>
      <c r="C215" s="68" t="s">
        <v>85</v>
      </c>
      <c r="D215" s="68" t="s">
        <v>111</v>
      </c>
      <c r="E215" s="68" t="s">
        <v>137</v>
      </c>
      <c r="F215" s="68" t="s">
        <v>138</v>
      </c>
      <c r="G215" s="68" t="s">
        <v>33</v>
      </c>
      <c r="H215" s="68" t="s">
        <v>34</v>
      </c>
      <c r="I215" s="68" t="s">
        <v>276</v>
      </c>
      <c r="J215" s="41" t="s">
        <v>241</v>
      </c>
      <c r="K215" s="68" t="s">
        <v>82</v>
      </c>
      <c r="L215" s="69"/>
      <c r="M215" s="70" t="s">
        <v>83</v>
      </c>
      <c r="N215" s="70" t="s">
        <v>50</v>
      </c>
      <c r="O215" s="71">
        <v>0.18</v>
      </c>
      <c r="P215" s="72"/>
      <c r="Q215" s="69"/>
      <c r="R215" s="20">
        <v>4215.2245070423196</v>
      </c>
      <c r="S215" s="73">
        <v>0</v>
      </c>
      <c r="T215" s="73">
        <v>0</v>
      </c>
      <c r="U215" s="73">
        <f t="shared" si="22"/>
        <v>4215.2245070423196</v>
      </c>
      <c r="V215" s="73">
        <f t="shared" si="23"/>
        <v>0</v>
      </c>
      <c r="W215" s="69"/>
      <c r="X215" s="22">
        <f t="shared" si="29"/>
        <v>0</v>
      </c>
      <c r="Y215" s="74">
        <f t="shared" si="27"/>
        <v>0</v>
      </c>
      <c r="Z215" s="74">
        <f t="shared" si="24"/>
        <v>0</v>
      </c>
      <c r="AA215" s="75">
        <v>0.05</v>
      </c>
      <c r="AB215" s="69"/>
      <c r="AC215" s="69"/>
      <c r="AD215" s="69"/>
      <c r="AE215" s="71">
        <v>0.42</v>
      </c>
      <c r="AF215" s="73">
        <f t="shared" si="28"/>
        <v>0</v>
      </c>
      <c r="AG215" s="73"/>
      <c r="AH215" s="73">
        <f t="shared" si="30"/>
        <v>0</v>
      </c>
      <c r="AI215" s="73">
        <v>0</v>
      </c>
      <c r="AJ215" s="73"/>
      <c r="AK215" s="73">
        <f t="shared" si="26"/>
        <v>0</v>
      </c>
    </row>
    <row r="216" spans="1:38">
      <c r="A216" s="67">
        <v>43922</v>
      </c>
      <c r="B216" s="68" t="s">
        <v>28</v>
      </c>
      <c r="C216" s="68" t="s">
        <v>85</v>
      </c>
      <c r="D216" s="68" t="s">
        <v>111</v>
      </c>
      <c r="E216" s="68" t="s">
        <v>139</v>
      </c>
      <c r="F216" s="68" t="s">
        <v>140</v>
      </c>
      <c r="G216" s="68" t="s">
        <v>33</v>
      </c>
      <c r="H216" s="68" t="s">
        <v>34</v>
      </c>
      <c r="I216" s="68" t="s">
        <v>276</v>
      </c>
      <c r="J216" s="41" t="s">
        <v>241</v>
      </c>
      <c r="K216" s="68" t="s">
        <v>82</v>
      </c>
      <c r="L216" s="69"/>
      <c r="M216" s="70" t="s">
        <v>83</v>
      </c>
      <c r="N216" s="70" t="s">
        <v>50</v>
      </c>
      <c r="O216" s="71">
        <v>0.23</v>
      </c>
      <c r="P216" s="72"/>
      <c r="Q216" s="69"/>
      <c r="R216" s="20">
        <v>127.3395774647</v>
      </c>
      <c r="S216" s="73">
        <v>0</v>
      </c>
      <c r="T216" s="73">
        <v>0</v>
      </c>
      <c r="U216" s="73">
        <f t="shared" si="22"/>
        <v>127.3395774647</v>
      </c>
      <c r="V216" s="73">
        <f t="shared" si="23"/>
        <v>0</v>
      </c>
      <c r="W216" s="69"/>
      <c r="X216" s="22">
        <f t="shared" si="29"/>
        <v>0</v>
      </c>
      <c r="Y216" s="74">
        <f t="shared" si="27"/>
        <v>0</v>
      </c>
      <c r="Z216" s="74">
        <f t="shared" si="24"/>
        <v>0</v>
      </c>
      <c r="AA216" s="75">
        <v>0.05</v>
      </c>
      <c r="AB216" s="69"/>
      <c r="AC216" s="69"/>
      <c r="AD216" s="69"/>
      <c r="AE216" s="71">
        <v>0.42</v>
      </c>
      <c r="AF216" s="73">
        <f t="shared" si="28"/>
        <v>0</v>
      </c>
      <c r="AG216" s="73"/>
      <c r="AH216" s="73">
        <f t="shared" si="30"/>
        <v>0</v>
      </c>
      <c r="AI216" s="73">
        <v>0</v>
      </c>
      <c r="AJ216" s="73"/>
      <c r="AK216" s="73">
        <f t="shared" si="26"/>
        <v>0</v>
      </c>
    </row>
    <row r="217" spans="1:38">
      <c r="A217" s="67">
        <v>43922</v>
      </c>
      <c r="B217" s="68" t="s">
        <v>28</v>
      </c>
      <c r="C217" s="68" t="s">
        <v>85</v>
      </c>
      <c r="D217" s="68" t="s">
        <v>111</v>
      </c>
      <c r="E217" s="68" t="s">
        <v>141</v>
      </c>
      <c r="F217" s="68" t="s">
        <v>142</v>
      </c>
      <c r="G217" s="68" t="s">
        <v>33</v>
      </c>
      <c r="H217" s="68" t="s">
        <v>34</v>
      </c>
      <c r="I217" s="68" t="s">
        <v>276</v>
      </c>
      <c r="J217" s="41" t="s">
        <v>241</v>
      </c>
      <c r="K217" s="68" t="s">
        <v>82</v>
      </c>
      <c r="L217" s="69"/>
      <c r="M217" s="70" t="s">
        <v>83</v>
      </c>
      <c r="N217" s="70" t="s">
        <v>50</v>
      </c>
      <c r="O217" s="71">
        <v>0.23</v>
      </c>
      <c r="P217" s="72"/>
      <c r="Q217" s="69"/>
      <c r="R217" s="20">
        <v>172.66352112698951</v>
      </c>
      <c r="S217" s="73">
        <v>0</v>
      </c>
      <c r="T217" s="73">
        <v>0</v>
      </c>
      <c r="U217" s="73">
        <f t="shared" si="22"/>
        <v>172.66352112698951</v>
      </c>
      <c r="V217" s="73">
        <f t="shared" si="23"/>
        <v>0</v>
      </c>
      <c r="W217" s="69"/>
      <c r="X217" s="22">
        <f t="shared" si="29"/>
        <v>0</v>
      </c>
      <c r="Y217" s="74">
        <f t="shared" si="27"/>
        <v>0</v>
      </c>
      <c r="Z217" s="74">
        <f t="shared" si="24"/>
        <v>0</v>
      </c>
      <c r="AA217" s="75">
        <v>0.05</v>
      </c>
      <c r="AB217" s="69"/>
      <c r="AC217" s="69"/>
      <c r="AD217" s="69"/>
      <c r="AE217" s="71">
        <v>0.42</v>
      </c>
      <c r="AF217" s="73">
        <f t="shared" si="28"/>
        <v>0</v>
      </c>
      <c r="AG217" s="73"/>
      <c r="AH217" s="73">
        <f t="shared" si="30"/>
        <v>0</v>
      </c>
      <c r="AI217" s="73">
        <v>0</v>
      </c>
      <c r="AJ217" s="73"/>
      <c r="AK217" s="73">
        <f t="shared" si="26"/>
        <v>0</v>
      </c>
    </row>
    <row r="218" spans="1:38">
      <c r="A218" s="67">
        <v>43922</v>
      </c>
      <c r="B218" s="68" t="s">
        <v>28</v>
      </c>
      <c r="C218" s="68" t="s">
        <v>85</v>
      </c>
      <c r="D218" s="68" t="s">
        <v>111</v>
      </c>
      <c r="E218" s="68" t="s">
        <v>143</v>
      </c>
      <c r="F218" s="68" t="s">
        <v>144</v>
      </c>
      <c r="G218" s="68" t="s">
        <v>33</v>
      </c>
      <c r="H218" s="68" t="s">
        <v>34</v>
      </c>
      <c r="I218" s="68" t="s">
        <v>276</v>
      </c>
      <c r="J218" s="41" t="s">
        <v>241</v>
      </c>
      <c r="K218" s="68" t="s">
        <v>82</v>
      </c>
      <c r="L218" s="69"/>
      <c r="M218" s="70" t="s">
        <v>83</v>
      </c>
      <c r="N218" s="70" t="s">
        <v>50</v>
      </c>
      <c r="O218" s="71">
        <v>0.08</v>
      </c>
      <c r="P218" s="72"/>
      <c r="Q218" s="69"/>
      <c r="R218" s="20">
        <v>11055.15</v>
      </c>
      <c r="S218" s="73">
        <v>0</v>
      </c>
      <c r="T218" s="73">
        <v>0</v>
      </c>
      <c r="U218" s="73">
        <f t="shared" si="22"/>
        <v>11055.15</v>
      </c>
      <c r="V218" s="73">
        <f t="shared" si="23"/>
        <v>0</v>
      </c>
      <c r="W218" s="69"/>
      <c r="X218" s="22">
        <f t="shared" si="29"/>
        <v>0</v>
      </c>
      <c r="Y218" s="74">
        <f t="shared" si="27"/>
        <v>0</v>
      </c>
      <c r="Z218" s="74">
        <f t="shared" si="24"/>
        <v>0</v>
      </c>
      <c r="AA218" s="75">
        <v>0.05</v>
      </c>
      <c r="AB218" s="69"/>
      <c r="AC218" s="69"/>
      <c r="AD218" s="69"/>
      <c r="AE218" s="71">
        <v>0.42</v>
      </c>
      <c r="AF218" s="73">
        <f t="shared" si="28"/>
        <v>0</v>
      </c>
      <c r="AG218" s="73"/>
      <c r="AH218" s="73">
        <f t="shared" si="30"/>
        <v>0</v>
      </c>
      <c r="AI218" s="73">
        <v>0</v>
      </c>
      <c r="AJ218" s="73"/>
      <c r="AK218" s="73">
        <f t="shared" si="26"/>
        <v>0</v>
      </c>
    </row>
    <row r="219" spans="1:38">
      <c r="A219" s="67">
        <v>43922</v>
      </c>
      <c r="B219" s="68" t="s">
        <v>38</v>
      </c>
      <c r="C219" s="68" t="s">
        <v>57</v>
      </c>
      <c r="D219" s="68" t="s">
        <v>58</v>
      </c>
      <c r="E219" s="68" t="s">
        <v>284</v>
      </c>
      <c r="F219" s="68" t="s">
        <v>78</v>
      </c>
      <c r="G219" s="68" t="s">
        <v>78</v>
      </c>
      <c r="H219" s="68" t="s">
        <v>34</v>
      </c>
      <c r="I219" s="68" t="s">
        <v>276</v>
      </c>
      <c r="J219" s="41" t="s">
        <v>241</v>
      </c>
      <c r="K219" s="68" t="s">
        <v>78</v>
      </c>
      <c r="L219" s="69"/>
      <c r="M219" s="70" t="s">
        <v>43</v>
      </c>
      <c r="N219" s="70" t="s">
        <v>50</v>
      </c>
      <c r="O219" s="71">
        <v>5.5E-2</v>
      </c>
      <c r="P219" s="72"/>
      <c r="Q219" s="69"/>
      <c r="R219" s="20">
        <v>173646.82</v>
      </c>
      <c r="S219" s="73">
        <v>0</v>
      </c>
      <c r="T219" s="73">
        <v>13859.410000000002</v>
      </c>
      <c r="U219" s="73">
        <f t="shared" si="22"/>
        <v>159787.41</v>
      </c>
      <c r="V219" s="73">
        <f t="shared" si="23"/>
        <v>13221.529205020925</v>
      </c>
      <c r="W219" s="69"/>
      <c r="X219" s="22">
        <f t="shared" si="29"/>
        <v>0</v>
      </c>
      <c r="Y219" s="74">
        <f t="shared" si="27"/>
        <v>637.88079497907711</v>
      </c>
      <c r="Z219" s="74">
        <f t="shared" si="24"/>
        <v>13859.410000000002</v>
      </c>
      <c r="AA219" s="75">
        <v>0.05</v>
      </c>
      <c r="AB219" s="69"/>
      <c r="AC219" s="69"/>
      <c r="AD219" s="69"/>
      <c r="AE219" s="71">
        <v>0.14000000000000001</v>
      </c>
      <c r="AF219" s="73">
        <f t="shared" si="28"/>
        <v>13859.482456140349</v>
      </c>
      <c r="AG219" s="73">
        <v>37259.449999999997</v>
      </c>
      <c r="AH219" s="73">
        <f t="shared" si="30"/>
        <v>0</v>
      </c>
      <c r="AI219" s="73">
        <v>15799.81</v>
      </c>
      <c r="AJ219" s="73"/>
      <c r="AK219" s="73">
        <f t="shared" si="26"/>
        <v>13221.598326359834</v>
      </c>
      <c r="AL219" s="57">
        <f>AK219-V219</f>
        <v>6.9121338909098995E-2</v>
      </c>
    </row>
    <row r="220" spans="1:38">
      <c r="A220" s="67">
        <v>43922</v>
      </c>
      <c r="B220" s="68" t="s">
        <v>38</v>
      </c>
      <c r="C220" s="68" t="s">
        <v>46</v>
      </c>
      <c r="D220" s="68" t="s">
        <v>71</v>
      </c>
      <c r="E220" s="68" t="s">
        <v>72</v>
      </c>
      <c r="F220" s="68" t="s">
        <v>72</v>
      </c>
      <c r="G220" s="68" t="s">
        <v>72</v>
      </c>
      <c r="H220" s="68" t="s">
        <v>34</v>
      </c>
      <c r="I220" s="68" t="s">
        <v>276</v>
      </c>
      <c r="J220" s="41" t="s">
        <v>241</v>
      </c>
      <c r="K220" s="68" t="s">
        <v>73</v>
      </c>
      <c r="L220" s="69"/>
      <c r="M220" s="70" t="s">
        <v>43</v>
      </c>
      <c r="N220" s="70" t="s">
        <v>50</v>
      </c>
      <c r="O220" s="71">
        <v>0.11</v>
      </c>
      <c r="P220" s="72"/>
      <c r="Q220" s="69"/>
      <c r="R220" s="20">
        <v>205.52</v>
      </c>
      <c r="S220" s="73">
        <v>0</v>
      </c>
      <c r="T220" s="73">
        <v>0</v>
      </c>
      <c r="U220" s="73">
        <f t="shared" si="22"/>
        <v>205.52</v>
      </c>
      <c r="V220" s="73">
        <f t="shared" si="23"/>
        <v>0</v>
      </c>
      <c r="W220" s="69"/>
      <c r="X220" s="22">
        <f t="shared" si="29"/>
        <v>0</v>
      </c>
      <c r="Y220" s="74">
        <f t="shared" si="27"/>
        <v>0</v>
      </c>
      <c r="Z220" s="74">
        <f t="shared" si="24"/>
        <v>0</v>
      </c>
      <c r="AA220" s="75">
        <v>0.05</v>
      </c>
      <c r="AB220" s="69"/>
      <c r="AC220" s="69"/>
      <c r="AD220" s="69"/>
      <c r="AE220" s="71">
        <v>0.22</v>
      </c>
      <c r="AF220" s="73">
        <f t="shared" si="28"/>
        <v>0</v>
      </c>
      <c r="AG220" s="73"/>
      <c r="AH220" s="73">
        <f t="shared" si="30"/>
        <v>0</v>
      </c>
      <c r="AI220" s="73">
        <v>0</v>
      </c>
      <c r="AJ220" s="73"/>
      <c r="AK220" s="73">
        <f t="shared" si="26"/>
        <v>0</v>
      </c>
    </row>
    <row r="221" spans="1:38">
      <c r="A221" s="67">
        <v>43922</v>
      </c>
      <c r="B221" s="68" t="s">
        <v>38</v>
      </c>
      <c r="C221" s="68" t="s">
        <v>29</v>
      </c>
      <c r="D221" s="68" t="s">
        <v>145</v>
      </c>
      <c r="E221" s="68" t="s">
        <v>146</v>
      </c>
      <c r="F221" s="68" t="s">
        <v>146</v>
      </c>
      <c r="G221" s="68" t="s">
        <v>146</v>
      </c>
      <c r="H221" s="68" t="s">
        <v>34</v>
      </c>
      <c r="I221" s="68" t="s">
        <v>276</v>
      </c>
      <c r="J221" s="41" t="s">
        <v>241</v>
      </c>
      <c r="K221" s="68" t="s">
        <v>146</v>
      </c>
      <c r="L221" s="69"/>
      <c r="M221" s="70" t="s">
        <v>83</v>
      </c>
      <c r="N221" s="70" t="s">
        <v>50</v>
      </c>
      <c r="O221" s="71">
        <v>0.05</v>
      </c>
      <c r="P221" s="72"/>
      <c r="Q221" s="69"/>
      <c r="R221" s="20">
        <v>15503.97</v>
      </c>
      <c r="S221" s="73">
        <v>0</v>
      </c>
      <c r="T221" s="73">
        <v>0</v>
      </c>
      <c r="U221" s="73">
        <f t="shared" si="22"/>
        <v>15503.97</v>
      </c>
      <c r="V221" s="73">
        <f t="shared" si="23"/>
        <v>0</v>
      </c>
      <c r="W221" s="69"/>
      <c r="X221" s="22">
        <f t="shared" si="29"/>
        <v>0</v>
      </c>
      <c r="Y221" s="74">
        <f t="shared" si="27"/>
        <v>0</v>
      </c>
      <c r="Z221" s="74">
        <f t="shared" si="24"/>
        <v>0</v>
      </c>
      <c r="AA221" s="75">
        <v>0.05</v>
      </c>
      <c r="AB221" s="69"/>
      <c r="AC221" s="69"/>
      <c r="AD221" s="69"/>
      <c r="AE221" s="71">
        <v>0.36</v>
      </c>
      <c r="AF221" s="73">
        <f t="shared" si="28"/>
        <v>0</v>
      </c>
      <c r="AG221" s="73"/>
      <c r="AH221" s="73">
        <f t="shared" si="30"/>
        <v>0</v>
      </c>
      <c r="AI221" s="73">
        <v>0</v>
      </c>
      <c r="AJ221" s="73"/>
      <c r="AK221" s="73">
        <f t="shared" si="26"/>
        <v>0</v>
      </c>
    </row>
    <row r="222" spans="1:38">
      <c r="A222" s="67">
        <v>43922</v>
      </c>
      <c r="B222" s="68" t="s">
        <v>38</v>
      </c>
      <c r="C222" s="68" t="s">
        <v>39</v>
      </c>
      <c r="D222" s="68" t="s">
        <v>40</v>
      </c>
      <c r="E222" s="68" t="s">
        <v>41</v>
      </c>
      <c r="F222" s="68" t="s">
        <v>285</v>
      </c>
      <c r="G222" s="68" t="s">
        <v>41</v>
      </c>
      <c r="H222" s="68" t="s">
        <v>34</v>
      </c>
      <c r="I222" s="68" t="s">
        <v>276</v>
      </c>
      <c r="J222" s="41" t="s">
        <v>241</v>
      </c>
      <c r="K222" s="68" t="s">
        <v>44</v>
      </c>
      <c r="L222" s="69"/>
      <c r="M222" s="70" t="s">
        <v>43</v>
      </c>
      <c r="N222" s="70" t="s">
        <v>55</v>
      </c>
      <c r="O222" s="71">
        <v>0.02</v>
      </c>
      <c r="P222" s="72"/>
      <c r="Q222" s="69"/>
      <c r="R222" s="20"/>
      <c r="S222" s="73">
        <v>0</v>
      </c>
      <c r="T222" s="73"/>
      <c r="U222" s="73">
        <f t="shared" si="22"/>
        <v>0</v>
      </c>
      <c r="V222" s="73">
        <v>0</v>
      </c>
      <c r="W222" s="69"/>
      <c r="X222" s="22">
        <f t="shared" si="29"/>
        <v>0</v>
      </c>
      <c r="Y222" s="74">
        <f>V222*O222</f>
        <v>0</v>
      </c>
      <c r="Z222" s="74">
        <v>0</v>
      </c>
      <c r="AA222" s="75">
        <v>0.05</v>
      </c>
      <c r="AB222" s="69"/>
      <c r="AC222" s="69"/>
      <c r="AD222" s="69"/>
      <c r="AE222" s="71">
        <v>0.32</v>
      </c>
      <c r="AF222" s="73">
        <f t="shared" si="28"/>
        <v>0</v>
      </c>
      <c r="AG222" s="73"/>
      <c r="AH222" s="73">
        <f t="shared" si="30"/>
        <v>0</v>
      </c>
      <c r="AI222" s="73">
        <v>0</v>
      </c>
      <c r="AJ222" s="73"/>
      <c r="AK222" s="73">
        <v>0</v>
      </c>
    </row>
    <row r="223" spans="1:38">
      <c r="A223" s="67">
        <v>43922</v>
      </c>
      <c r="B223" s="68" t="s">
        <v>38</v>
      </c>
      <c r="C223" s="68" t="s">
        <v>39</v>
      </c>
      <c r="D223" s="68" t="s">
        <v>40</v>
      </c>
      <c r="E223" s="68" t="s">
        <v>286</v>
      </c>
      <c r="F223" s="68" t="s">
        <v>287</v>
      </c>
      <c r="G223" s="68" t="s">
        <v>286</v>
      </c>
      <c r="H223" s="68" t="s">
        <v>34</v>
      </c>
      <c r="I223" s="68" t="s">
        <v>276</v>
      </c>
      <c r="J223" s="41" t="s">
        <v>241</v>
      </c>
      <c r="K223" s="68" t="s">
        <v>44</v>
      </c>
      <c r="L223" s="69"/>
      <c r="M223" s="70" t="s">
        <v>83</v>
      </c>
      <c r="N223" s="70" t="s">
        <v>37</v>
      </c>
      <c r="O223" s="71">
        <v>0</v>
      </c>
      <c r="P223" s="72"/>
      <c r="Q223" s="69" t="s">
        <v>244</v>
      </c>
      <c r="R223" s="20">
        <v>0</v>
      </c>
      <c r="S223" s="73">
        <v>50000</v>
      </c>
      <c r="T223" s="73">
        <v>15168.74</v>
      </c>
      <c r="U223" s="73">
        <f t="shared" si="22"/>
        <v>34831.26</v>
      </c>
      <c r="V223" s="73">
        <v>200000</v>
      </c>
      <c r="W223" s="69"/>
      <c r="X223" s="22">
        <f t="shared" si="29"/>
        <v>150000</v>
      </c>
      <c r="Y223" s="74">
        <f t="shared" ref="Y223:Y236" si="31">T223-V223</f>
        <v>-184831.26</v>
      </c>
      <c r="Z223" s="74">
        <v>50000</v>
      </c>
      <c r="AA223" s="75">
        <v>0.05</v>
      </c>
      <c r="AB223" s="69"/>
      <c r="AC223" s="69"/>
      <c r="AD223" s="69"/>
      <c r="AE223" s="71">
        <v>0.24</v>
      </c>
      <c r="AF223" s="73">
        <f t="shared" si="28"/>
        <v>12232.854838709678</v>
      </c>
      <c r="AG223" s="73"/>
      <c r="AH223" s="73">
        <f t="shared" si="30"/>
        <v>12000</v>
      </c>
      <c r="AI223" s="73">
        <v>15168.74</v>
      </c>
      <c r="AJ223" s="73"/>
      <c r="AK223" s="73">
        <f>IF(N223="折扣",AI223*O223,AI223/(1+O223+AE223))</f>
        <v>12232.854838709678</v>
      </c>
      <c r="AL223" s="57">
        <f>AK223-V223</f>
        <v>-187767.14516129033</v>
      </c>
    </row>
    <row r="224" spans="1:38">
      <c r="A224" s="67">
        <v>43922</v>
      </c>
      <c r="B224" s="68" t="s">
        <v>38</v>
      </c>
      <c r="C224" s="68" t="s">
        <v>39</v>
      </c>
      <c r="D224" s="68" t="s">
        <v>40</v>
      </c>
      <c r="E224" s="68" t="s">
        <v>288</v>
      </c>
      <c r="F224" s="68" t="s">
        <v>288</v>
      </c>
      <c r="G224" s="68" t="s">
        <v>288</v>
      </c>
      <c r="H224" s="68" t="s">
        <v>34</v>
      </c>
      <c r="I224" s="68" t="s">
        <v>276</v>
      </c>
      <c r="J224" s="41" t="s">
        <v>241</v>
      </c>
      <c r="K224" s="68" t="s">
        <v>44</v>
      </c>
      <c r="L224" s="69"/>
      <c r="M224" s="70" t="s">
        <v>43</v>
      </c>
      <c r="N224" s="70" t="s">
        <v>289</v>
      </c>
      <c r="O224" s="71">
        <v>0.98</v>
      </c>
      <c r="P224" s="72"/>
      <c r="Q224" s="69" t="s">
        <v>308</v>
      </c>
      <c r="R224" s="20">
        <v>0</v>
      </c>
      <c r="S224" s="73">
        <v>150000</v>
      </c>
      <c r="T224" s="73">
        <v>5027.09</v>
      </c>
      <c r="U224" s="73">
        <f t="shared" si="22"/>
        <v>144972.91</v>
      </c>
      <c r="V224" s="73">
        <v>0</v>
      </c>
      <c r="W224" s="69"/>
      <c r="X224" s="22">
        <f t="shared" si="29"/>
        <v>0</v>
      </c>
      <c r="Y224" s="74">
        <f t="shared" si="31"/>
        <v>5027.09</v>
      </c>
      <c r="Z224" s="74">
        <v>0</v>
      </c>
      <c r="AA224" s="75">
        <v>0.05</v>
      </c>
      <c r="AB224" s="69"/>
      <c r="AC224" s="69" t="s">
        <v>306</v>
      </c>
      <c r="AD224" s="69"/>
      <c r="AE224" s="71">
        <v>0.3</v>
      </c>
      <c r="AF224" s="73">
        <v>0</v>
      </c>
      <c r="AG224" s="73"/>
      <c r="AH224" s="73">
        <f t="shared" si="30"/>
        <v>45000</v>
      </c>
      <c r="AI224" s="73">
        <v>5027.09</v>
      </c>
      <c r="AJ224" s="73">
        <f>R224+AG224+S224+AH224-AI224-U224</f>
        <v>45000</v>
      </c>
      <c r="AK224" s="73">
        <v>0</v>
      </c>
    </row>
    <row r="225" spans="1:38">
      <c r="A225" s="67">
        <v>43922</v>
      </c>
      <c r="B225" s="68" t="s">
        <v>38</v>
      </c>
      <c r="C225" s="68" t="s">
        <v>39</v>
      </c>
      <c r="D225" s="68" t="s">
        <v>40</v>
      </c>
      <c r="E225" s="68" t="s">
        <v>44</v>
      </c>
      <c r="F225" s="68" t="s">
        <v>44</v>
      </c>
      <c r="G225" s="68" t="s">
        <v>44</v>
      </c>
      <c r="H225" s="68" t="s">
        <v>34</v>
      </c>
      <c r="I225" s="68" t="s">
        <v>276</v>
      </c>
      <c r="J225" s="41" t="s">
        <v>241</v>
      </c>
      <c r="K225" s="68" t="s">
        <v>44</v>
      </c>
      <c r="L225" s="69"/>
      <c r="M225" s="70" t="s">
        <v>43</v>
      </c>
      <c r="N225" s="70" t="s">
        <v>50</v>
      </c>
      <c r="O225" s="71">
        <v>0.01</v>
      </c>
      <c r="P225" s="72"/>
      <c r="Q225" s="69" t="s">
        <v>233</v>
      </c>
      <c r="R225" s="20">
        <v>546995.58999999613</v>
      </c>
      <c r="S225" s="73">
        <v>623000</v>
      </c>
      <c r="T225" s="73">
        <v>1156673.58</v>
      </c>
      <c r="U225" s="73">
        <f t="shared" si="22"/>
        <v>13322.009999996051</v>
      </c>
      <c r="V225" s="73">
        <f>IF(N225="折扣",T225*O225,T225*(1+AE225)/(1+O225+AE225))</f>
        <v>1147976.7861654137</v>
      </c>
      <c r="W225" s="73">
        <v>32256</v>
      </c>
      <c r="X225" s="22">
        <f t="shared" si="29"/>
        <v>0</v>
      </c>
      <c r="Y225" s="74">
        <f t="shared" si="31"/>
        <v>8696.793834586395</v>
      </c>
      <c r="Z225" s="74">
        <f t="shared" si="24"/>
        <v>1156673.58</v>
      </c>
      <c r="AA225" s="75">
        <v>0.05</v>
      </c>
      <c r="AB225" s="69"/>
      <c r="AC225" s="69" t="s">
        <v>305</v>
      </c>
      <c r="AD225" s="69"/>
      <c r="AE225" s="71" t="s">
        <v>243</v>
      </c>
      <c r="AF225" s="73">
        <f t="shared" si="28"/>
        <v>1156681.0833333333</v>
      </c>
      <c r="AG225" s="73">
        <v>175025.15000000584</v>
      </c>
      <c r="AH225" s="73">
        <f t="shared" si="30"/>
        <v>199360</v>
      </c>
      <c r="AI225" s="73">
        <v>1526819.03</v>
      </c>
      <c r="AJ225" s="73">
        <f>R225+AG225+S225+AH225-AI225-U225</f>
        <v>4239.700000006007</v>
      </c>
      <c r="AK225" s="73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>
      <c r="A226" s="67">
        <v>43922</v>
      </c>
      <c r="B226" s="68" t="s">
        <v>38</v>
      </c>
      <c r="C226" s="68" t="s">
        <v>39</v>
      </c>
      <c r="D226" s="68" t="s">
        <v>40</v>
      </c>
      <c r="E226" s="68" t="s">
        <v>44</v>
      </c>
      <c r="F226" s="68" t="s">
        <v>44</v>
      </c>
      <c r="G226" s="68" t="s">
        <v>44</v>
      </c>
      <c r="H226" s="68" t="s">
        <v>34</v>
      </c>
      <c r="I226" s="68" t="s">
        <v>276</v>
      </c>
      <c r="J226" s="41" t="s">
        <v>241</v>
      </c>
      <c r="K226" s="68" t="s">
        <v>44</v>
      </c>
      <c r="L226" s="69"/>
      <c r="M226" s="70" t="s">
        <v>43</v>
      </c>
      <c r="N226" s="70" t="s">
        <v>37</v>
      </c>
      <c r="O226" s="71">
        <v>0</v>
      </c>
      <c r="P226" s="72"/>
      <c r="Q226" s="69" t="s">
        <v>244</v>
      </c>
      <c r="R226" s="20">
        <v>0</v>
      </c>
      <c r="S226" s="73">
        <v>2199214.7200000002</v>
      </c>
      <c r="T226" s="73">
        <v>2893.4699999998202</v>
      </c>
      <c r="U226" s="73">
        <f t="shared" si="22"/>
        <v>2196321.2500000005</v>
      </c>
      <c r="V226" s="73">
        <f>623000+200000</f>
        <v>823000</v>
      </c>
      <c r="W226" s="73">
        <v>49380</v>
      </c>
      <c r="X226" s="22">
        <f t="shared" si="29"/>
        <v>200000</v>
      </c>
      <c r="Y226" s="74">
        <f t="shared" si="31"/>
        <v>-820106.53000000014</v>
      </c>
      <c r="Z226" s="74">
        <v>623000</v>
      </c>
      <c r="AA226" s="75">
        <v>0.05</v>
      </c>
      <c r="AB226" s="69"/>
      <c r="AC226" s="69" t="s">
        <v>306</v>
      </c>
      <c r="AD226" s="69"/>
      <c r="AE226" s="71">
        <v>0.3</v>
      </c>
      <c r="AF226" s="73">
        <f t="shared" si="28"/>
        <v>2225.7461538461926</v>
      </c>
      <c r="AG226" s="73"/>
      <c r="AH226" s="73">
        <f t="shared" si="30"/>
        <v>659764.41600000008</v>
      </c>
      <c r="AI226" s="73">
        <v>2893.4700000000503</v>
      </c>
      <c r="AJ226" s="73">
        <f>R226+AG226+S226+AH226-AI226-U226</f>
        <v>659764.41599999974</v>
      </c>
      <c r="AK226" s="73">
        <v>823000</v>
      </c>
      <c r="AL226" s="57">
        <f t="shared" si="33"/>
        <v>0</v>
      </c>
    </row>
    <row r="227" spans="1:38">
      <c r="A227" s="67">
        <v>43922</v>
      </c>
      <c r="B227" s="68" t="s">
        <v>38</v>
      </c>
      <c r="C227" s="68" t="s">
        <v>39</v>
      </c>
      <c r="D227" s="68" t="s">
        <v>40</v>
      </c>
      <c r="E227" s="68" t="s">
        <v>44</v>
      </c>
      <c r="F227" s="68" t="s">
        <v>44</v>
      </c>
      <c r="G227" s="68" t="s">
        <v>44</v>
      </c>
      <c r="H227" s="68" t="s">
        <v>34</v>
      </c>
      <c r="I227" s="68" t="s">
        <v>276</v>
      </c>
      <c r="J227" s="41" t="s">
        <v>241</v>
      </c>
      <c r="K227" s="68" t="s">
        <v>44</v>
      </c>
      <c r="L227" s="69"/>
      <c r="M227" s="70" t="s">
        <v>83</v>
      </c>
      <c r="N227" s="70" t="s">
        <v>50</v>
      </c>
      <c r="O227" s="71">
        <v>0.05</v>
      </c>
      <c r="P227" s="72"/>
      <c r="Q227" s="69" t="s">
        <v>233</v>
      </c>
      <c r="R227" s="20">
        <v>1037878.79</v>
      </c>
      <c r="S227" s="73">
        <v>0</v>
      </c>
      <c r="T227" s="73">
        <v>1037807.4099999998</v>
      </c>
      <c r="U227" s="73">
        <f t="shared" si="22"/>
        <v>71.380000000237487</v>
      </c>
      <c r="V227" s="73">
        <f>IF(N227="折扣",T227*O227,T227*(1+AE227)/(1+O227+AE227))</f>
        <v>999931.22715328448</v>
      </c>
      <c r="W227" s="73">
        <v>60000.000122627738</v>
      </c>
      <c r="X227" s="22">
        <f t="shared" si="29"/>
        <v>0</v>
      </c>
      <c r="Y227" s="74">
        <f t="shared" si="31"/>
        <v>37876.182846715325</v>
      </c>
      <c r="Z227" s="74">
        <f t="shared" si="24"/>
        <v>1037807.4099999998</v>
      </c>
      <c r="AA227" s="75">
        <v>0.05</v>
      </c>
      <c r="AB227" s="69"/>
      <c r="AC227" s="69"/>
      <c r="AD227" s="69"/>
      <c r="AE227" s="71" t="s">
        <v>243</v>
      </c>
      <c r="AF227" s="73">
        <f t="shared" si="28"/>
        <v>1037878.787878788</v>
      </c>
      <c r="AG227" s="73"/>
      <c r="AH227" s="73">
        <f t="shared" si="30"/>
        <v>0</v>
      </c>
      <c r="AI227" s="73">
        <v>1370000.0000000002</v>
      </c>
      <c r="AJ227" s="73"/>
      <c r="AK227" s="73">
        <f t="shared" si="32"/>
        <v>1000000.0000000001</v>
      </c>
      <c r="AL227" s="57">
        <f t="shared" si="33"/>
        <v>68.772846715641208</v>
      </c>
    </row>
    <row r="228" spans="1:38">
      <c r="A228" s="67">
        <v>43922</v>
      </c>
      <c r="B228" s="68" t="s">
        <v>38</v>
      </c>
      <c r="C228" s="68" t="s">
        <v>51</v>
      </c>
      <c r="D228" s="68" t="s">
        <v>52</v>
      </c>
      <c r="E228" s="68" t="s">
        <v>56</v>
      </c>
      <c r="F228" s="68" t="s">
        <v>56</v>
      </c>
      <c r="G228" s="68" t="s">
        <v>56</v>
      </c>
      <c r="H228" s="68" t="s">
        <v>34</v>
      </c>
      <c r="I228" s="68" t="s">
        <v>276</v>
      </c>
      <c r="J228" s="41" t="s">
        <v>241</v>
      </c>
      <c r="K228" s="68" t="s">
        <v>54</v>
      </c>
      <c r="L228" s="69"/>
      <c r="M228" s="70" t="s">
        <v>43</v>
      </c>
      <c r="N228" s="70" t="s">
        <v>50</v>
      </c>
      <c r="O228" s="71">
        <v>0.03</v>
      </c>
      <c r="P228" s="72"/>
      <c r="Q228" s="69"/>
      <c r="R228" s="20">
        <v>5696.55</v>
      </c>
      <c r="S228" s="73">
        <v>0</v>
      </c>
      <c r="T228" s="73">
        <v>0</v>
      </c>
      <c r="U228" s="73">
        <f t="shared" si="22"/>
        <v>5696.55</v>
      </c>
      <c r="V228" s="73">
        <f>IF(N228="折扣",T228*O228,T228*(1+AE228)/(1+O228+AE228))</f>
        <v>0</v>
      </c>
      <c r="W228" s="69"/>
      <c r="X228" s="22">
        <f t="shared" si="29"/>
        <v>0</v>
      </c>
      <c r="Y228" s="74">
        <f t="shared" si="31"/>
        <v>0</v>
      </c>
      <c r="Z228" s="74">
        <f t="shared" si="24"/>
        <v>0</v>
      </c>
      <c r="AA228" s="75">
        <v>0.05</v>
      </c>
      <c r="AB228" s="69"/>
      <c r="AC228" s="69"/>
      <c r="AD228" s="69"/>
      <c r="AE228" s="71">
        <v>0</v>
      </c>
      <c r="AF228" s="73">
        <f t="shared" si="28"/>
        <v>0</v>
      </c>
      <c r="AG228" s="73"/>
      <c r="AH228" s="73">
        <f t="shared" si="30"/>
        <v>0</v>
      </c>
      <c r="AI228" s="73">
        <v>0</v>
      </c>
      <c r="AJ228" s="73"/>
      <c r="AK228" s="73">
        <f t="shared" si="32"/>
        <v>0</v>
      </c>
    </row>
    <row r="229" spans="1:38">
      <c r="A229" s="67">
        <v>43922</v>
      </c>
      <c r="B229" s="68" t="s">
        <v>38</v>
      </c>
      <c r="C229" s="68" t="s">
        <v>51</v>
      </c>
      <c r="D229" s="68" t="s">
        <v>52</v>
      </c>
      <c r="E229" s="68" t="s">
        <v>149</v>
      </c>
      <c r="F229" s="68" t="s">
        <v>149</v>
      </c>
      <c r="G229" s="68" t="s">
        <v>149</v>
      </c>
      <c r="H229" s="68" t="s">
        <v>34</v>
      </c>
      <c r="I229" s="68" t="s">
        <v>276</v>
      </c>
      <c r="J229" s="41" t="s">
        <v>241</v>
      </c>
      <c r="K229" s="68" t="s">
        <v>150</v>
      </c>
      <c r="L229" s="69"/>
      <c r="M229" s="70" t="s">
        <v>43</v>
      </c>
      <c r="N229" s="70" t="s">
        <v>37</v>
      </c>
      <c r="O229" s="71">
        <v>0</v>
      </c>
      <c r="P229" s="72"/>
      <c r="Q229" s="69"/>
      <c r="R229" s="20">
        <v>6379.42</v>
      </c>
      <c r="S229" s="73">
        <v>0</v>
      </c>
      <c r="T229" s="73">
        <v>0</v>
      </c>
      <c r="U229" s="73">
        <f t="shared" si="22"/>
        <v>6379.42</v>
      </c>
      <c r="V229" s="73">
        <f>IF(N229="折扣",T229*O229,T229*(1+AE229)/(1+O229+AE229))</f>
        <v>0</v>
      </c>
      <c r="W229" s="69"/>
      <c r="X229" s="22">
        <f t="shared" si="29"/>
        <v>0</v>
      </c>
      <c r="Y229" s="74">
        <f t="shared" si="31"/>
        <v>0</v>
      </c>
      <c r="Z229" s="74">
        <f t="shared" si="24"/>
        <v>0</v>
      </c>
      <c r="AA229" s="75">
        <v>0.05</v>
      </c>
      <c r="AB229" s="69"/>
      <c r="AC229" s="69"/>
      <c r="AD229" s="69"/>
      <c r="AE229" s="71">
        <v>0.11</v>
      </c>
      <c r="AF229" s="73">
        <f t="shared" si="28"/>
        <v>0</v>
      </c>
      <c r="AG229" s="73"/>
      <c r="AH229" s="73">
        <f t="shared" si="30"/>
        <v>0</v>
      </c>
      <c r="AI229" s="73">
        <v>0</v>
      </c>
      <c r="AJ229" s="73"/>
      <c r="AK229" s="73">
        <f t="shared" si="32"/>
        <v>0</v>
      </c>
    </row>
    <row r="230" spans="1:38">
      <c r="A230" s="67">
        <v>43922</v>
      </c>
      <c r="B230" s="68" t="s">
        <v>38</v>
      </c>
      <c r="C230" s="68" t="s">
        <v>37</v>
      </c>
      <c r="D230" s="68" t="s">
        <v>37</v>
      </c>
      <c r="E230" s="68" t="s">
        <v>65</v>
      </c>
      <c r="F230" s="68" t="s">
        <v>65</v>
      </c>
      <c r="G230" s="68" t="s">
        <v>65</v>
      </c>
      <c r="H230" s="68" t="s">
        <v>34</v>
      </c>
      <c r="I230" s="68" t="s">
        <v>276</v>
      </c>
      <c r="J230" s="41" t="s">
        <v>241</v>
      </c>
      <c r="K230" s="68" t="s">
        <v>65</v>
      </c>
      <c r="L230" s="69"/>
      <c r="M230" s="70" t="s">
        <v>43</v>
      </c>
      <c r="N230" s="70" t="s">
        <v>37</v>
      </c>
      <c r="O230" s="71">
        <v>0</v>
      </c>
      <c r="P230" s="72"/>
      <c r="Q230" s="69"/>
      <c r="R230" s="20">
        <v>16597.23</v>
      </c>
      <c r="S230" s="73">
        <v>0</v>
      </c>
      <c r="T230" s="73">
        <v>53.63</v>
      </c>
      <c r="U230" s="73">
        <f t="shared" si="22"/>
        <v>16543.599999999999</v>
      </c>
      <c r="V230" s="73">
        <f>IF(N230="折扣",T230*O230,T230*(1+AE230)/(1+O230+AE230))</f>
        <v>53.63</v>
      </c>
      <c r="W230" s="69"/>
      <c r="X230" s="22">
        <f t="shared" si="29"/>
        <v>0</v>
      </c>
      <c r="Y230" s="74">
        <f t="shared" si="31"/>
        <v>0</v>
      </c>
      <c r="Z230" s="74">
        <f t="shared" si="24"/>
        <v>53.63</v>
      </c>
      <c r="AA230" s="75">
        <v>0.05</v>
      </c>
      <c r="AB230" s="69"/>
      <c r="AC230" s="69"/>
      <c r="AD230" s="69"/>
      <c r="AE230" s="71">
        <v>0.42</v>
      </c>
      <c r="AF230" s="73">
        <f t="shared" si="28"/>
        <v>37.767605633802823</v>
      </c>
      <c r="AG230" s="73"/>
      <c r="AH230" s="73">
        <f t="shared" si="30"/>
        <v>0</v>
      </c>
      <c r="AI230" s="73">
        <v>53.63</v>
      </c>
      <c r="AJ230" s="73"/>
      <c r="AK230" s="73">
        <f t="shared" si="32"/>
        <v>37.767605633802823</v>
      </c>
      <c r="AL230" s="57">
        <f t="shared" ref="AL230:AL231" si="34">AK230-V230</f>
        <v>-15.862394366197179</v>
      </c>
    </row>
    <row r="231" spans="1:38">
      <c r="A231" s="67">
        <v>43922</v>
      </c>
      <c r="B231" s="68" t="s">
        <v>38</v>
      </c>
      <c r="C231" s="68" t="s">
        <v>37</v>
      </c>
      <c r="D231" s="68" t="s">
        <v>37</v>
      </c>
      <c r="E231" s="68" t="s">
        <v>290</v>
      </c>
      <c r="F231" s="68" t="s">
        <v>290</v>
      </c>
      <c r="G231" s="68" t="s">
        <v>290</v>
      </c>
      <c r="H231" s="68" t="s">
        <v>34</v>
      </c>
      <c r="I231" s="68" t="s">
        <v>276</v>
      </c>
      <c r="J231" s="41" t="s">
        <v>241</v>
      </c>
      <c r="K231" s="68" t="s">
        <v>290</v>
      </c>
      <c r="L231" s="69"/>
      <c r="M231" s="70" t="s">
        <v>43</v>
      </c>
      <c r="N231" s="70" t="s">
        <v>37</v>
      </c>
      <c r="O231" s="71">
        <v>0</v>
      </c>
      <c r="P231" s="72"/>
      <c r="Q231" s="69"/>
      <c r="R231" s="20">
        <v>0</v>
      </c>
      <c r="S231" s="73">
        <v>0</v>
      </c>
      <c r="T231" s="73">
        <v>1.02</v>
      </c>
      <c r="U231" s="73">
        <f t="shared" si="22"/>
        <v>-1.02</v>
      </c>
      <c r="V231" s="73">
        <f>IF(N231="折扣",T231*O231,T231*(1+AE231)/(1+O231+AE231))</f>
        <v>1.02</v>
      </c>
      <c r="W231" s="69"/>
      <c r="X231" s="22">
        <f t="shared" si="29"/>
        <v>0</v>
      </c>
      <c r="Y231" s="74">
        <f t="shared" si="31"/>
        <v>0</v>
      </c>
      <c r="Z231" s="74">
        <f t="shared" si="24"/>
        <v>1.02</v>
      </c>
      <c r="AA231" s="75">
        <v>0.05</v>
      </c>
      <c r="AB231" s="69"/>
      <c r="AC231" s="69"/>
      <c r="AD231" s="69"/>
      <c r="AE231" s="71">
        <v>0.42</v>
      </c>
      <c r="AF231" s="73">
        <f t="shared" si="28"/>
        <v>0.88028169014084512</v>
      </c>
      <c r="AG231" s="73"/>
      <c r="AH231" s="73">
        <f t="shared" si="30"/>
        <v>0</v>
      </c>
      <c r="AI231" s="73">
        <v>1.25</v>
      </c>
      <c r="AJ231" s="73"/>
      <c r="AK231" s="73">
        <f t="shared" si="32"/>
        <v>0.88028169014084512</v>
      </c>
      <c r="AL231" s="57">
        <f t="shared" si="34"/>
        <v>-0.1397183098591549</v>
      </c>
    </row>
    <row r="232" spans="1:38">
      <c r="A232" s="67">
        <v>43922</v>
      </c>
      <c r="B232" s="68" t="s">
        <v>38</v>
      </c>
      <c r="C232" s="68" t="s">
        <v>39</v>
      </c>
      <c r="D232" s="68" t="s">
        <v>40</v>
      </c>
      <c r="E232" s="68" t="s">
        <v>41</v>
      </c>
      <c r="F232" s="68" t="s">
        <v>285</v>
      </c>
      <c r="G232" s="68" t="s">
        <v>41</v>
      </c>
      <c r="H232" s="68" t="s">
        <v>160</v>
      </c>
      <c r="I232" s="68" t="s">
        <v>291</v>
      </c>
      <c r="J232" s="41" t="s">
        <v>241</v>
      </c>
      <c r="K232" s="68" t="s">
        <v>41</v>
      </c>
      <c r="L232" s="69"/>
      <c r="M232" s="68" t="s">
        <v>43</v>
      </c>
      <c r="N232" s="68" t="s">
        <v>37</v>
      </c>
      <c r="O232" s="76">
        <v>0</v>
      </c>
      <c r="P232" s="68"/>
      <c r="Q232" s="69" t="s">
        <v>235</v>
      </c>
      <c r="R232" s="20">
        <v>0</v>
      </c>
      <c r="S232" s="73">
        <v>1943.83</v>
      </c>
      <c r="T232" s="73">
        <v>1943.83</v>
      </c>
      <c r="U232" s="73">
        <f t="shared" si="22"/>
        <v>0</v>
      </c>
      <c r="V232" s="73">
        <v>0</v>
      </c>
      <c r="W232" s="69"/>
      <c r="X232" s="22">
        <f t="shared" si="29"/>
        <v>0</v>
      </c>
      <c r="Y232" s="74">
        <f t="shared" si="31"/>
        <v>1943.83</v>
      </c>
      <c r="Z232" s="73">
        <v>1943.83</v>
      </c>
      <c r="AA232" s="75">
        <v>0</v>
      </c>
      <c r="AB232" s="69"/>
      <c r="AC232" s="69"/>
      <c r="AD232" s="69"/>
      <c r="AE232" s="76">
        <v>0</v>
      </c>
      <c r="AF232" s="77"/>
      <c r="AG232" s="77"/>
      <c r="AH232" s="77"/>
      <c r="AI232" s="77"/>
      <c r="AJ232" s="77"/>
      <c r="AK232" s="77"/>
    </row>
    <row r="233" spans="1:38">
      <c r="A233" s="67">
        <v>43922</v>
      </c>
      <c r="B233" s="68" t="s">
        <v>38</v>
      </c>
      <c r="C233" s="68" t="s">
        <v>39</v>
      </c>
      <c r="D233" s="68" t="s">
        <v>40</v>
      </c>
      <c r="E233" s="68" t="s">
        <v>44</v>
      </c>
      <c r="F233" s="68" t="s">
        <v>44</v>
      </c>
      <c r="G233" s="68" t="s">
        <v>44</v>
      </c>
      <c r="H233" s="68" t="s">
        <v>34</v>
      </c>
      <c r="I233" s="68" t="s">
        <v>276</v>
      </c>
      <c r="J233" s="41" t="s">
        <v>241</v>
      </c>
      <c r="K233" s="68" t="s">
        <v>44</v>
      </c>
      <c r="L233" s="69"/>
      <c r="M233" s="68" t="s">
        <v>159</v>
      </c>
      <c r="N233" s="68" t="s">
        <v>261</v>
      </c>
      <c r="O233" s="76">
        <v>0</v>
      </c>
      <c r="P233" s="68"/>
      <c r="Q233" s="69"/>
      <c r="R233" s="20">
        <v>0</v>
      </c>
      <c r="S233" s="73">
        <v>3091718</v>
      </c>
      <c r="T233" s="73">
        <v>6400000</v>
      </c>
      <c r="U233" s="73">
        <f t="shared" si="22"/>
        <v>-3308282</v>
      </c>
      <c r="V233" s="73">
        <v>6410256.4100000001</v>
      </c>
      <c r="W233" s="73">
        <f>V233*6%</f>
        <v>384615.38459999999</v>
      </c>
      <c r="X233" s="22">
        <f t="shared" si="29"/>
        <v>2705506.41</v>
      </c>
      <c r="Y233" s="74">
        <f t="shared" si="31"/>
        <v>-10256.410000000149</v>
      </c>
      <c r="Z233" s="73">
        <v>3704750</v>
      </c>
      <c r="AA233" s="75">
        <v>0.05</v>
      </c>
      <c r="AB233" s="69"/>
      <c r="AC233" s="69"/>
      <c r="AD233" s="69" t="s">
        <v>292</v>
      </c>
      <c r="AE233" s="76">
        <v>0.35</v>
      </c>
      <c r="AF233" s="77"/>
      <c r="AG233" s="77"/>
      <c r="AH233" s="77"/>
      <c r="AI233" s="77"/>
      <c r="AJ233" s="77"/>
      <c r="AK233" s="77"/>
    </row>
    <row r="234" spans="1:38">
      <c r="A234" s="67">
        <v>43922</v>
      </c>
      <c r="B234" s="68" t="s">
        <v>38</v>
      </c>
      <c r="C234" s="68" t="s">
        <v>39</v>
      </c>
      <c r="D234" s="68" t="s">
        <v>40</v>
      </c>
      <c r="E234" s="68" t="s">
        <v>44</v>
      </c>
      <c r="F234" s="68" t="s">
        <v>44</v>
      </c>
      <c r="G234" s="68" t="s">
        <v>44</v>
      </c>
      <c r="H234" s="68" t="s">
        <v>160</v>
      </c>
      <c r="I234" s="68" t="s">
        <v>291</v>
      </c>
      <c r="J234" s="41" t="s">
        <v>241</v>
      </c>
      <c r="K234" s="68" t="s">
        <v>44</v>
      </c>
      <c r="L234" s="69"/>
      <c r="M234" s="68" t="s">
        <v>43</v>
      </c>
      <c r="N234" s="68" t="s">
        <v>37</v>
      </c>
      <c r="O234" s="76">
        <v>0</v>
      </c>
      <c r="P234" s="68"/>
      <c r="Q234" s="69" t="s">
        <v>235</v>
      </c>
      <c r="R234" s="20">
        <v>113492.08000000002</v>
      </c>
      <c r="S234" s="73">
        <v>67634.25</v>
      </c>
      <c r="T234" s="73">
        <v>67634.25</v>
      </c>
      <c r="U234" s="73">
        <v>0</v>
      </c>
      <c r="V234" s="73">
        <v>0</v>
      </c>
      <c r="W234" s="69"/>
      <c r="X234" s="22">
        <f t="shared" si="29"/>
        <v>0</v>
      </c>
      <c r="Y234" s="74">
        <f t="shared" si="31"/>
        <v>67634.25</v>
      </c>
      <c r="Z234" s="73">
        <v>67634.25</v>
      </c>
      <c r="AA234" s="75">
        <v>0</v>
      </c>
      <c r="AB234" s="69"/>
      <c r="AC234" s="69"/>
      <c r="AD234" s="69"/>
      <c r="AE234" s="76">
        <v>0</v>
      </c>
      <c r="AF234" s="77"/>
      <c r="AG234" s="77"/>
      <c r="AH234" s="77"/>
      <c r="AI234" s="77"/>
      <c r="AJ234" s="77"/>
      <c r="AK234" s="77"/>
    </row>
    <row r="235" spans="1:38">
      <c r="A235" s="67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78">
        <v>0</v>
      </c>
      <c r="P235" s="12"/>
      <c r="Q235" s="41"/>
      <c r="R235" s="20">
        <v>4076.1200000000003</v>
      </c>
      <c r="S235" s="73"/>
      <c r="T235" s="73">
        <v>0</v>
      </c>
      <c r="U235" s="73">
        <v>0</v>
      </c>
      <c r="V235" s="73">
        <f>IF(N235="折扣",T235*O235,T235*(1+AE235)/(1+O235+AE235))</f>
        <v>0</v>
      </c>
      <c r="W235" s="79"/>
      <c r="X235" s="22">
        <f t="shared" si="29"/>
        <v>0</v>
      </c>
      <c r="Y235" s="74">
        <f t="shared" si="31"/>
        <v>0</v>
      </c>
      <c r="Z235" s="80">
        <v>0</v>
      </c>
      <c r="AA235" s="75">
        <v>0</v>
      </c>
      <c r="AB235" s="79"/>
      <c r="AC235" s="79"/>
      <c r="AD235" s="79"/>
      <c r="AE235" s="76" t="s">
        <v>84</v>
      </c>
      <c r="AF235" s="77"/>
      <c r="AG235" s="77"/>
      <c r="AH235" s="77"/>
      <c r="AI235" s="77"/>
      <c r="AJ235" s="77"/>
      <c r="AK235" s="77"/>
    </row>
    <row r="236" spans="1:38">
      <c r="A236" s="67">
        <v>43922</v>
      </c>
      <c r="B236" s="81" t="s">
        <v>38</v>
      </c>
      <c r="C236" s="81" t="s">
        <v>39</v>
      </c>
      <c r="D236" s="81" t="s">
        <v>40</v>
      </c>
      <c r="E236" s="81" t="s">
        <v>44</v>
      </c>
      <c r="F236" s="81" t="s">
        <v>293</v>
      </c>
      <c r="G236" s="81" t="s">
        <v>293</v>
      </c>
      <c r="H236" s="81" t="s">
        <v>294</v>
      </c>
      <c r="I236" s="81" t="s">
        <v>295</v>
      </c>
      <c r="J236" s="41" t="s">
        <v>241</v>
      </c>
      <c r="K236" s="81" t="s">
        <v>44</v>
      </c>
      <c r="L236" s="82"/>
      <c r="M236" s="81" t="s">
        <v>43</v>
      </c>
      <c r="N236" s="81" t="s">
        <v>50</v>
      </c>
      <c r="O236" s="83">
        <v>0.06</v>
      </c>
      <c r="P236" s="83"/>
      <c r="Q236" s="82"/>
      <c r="R236" s="20">
        <v>0</v>
      </c>
      <c r="S236" s="84">
        <v>0</v>
      </c>
      <c r="T236" s="84">
        <f>V236</f>
        <v>85.922413793103445</v>
      </c>
      <c r="U236" s="84">
        <v>0</v>
      </c>
      <c r="V236" s="84">
        <v>85.922413793103445</v>
      </c>
      <c r="W236" s="84"/>
      <c r="X236" s="22">
        <f t="shared" si="29"/>
        <v>0</v>
      </c>
      <c r="Y236" s="84">
        <f t="shared" si="31"/>
        <v>0</v>
      </c>
      <c r="Z236" s="84">
        <f>T236</f>
        <v>85.922413793103445</v>
      </c>
      <c r="AA236" s="85">
        <v>0</v>
      </c>
      <c r="AB236" s="82"/>
      <c r="AC236" s="82"/>
      <c r="AD236" s="86"/>
      <c r="AE236" s="83" t="s">
        <v>296</v>
      </c>
      <c r="AF236" s="87"/>
      <c r="AG236" s="87"/>
      <c r="AH236" s="87"/>
      <c r="AI236" s="87"/>
      <c r="AJ236" s="87"/>
      <c r="AK236" s="87"/>
    </row>
    <row r="237" spans="1:38">
      <c r="A237" s="67">
        <v>43922</v>
      </c>
      <c r="B237" s="68" t="s">
        <v>38</v>
      </c>
      <c r="C237" s="68" t="s">
        <v>39</v>
      </c>
      <c r="D237" s="68" t="s">
        <v>40</v>
      </c>
      <c r="E237" s="68" t="s">
        <v>44</v>
      </c>
      <c r="F237" s="68" t="s">
        <v>44</v>
      </c>
      <c r="G237" s="68" t="s">
        <v>44</v>
      </c>
      <c r="H237" s="68" t="s">
        <v>34</v>
      </c>
      <c r="I237" s="68" t="s">
        <v>276</v>
      </c>
      <c r="J237" s="41" t="s">
        <v>241</v>
      </c>
      <c r="K237" s="68" t="s">
        <v>44</v>
      </c>
      <c r="L237" s="69"/>
      <c r="M237" s="68" t="s">
        <v>159</v>
      </c>
      <c r="N237" s="45" t="s">
        <v>321</v>
      </c>
      <c r="O237" s="120">
        <v>0.01</v>
      </c>
      <c r="P237" s="68"/>
      <c r="Q237" s="109" t="s">
        <v>307</v>
      </c>
      <c r="R237" s="20"/>
      <c r="S237" s="73"/>
      <c r="T237" s="73">
        <v>24590.1</v>
      </c>
      <c r="U237" s="73"/>
      <c r="V237" s="104">
        <f>T237*(1+AE237)/(1+O237+AE237)</f>
        <v>24405.212030075189</v>
      </c>
      <c r="W237" s="73">
        <f>V237*6%</f>
        <v>1464.3127218045113</v>
      </c>
      <c r="X237" s="22">
        <f t="shared" ref="X237:X292" si="35">IF(V237-Z237&lt;0,0,IF(N237="返现",MAX(V237-Y237-Z237,0),MAX(V237-Z237,0)))</f>
        <v>0</v>
      </c>
      <c r="Y237" s="74">
        <f t="shared" ref="Y237" si="36">T237-V237</f>
        <v>184.88796992481002</v>
      </c>
      <c r="Z237" s="73">
        <f>T237</f>
        <v>24590.1</v>
      </c>
      <c r="AA237" s="75">
        <v>0.05</v>
      </c>
      <c r="AB237" s="69"/>
      <c r="AC237" s="69" t="s">
        <v>307</v>
      </c>
      <c r="AD237" s="69"/>
      <c r="AE237" s="106">
        <v>0.32</v>
      </c>
      <c r="AF237" s="77"/>
      <c r="AG237" s="77"/>
      <c r="AH237" s="77"/>
      <c r="AI237" s="77"/>
      <c r="AJ237" s="77"/>
      <c r="AK237" s="77"/>
    </row>
    <row r="238" spans="1:38">
      <c r="A238" s="90" t="s">
        <v>309</v>
      </c>
      <c r="B238" s="91" t="s">
        <v>38</v>
      </c>
      <c r="C238" s="91" t="s">
        <v>39</v>
      </c>
      <c r="D238" s="91" t="s">
        <v>40</v>
      </c>
      <c r="E238" s="91" t="s">
        <v>286</v>
      </c>
      <c r="F238" s="91" t="s">
        <v>286</v>
      </c>
      <c r="G238" s="91" t="s">
        <v>286</v>
      </c>
      <c r="H238" s="91" t="s">
        <v>34</v>
      </c>
      <c r="I238" s="91" t="s">
        <v>214</v>
      </c>
      <c r="J238" s="91" t="s">
        <v>241</v>
      </c>
      <c r="K238" s="91" t="s">
        <v>44</v>
      </c>
      <c r="L238" s="91"/>
      <c r="M238" s="91" t="s">
        <v>83</v>
      </c>
      <c r="N238" s="91" t="s">
        <v>37</v>
      </c>
      <c r="O238" s="92">
        <v>0</v>
      </c>
      <c r="P238" s="93"/>
      <c r="Q238" s="91" t="s">
        <v>244</v>
      </c>
      <c r="R238" s="20">
        <v>34831.26</v>
      </c>
      <c r="S238" s="95">
        <v>200000</v>
      </c>
      <c r="T238" s="95">
        <v>218697.74000000011</v>
      </c>
      <c r="U238" s="95">
        <f t="shared" ref="U238:U287" si="37">R238+S238-T238</f>
        <v>16133.519999999902</v>
      </c>
      <c r="V238" s="95">
        <v>1608518</v>
      </c>
      <c r="W238" s="95"/>
      <c r="X238" s="22">
        <f t="shared" si="35"/>
        <v>1408518</v>
      </c>
      <c r="Y238" s="95">
        <f>IF(N238="返现",V238*O238,T238-V238)</f>
        <v>-1389820.2599999998</v>
      </c>
      <c r="Z238" s="95">
        <v>200000</v>
      </c>
      <c r="AA238" s="96">
        <v>0.05</v>
      </c>
      <c r="AB238" s="97"/>
      <c r="AC238" s="95"/>
      <c r="AD238" s="95"/>
      <c r="AE238" s="96">
        <v>0.24</v>
      </c>
      <c r="AF238" s="94">
        <f>Z238</f>
        <v>200000</v>
      </c>
      <c r="AG238" s="95">
        <v>0</v>
      </c>
      <c r="AH238" s="95">
        <f t="shared" ref="AH238:AH287" si="38">S238*AE238</f>
        <v>48000</v>
      </c>
      <c r="AI238" s="95">
        <v>266697.74000000011</v>
      </c>
      <c r="AJ238" s="98">
        <f t="shared" ref="AJ238:AJ287" si="39">AG238+AH238+AI238-T238</f>
        <v>96000</v>
      </c>
      <c r="AK238" s="98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>
      <c r="A239" s="90" t="s">
        <v>309</v>
      </c>
      <c r="B239" s="91" t="s">
        <v>38</v>
      </c>
      <c r="C239" s="91" t="s">
        <v>39</v>
      </c>
      <c r="D239" s="91" t="s">
        <v>40</v>
      </c>
      <c r="E239" s="91" t="s">
        <v>288</v>
      </c>
      <c r="F239" s="91" t="s">
        <v>288</v>
      </c>
      <c r="G239" s="91" t="s">
        <v>288</v>
      </c>
      <c r="H239" s="91" t="s">
        <v>34</v>
      </c>
      <c r="I239" s="91" t="s">
        <v>214</v>
      </c>
      <c r="J239" s="91" t="s">
        <v>241</v>
      </c>
      <c r="K239" s="91" t="s">
        <v>44</v>
      </c>
      <c r="L239" s="91"/>
      <c r="M239" s="91" t="s">
        <v>43</v>
      </c>
      <c r="N239" s="91" t="s">
        <v>289</v>
      </c>
      <c r="O239" s="92">
        <v>0.98</v>
      </c>
      <c r="P239" s="93"/>
      <c r="Q239" s="91" t="s">
        <v>244</v>
      </c>
      <c r="R239" s="20">
        <v>144972.91</v>
      </c>
      <c r="S239" s="95">
        <v>150000</v>
      </c>
      <c r="T239" s="95">
        <v>144977.1</v>
      </c>
      <c r="U239" s="95">
        <f t="shared" si="37"/>
        <v>149995.81000000003</v>
      </c>
      <c r="V239" s="95">
        <v>949457.32</v>
      </c>
      <c r="W239" s="95"/>
      <c r="X239" s="22">
        <f t="shared" si="35"/>
        <v>799457.32</v>
      </c>
      <c r="Y239" s="95">
        <f t="shared" ref="Y239:Y291" si="41">IF(N239="返现",V239*O239,T239-V239)</f>
        <v>-804480.22</v>
      </c>
      <c r="Z239" s="95">
        <v>150000</v>
      </c>
      <c r="AA239" s="96">
        <v>0.05</v>
      </c>
      <c r="AB239" s="97"/>
      <c r="AC239" s="95"/>
      <c r="AD239" s="95"/>
      <c r="AE239" s="96">
        <v>0.3</v>
      </c>
      <c r="AF239" s="94">
        <v>150000</v>
      </c>
      <c r="AG239" s="95">
        <v>45000</v>
      </c>
      <c r="AH239" s="95">
        <f t="shared" si="38"/>
        <v>45000</v>
      </c>
      <c r="AI239" s="95">
        <v>167956.19</v>
      </c>
      <c r="AJ239" s="98">
        <f t="shared" si="39"/>
        <v>112979.09</v>
      </c>
      <c r="AK239" s="95">
        <v>949457.32</v>
      </c>
      <c r="AL239" s="57">
        <f t="shared" ref="AL239:AL240" si="42">AK239-V239</f>
        <v>0</v>
      </c>
    </row>
    <row r="240" spans="1:38">
      <c r="A240" s="90" t="s">
        <v>309</v>
      </c>
      <c r="B240" s="91" t="s">
        <v>38</v>
      </c>
      <c r="C240" s="91" t="s">
        <v>39</v>
      </c>
      <c r="D240" s="91" t="s">
        <v>40</v>
      </c>
      <c r="E240" s="91" t="s">
        <v>44</v>
      </c>
      <c r="F240" s="91" t="s">
        <v>44</v>
      </c>
      <c r="G240" s="91" t="s">
        <v>44</v>
      </c>
      <c r="H240" s="91" t="s">
        <v>34</v>
      </c>
      <c r="I240" s="91" t="s">
        <v>214</v>
      </c>
      <c r="J240" s="91" t="s">
        <v>241</v>
      </c>
      <c r="K240" s="91" t="s">
        <v>44</v>
      </c>
      <c r="L240" s="91"/>
      <c r="M240" s="91" t="s">
        <v>43</v>
      </c>
      <c r="N240" s="91" t="s">
        <v>37</v>
      </c>
      <c r="O240" s="92">
        <v>0</v>
      </c>
      <c r="P240" s="93"/>
      <c r="Q240" s="91" t="s">
        <v>314</v>
      </c>
      <c r="R240" s="20">
        <v>2196321.2500000005</v>
      </c>
      <c r="S240" s="95">
        <v>933830.44</v>
      </c>
      <c r="T240" s="95">
        <v>2088475.88</v>
      </c>
      <c r="U240" s="95">
        <f t="shared" si="37"/>
        <v>1041675.8100000005</v>
      </c>
      <c r="V240" s="95">
        <v>2917214.7168000001</v>
      </c>
      <c r="W240" s="95">
        <v>155952.88320000001</v>
      </c>
      <c r="X240" s="22">
        <f t="shared" si="35"/>
        <v>717999.99679999985</v>
      </c>
      <c r="Y240" s="95">
        <f t="shared" si="41"/>
        <v>-828738.83680000016</v>
      </c>
      <c r="Z240" s="95">
        <v>2199214.7200000002</v>
      </c>
      <c r="AA240" s="96">
        <v>0.05</v>
      </c>
      <c r="AB240" s="97"/>
      <c r="AC240" s="95"/>
      <c r="AD240" s="95"/>
      <c r="AE240" s="96">
        <v>0.3</v>
      </c>
      <c r="AF240" s="94">
        <f>Z240</f>
        <v>2199214.7200000002</v>
      </c>
      <c r="AG240" s="95">
        <v>659764.41599999974</v>
      </c>
      <c r="AH240" s="95">
        <f t="shared" si="38"/>
        <v>280149.13199999998</v>
      </c>
      <c r="AI240" s="95">
        <v>2509768.84</v>
      </c>
      <c r="AJ240" s="98">
        <f t="shared" si="39"/>
        <v>1361206.5079999994</v>
      </c>
      <c r="AK240" s="95">
        <v>2917214.7168000001</v>
      </c>
      <c r="AL240" s="57">
        <f t="shared" si="42"/>
        <v>0</v>
      </c>
    </row>
    <row r="241" spans="1:37">
      <c r="A241" s="90" t="s">
        <v>309</v>
      </c>
      <c r="B241" s="99" t="s">
        <v>28</v>
      </c>
      <c r="C241" s="99" t="s">
        <v>151</v>
      </c>
      <c r="D241" s="99" t="s">
        <v>152</v>
      </c>
      <c r="E241" s="99" t="s">
        <v>153</v>
      </c>
      <c r="F241" s="99" t="s">
        <v>283</v>
      </c>
      <c r="G241" s="99" t="s">
        <v>33</v>
      </c>
      <c r="H241" s="99" t="s">
        <v>34</v>
      </c>
      <c r="I241" s="91" t="s">
        <v>214</v>
      </c>
      <c r="J241" s="91" t="s">
        <v>241</v>
      </c>
      <c r="K241" s="99" t="s">
        <v>155</v>
      </c>
      <c r="L241" s="100"/>
      <c r="M241" s="70" t="s">
        <v>36</v>
      </c>
      <c r="N241" s="70" t="s">
        <v>37</v>
      </c>
      <c r="O241" s="101">
        <v>0</v>
      </c>
      <c r="P241" s="79"/>
      <c r="Q241" s="91"/>
      <c r="R241" s="20">
        <v>2956.69</v>
      </c>
      <c r="S241" s="79"/>
      <c r="T241" s="95">
        <v>0</v>
      </c>
      <c r="U241" s="95">
        <f t="shared" si="37"/>
        <v>2956.69</v>
      </c>
      <c r="V241" s="95">
        <f t="shared" ref="V241:V287" si="43">IF(N241="折扣",T241*O241,IF(N241="返现",T241,T241*(1+AE241)/(1+O241+AE241)))</f>
        <v>0</v>
      </c>
      <c r="W241" s="77"/>
      <c r="X241" s="22">
        <f t="shared" si="35"/>
        <v>0</v>
      </c>
      <c r="Y241" s="95">
        <f t="shared" si="41"/>
        <v>0</v>
      </c>
      <c r="Z241" s="95">
        <f t="shared" ref="Z241:Z287" si="44">T241</f>
        <v>0</v>
      </c>
      <c r="AA241" s="96">
        <v>0.05</v>
      </c>
      <c r="AB241" s="79"/>
      <c r="AC241" s="79"/>
      <c r="AD241" s="79"/>
      <c r="AE241" s="96">
        <v>0.42</v>
      </c>
      <c r="AF241" s="94">
        <f t="shared" ref="AF241:AF287" si="45">AI241/(1+AE241)</f>
        <v>0</v>
      </c>
      <c r="AG241" s="95"/>
      <c r="AH241" s="95">
        <f t="shared" si="38"/>
        <v>0</v>
      </c>
      <c r="AI241" s="95">
        <v>0</v>
      </c>
      <c r="AJ241" s="98">
        <f t="shared" si="39"/>
        <v>0</v>
      </c>
      <c r="AK241" s="98">
        <f t="shared" si="40"/>
        <v>0</v>
      </c>
    </row>
    <row r="242" spans="1:37">
      <c r="A242" s="90" t="s">
        <v>309</v>
      </c>
      <c r="B242" s="99" t="s">
        <v>28</v>
      </c>
      <c r="C242" s="99" t="s">
        <v>57</v>
      </c>
      <c r="D242" s="99" t="s">
        <v>58</v>
      </c>
      <c r="E242" s="99" t="s">
        <v>69</v>
      </c>
      <c r="F242" s="99" t="s">
        <v>70</v>
      </c>
      <c r="G242" s="99" t="s">
        <v>33</v>
      </c>
      <c r="H242" s="99" t="s">
        <v>34</v>
      </c>
      <c r="I242" s="91" t="s">
        <v>214</v>
      </c>
      <c r="J242" s="91" t="s">
        <v>241</v>
      </c>
      <c r="K242" s="99" t="s">
        <v>69</v>
      </c>
      <c r="L242" s="100"/>
      <c r="M242" s="70" t="s">
        <v>43</v>
      </c>
      <c r="N242" s="70" t="s">
        <v>37</v>
      </c>
      <c r="O242" s="101">
        <v>0</v>
      </c>
      <c r="P242" s="79"/>
      <c r="Q242" s="91"/>
      <c r="R242" s="20">
        <v>70023.360000000001</v>
      </c>
      <c r="S242" s="79"/>
      <c r="T242" s="95">
        <v>0</v>
      </c>
      <c r="U242" s="95">
        <f t="shared" si="37"/>
        <v>70023.360000000001</v>
      </c>
      <c r="V242" s="95">
        <f t="shared" si="43"/>
        <v>0</v>
      </c>
      <c r="W242" s="77"/>
      <c r="X242" s="22">
        <f t="shared" si="35"/>
        <v>0</v>
      </c>
      <c r="Y242" s="95">
        <f t="shared" si="41"/>
        <v>0</v>
      </c>
      <c r="Z242" s="95">
        <f t="shared" si="44"/>
        <v>0</v>
      </c>
      <c r="AA242" s="96">
        <v>0.05</v>
      </c>
      <c r="AB242" s="79"/>
      <c r="AC242" s="79"/>
      <c r="AD242" s="79"/>
      <c r="AE242" s="96">
        <v>0</v>
      </c>
      <c r="AF242" s="94">
        <f t="shared" si="45"/>
        <v>0</v>
      </c>
      <c r="AG242" s="95"/>
      <c r="AH242" s="95">
        <f t="shared" si="38"/>
        <v>0</v>
      </c>
      <c r="AI242" s="95">
        <v>0</v>
      </c>
      <c r="AJ242" s="98">
        <f t="shared" si="39"/>
        <v>0</v>
      </c>
      <c r="AK242" s="98">
        <f t="shared" si="40"/>
        <v>0</v>
      </c>
    </row>
    <row r="243" spans="1:37">
      <c r="A243" s="90" t="s">
        <v>309</v>
      </c>
      <c r="B243" s="99" t="s">
        <v>28</v>
      </c>
      <c r="C243" s="99" t="s">
        <v>46</v>
      </c>
      <c r="D243" s="99" t="s">
        <v>62</v>
      </c>
      <c r="E243" s="99" t="s">
        <v>63</v>
      </c>
      <c r="F243" s="99" t="s">
        <v>64</v>
      </c>
      <c r="G243" s="99" t="s">
        <v>33</v>
      </c>
      <c r="H243" s="99" t="s">
        <v>34</v>
      </c>
      <c r="I243" s="91" t="s">
        <v>214</v>
      </c>
      <c r="J243" s="91" t="s">
        <v>241</v>
      </c>
      <c r="K243" s="99" t="s">
        <v>63</v>
      </c>
      <c r="L243" s="100"/>
      <c r="M243" s="70" t="s">
        <v>36</v>
      </c>
      <c r="N243" s="70" t="s">
        <v>37</v>
      </c>
      <c r="O243" s="101">
        <v>0</v>
      </c>
      <c r="P243" s="79"/>
      <c r="Q243" s="91"/>
      <c r="R243" s="20">
        <v>7741.65</v>
      </c>
      <c r="S243" s="79"/>
      <c r="T243" s="95">
        <v>0</v>
      </c>
      <c r="U243" s="95">
        <f t="shared" si="37"/>
        <v>7741.65</v>
      </c>
      <c r="V243" s="95">
        <f t="shared" si="43"/>
        <v>0</v>
      </c>
      <c r="W243" s="77"/>
      <c r="X243" s="22">
        <f t="shared" si="35"/>
        <v>0</v>
      </c>
      <c r="Y243" s="95">
        <f t="shared" si="41"/>
        <v>0</v>
      </c>
      <c r="Z243" s="95">
        <f t="shared" si="44"/>
        <v>0</v>
      </c>
      <c r="AA243" s="96">
        <v>0.05</v>
      </c>
      <c r="AB243" s="79"/>
      <c r="AC243" s="79"/>
      <c r="AD243" s="79"/>
      <c r="AE243" s="96">
        <v>0.42</v>
      </c>
      <c r="AF243" s="94">
        <f t="shared" si="45"/>
        <v>0</v>
      </c>
      <c r="AG243" s="95"/>
      <c r="AH243" s="95">
        <f t="shared" si="38"/>
        <v>0</v>
      </c>
      <c r="AI243" s="95">
        <v>0</v>
      </c>
      <c r="AJ243" s="98">
        <f t="shared" si="39"/>
        <v>0</v>
      </c>
      <c r="AK243" s="98">
        <f t="shared" si="40"/>
        <v>0</v>
      </c>
    </row>
    <row r="244" spans="1:37">
      <c r="A244" s="90" t="s">
        <v>309</v>
      </c>
      <c r="B244" s="99" t="s">
        <v>28</v>
      </c>
      <c r="C244" s="99" t="s">
        <v>46</v>
      </c>
      <c r="D244" s="99" t="s">
        <v>47</v>
      </c>
      <c r="E244" s="99" t="s">
        <v>48</v>
      </c>
      <c r="F244" s="99" t="s">
        <v>49</v>
      </c>
      <c r="G244" s="99" t="s">
        <v>33</v>
      </c>
      <c r="H244" s="99" t="s">
        <v>34</v>
      </c>
      <c r="I244" s="91" t="s">
        <v>214</v>
      </c>
      <c r="J244" s="91" t="s">
        <v>241</v>
      </c>
      <c r="K244" s="99" t="s">
        <v>48</v>
      </c>
      <c r="L244" s="100"/>
      <c r="M244" s="70" t="s">
        <v>43</v>
      </c>
      <c r="N244" s="70" t="s">
        <v>37</v>
      </c>
      <c r="O244" s="101">
        <v>0</v>
      </c>
      <c r="P244" s="79"/>
      <c r="Q244" s="91"/>
      <c r="R244" s="20">
        <v>7.0399999999990497</v>
      </c>
      <c r="S244" s="79"/>
      <c r="T244" s="95">
        <v>0</v>
      </c>
      <c r="U244" s="95">
        <f t="shared" si="37"/>
        <v>7.0399999999990497</v>
      </c>
      <c r="V244" s="95">
        <f t="shared" si="43"/>
        <v>0</v>
      </c>
      <c r="W244" s="77"/>
      <c r="X244" s="22">
        <f t="shared" si="35"/>
        <v>0</v>
      </c>
      <c r="Y244" s="95">
        <f t="shared" si="41"/>
        <v>0</v>
      </c>
      <c r="Z244" s="95">
        <f t="shared" si="44"/>
        <v>0</v>
      </c>
      <c r="AA244" s="96">
        <v>0.05</v>
      </c>
      <c r="AB244" s="79"/>
      <c r="AC244" s="79"/>
      <c r="AD244" s="79"/>
      <c r="AE244" s="96">
        <v>0</v>
      </c>
      <c r="AF244" s="94">
        <f t="shared" si="45"/>
        <v>0</v>
      </c>
      <c r="AG244" s="95"/>
      <c r="AH244" s="95">
        <f t="shared" si="38"/>
        <v>0</v>
      </c>
      <c r="AI244" s="95">
        <v>0</v>
      </c>
      <c r="AJ244" s="98">
        <f t="shared" si="39"/>
        <v>0</v>
      </c>
      <c r="AK244" s="98">
        <f t="shared" si="40"/>
        <v>0</v>
      </c>
    </row>
    <row r="245" spans="1:37">
      <c r="A245" s="90" t="s">
        <v>309</v>
      </c>
      <c r="B245" s="99" t="s">
        <v>28</v>
      </c>
      <c r="C245" s="99" t="s">
        <v>46</v>
      </c>
      <c r="D245" s="99" t="s">
        <v>47</v>
      </c>
      <c r="E245" s="99" t="s">
        <v>60</v>
      </c>
      <c r="F245" s="99" t="s">
        <v>61</v>
      </c>
      <c r="G245" s="99" t="s">
        <v>33</v>
      </c>
      <c r="H245" s="99" t="s">
        <v>34</v>
      </c>
      <c r="I245" s="91" t="s">
        <v>214</v>
      </c>
      <c r="J245" s="91" t="s">
        <v>241</v>
      </c>
      <c r="K245" s="99" t="s">
        <v>60</v>
      </c>
      <c r="L245" s="100"/>
      <c r="M245" s="70" t="s">
        <v>43</v>
      </c>
      <c r="N245" s="70" t="s">
        <v>50</v>
      </c>
      <c r="O245" s="101">
        <v>0.02</v>
      </c>
      <c r="P245" s="79"/>
      <c r="Q245" s="91"/>
      <c r="R245" s="20">
        <v>106099.63</v>
      </c>
      <c r="S245" s="79"/>
      <c r="T245" s="95">
        <v>0</v>
      </c>
      <c r="U245" s="95">
        <f t="shared" si="37"/>
        <v>106099.63</v>
      </c>
      <c r="V245" s="95">
        <f t="shared" si="43"/>
        <v>0</v>
      </c>
      <c r="W245" s="77"/>
      <c r="X245" s="22">
        <f t="shared" si="35"/>
        <v>0</v>
      </c>
      <c r="Y245" s="95">
        <f t="shared" si="41"/>
        <v>0</v>
      </c>
      <c r="Z245" s="95">
        <f t="shared" si="44"/>
        <v>0</v>
      </c>
      <c r="AA245" s="96">
        <v>0.05</v>
      </c>
      <c r="AB245" s="79"/>
      <c r="AC245" s="79"/>
      <c r="AD245" s="79"/>
      <c r="AE245" s="96">
        <v>0.42</v>
      </c>
      <c r="AF245" s="94">
        <f t="shared" si="45"/>
        <v>0</v>
      </c>
      <c r="AG245" s="95"/>
      <c r="AH245" s="95">
        <f t="shared" si="38"/>
        <v>0</v>
      </c>
      <c r="AI245" s="95">
        <v>0</v>
      </c>
      <c r="AJ245" s="98">
        <f t="shared" si="39"/>
        <v>0</v>
      </c>
      <c r="AK245" s="98">
        <f t="shared" si="40"/>
        <v>0</v>
      </c>
    </row>
    <row r="246" spans="1:37">
      <c r="A246" s="90" t="s">
        <v>309</v>
      </c>
      <c r="B246" s="99" t="s">
        <v>28</v>
      </c>
      <c r="C246" s="99" t="s">
        <v>29</v>
      </c>
      <c r="D246" s="99" t="s">
        <v>79</v>
      </c>
      <c r="E246" s="99" t="s">
        <v>80</v>
      </c>
      <c r="F246" s="99" t="s">
        <v>81</v>
      </c>
      <c r="G246" s="99" t="s">
        <v>33</v>
      </c>
      <c r="H246" s="99" t="s">
        <v>34</v>
      </c>
      <c r="I246" s="91" t="s">
        <v>214</v>
      </c>
      <c r="J246" s="91" t="s">
        <v>241</v>
      </c>
      <c r="K246" s="99" t="s">
        <v>82</v>
      </c>
      <c r="L246" s="100"/>
      <c r="M246" s="70" t="s">
        <v>83</v>
      </c>
      <c r="N246" s="70" t="s">
        <v>50</v>
      </c>
      <c r="O246" s="101">
        <v>0.18</v>
      </c>
      <c r="P246" s="79"/>
      <c r="Q246" s="91"/>
      <c r="R246" s="20">
        <v>131941.95000000001</v>
      </c>
      <c r="S246" s="79"/>
      <c r="T246" s="95">
        <v>0</v>
      </c>
      <c r="U246" s="95">
        <f t="shared" si="37"/>
        <v>131941.95000000001</v>
      </c>
      <c r="V246" s="95">
        <f t="shared" si="43"/>
        <v>0</v>
      </c>
      <c r="W246" s="77"/>
      <c r="X246" s="22">
        <f t="shared" si="35"/>
        <v>0</v>
      </c>
      <c r="Y246" s="95">
        <f t="shared" si="41"/>
        <v>0</v>
      </c>
      <c r="Z246" s="95">
        <f t="shared" si="44"/>
        <v>0</v>
      </c>
      <c r="AA246" s="96">
        <v>0.05</v>
      </c>
      <c r="AB246" s="79"/>
      <c r="AC246" s="79"/>
      <c r="AD246" s="79"/>
      <c r="AE246" s="10">
        <v>0.42</v>
      </c>
      <c r="AF246" s="94">
        <f t="shared" si="45"/>
        <v>0</v>
      </c>
      <c r="AG246" s="95"/>
      <c r="AH246" s="95">
        <f t="shared" si="38"/>
        <v>0</v>
      </c>
      <c r="AI246" s="95">
        <v>0</v>
      </c>
      <c r="AJ246" s="98">
        <f t="shared" si="39"/>
        <v>0</v>
      </c>
      <c r="AK246" s="98">
        <f t="shared" si="40"/>
        <v>0</v>
      </c>
    </row>
    <row r="247" spans="1:37">
      <c r="A247" s="90" t="s">
        <v>309</v>
      </c>
      <c r="B247" s="99" t="s">
        <v>28</v>
      </c>
      <c r="C247" s="99" t="s">
        <v>29</v>
      </c>
      <c r="D247" s="99" t="s">
        <v>30</v>
      </c>
      <c r="E247" s="99" t="s">
        <v>31</v>
      </c>
      <c r="F247" s="99" t="s">
        <v>32</v>
      </c>
      <c r="G247" s="99" t="s">
        <v>33</v>
      </c>
      <c r="H247" s="99" t="s">
        <v>34</v>
      </c>
      <c r="I247" s="91" t="s">
        <v>214</v>
      </c>
      <c r="J247" s="91" t="s">
        <v>241</v>
      </c>
      <c r="K247" s="99" t="s">
        <v>31</v>
      </c>
      <c r="L247" s="100"/>
      <c r="M247" s="70" t="s">
        <v>43</v>
      </c>
      <c r="N247" s="70" t="s">
        <v>50</v>
      </c>
      <c r="O247" s="101">
        <v>0.03</v>
      </c>
      <c r="P247" s="79"/>
      <c r="Q247" s="91"/>
      <c r="R247" s="20">
        <v>15901.84</v>
      </c>
      <c r="S247" s="79"/>
      <c r="T247" s="95">
        <v>0</v>
      </c>
      <c r="U247" s="95">
        <f t="shared" si="37"/>
        <v>15901.84</v>
      </c>
      <c r="V247" s="95">
        <f t="shared" si="43"/>
        <v>0</v>
      </c>
      <c r="W247" s="77"/>
      <c r="X247" s="22">
        <f t="shared" si="35"/>
        <v>0</v>
      </c>
      <c r="Y247" s="95">
        <f t="shared" si="41"/>
        <v>0</v>
      </c>
      <c r="Z247" s="95">
        <f t="shared" si="44"/>
        <v>0</v>
      </c>
      <c r="AA247" s="96">
        <v>0.05</v>
      </c>
      <c r="AB247" s="79"/>
      <c r="AC247" s="79"/>
      <c r="AD247" s="79"/>
      <c r="AE247" s="96">
        <v>7.0000000000000007E-2</v>
      </c>
      <c r="AF247" s="94">
        <f t="shared" si="45"/>
        <v>0</v>
      </c>
      <c r="AG247" s="95"/>
      <c r="AH247" s="95">
        <f t="shared" si="38"/>
        <v>0</v>
      </c>
      <c r="AI247" s="95">
        <v>0</v>
      </c>
      <c r="AJ247" s="98">
        <f t="shared" si="39"/>
        <v>0</v>
      </c>
      <c r="AK247" s="98">
        <f t="shared" si="40"/>
        <v>0</v>
      </c>
    </row>
    <row r="248" spans="1:37">
      <c r="A248" s="90" t="s">
        <v>309</v>
      </c>
      <c r="B248" s="99" t="s">
        <v>28</v>
      </c>
      <c r="C248" s="99" t="s">
        <v>29</v>
      </c>
      <c r="D248" s="99" t="s">
        <v>30</v>
      </c>
      <c r="E248" s="99" t="s">
        <v>31</v>
      </c>
      <c r="F248" s="99" t="s">
        <v>32</v>
      </c>
      <c r="G248" s="99" t="s">
        <v>33</v>
      </c>
      <c r="H248" s="99" t="s">
        <v>34</v>
      </c>
      <c r="I248" s="91" t="s">
        <v>214</v>
      </c>
      <c r="J248" s="91" t="s">
        <v>241</v>
      </c>
      <c r="K248" s="99" t="s">
        <v>31</v>
      </c>
      <c r="L248" s="100"/>
      <c r="M248" s="70" t="s">
        <v>36</v>
      </c>
      <c r="N248" s="70" t="s">
        <v>50</v>
      </c>
      <c r="O248" s="101">
        <v>0.03</v>
      </c>
      <c r="P248" s="79"/>
      <c r="Q248" s="91"/>
      <c r="R248" s="20">
        <v>2375.20999999992</v>
      </c>
      <c r="S248" s="79"/>
      <c r="T248" s="95">
        <v>0</v>
      </c>
      <c r="U248" s="95">
        <f t="shared" si="37"/>
        <v>2375.20999999992</v>
      </c>
      <c r="V248" s="95">
        <f t="shared" si="43"/>
        <v>0</v>
      </c>
      <c r="W248" s="77"/>
      <c r="X248" s="22">
        <f t="shared" si="35"/>
        <v>0</v>
      </c>
      <c r="Y248" s="95">
        <f t="shared" si="41"/>
        <v>0</v>
      </c>
      <c r="Z248" s="95">
        <f t="shared" si="44"/>
        <v>0</v>
      </c>
      <c r="AA248" s="96">
        <v>0.05</v>
      </c>
      <c r="AB248" s="79"/>
      <c r="AC248" s="79"/>
      <c r="AD248" s="79"/>
      <c r="AE248" s="96">
        <v>7.0000000000000007E-2</v>
      </c>
      <c r="AF248" s="94">
        <f t="shared" si="45"/>
        <v>0</v>
      </c>
      <c r="AG248" s="95"/>
      <c r="AH248" s="95">
        <f t="shared" si="38"/>
        <v>0</v>
      </c>
      <c r="AI248" s="95">
        <v>0</v>
      </c>
      <c r="AJ248" s="98">
        <f t="shared" si="39"/>
        <v>0</v>
      </c>
      <c r="AK248" s="98">
        <f t="shared" si="40"/>
        <v>0</v>
      </c>
    </row>
    <row r="249" spans="1:37">
      <c r="A249" s="90" t="s">
        <v>309</v>
      </c>
      <c r="B249" s="99" t="s">
        <v>28</v>
      </c>
      <c r="C249" s="99" t="s">
        <v>39</v>
      </c>
      <c r="D249" s="99" t="s">
        <v>74</v>
      </c>
      <c r="E249" s="99" t="s">
        <v>75</v>
      </c>
      <c r="F249" s="99" t="s">
        <v>76</v>
      </c>
      <c r="G249" s="99" t="s">
        <v>33</v>
      </c>
      <c r="H249" s="99" t="s">
        <v>34</v>
      </c>
      <c r="I249" s="91" t="s">
        <v>214</v>
      </c>
      <c r="J249" s="91" t="s">
        <v>241</v>
      </c>
      <c r="K249" s="99" t="s">
        <v>77</v>
      </c>
      <c r="L249" s="100"/>
      <c r="M249" s="70" t="s">
        <v>36</v>
      </c>
      <c r="N249" s="70" t="s">
        <v>50</v>
      </c>
      <c r="O249" s="101">
        <v>0.05</v>
      </c>
      <c r="P249" s="79"/>
      <c r="Q249" s="91"/>
      <c r="R249" s="20">
        <v>1766.24</v>
      </c>
      <c r="S249" s="79"/>
      <c r="T249" s="95">
        <v>0</v>
      </c>
      <c r="U249" s="95">
        <f t="shared" si="37"/>
        <v>1766.24</v>
      </c>
      <c r="V249" s="95">
        <f t="shared" si="43"/>
        <v>0</v>
      </c>
      <c r="W249" s="77"/>
      <c r="X249" s="22">
        <f t="shared" si="35"/>
        <v>0</v>
      </c>
      <c r="Y249" s="95">
        <f t="shared" si="41"/>
        <v>0</v>
      </c>
      <c r="Z249" s="95">
        <f t="shared" si="44"/>
        <v>0</v>
      </c>
      <c r="AA249" s="96">
        <v>0.05</v>
      </c>
      <c r="AB249" s="79"/>
      <c r="AC249" s="79"/>
      <c r="AD249" s="79"/>
      <c r="AE249" s="96">
        <v>0.42</v>
      </c>
      <c r="AF249" s="94">
        <f t="shared" si="45"/>
        <v>0</v>
      </c>
      <c r="AG249" s="95"/>
      <c r="AH249" s="95">
        <f t="shared" si="38"/>
        <v>0</v>
      </c>
      <c r="AI249" s="95">
        <v>0</v>
      </c>
      <c r="AJ249" s="98">
        <f t="shared" si="39"/>
        <v>0</v>
      </c>
      <c r="AK249" s="98">
        <f t="shared" si="40"/>
        <v>0</v>
      </c>
    </row>
    <row r="250" spans="1:37">
      <c r="A250" s="90" t="s">
        <v>309</v>
      </c>
      <c r="B250" s="99" t="s">
        <v>28</v>
      </c>
      <c r="C250" s="99" t="s">
        <v>85</v>
      </c>
      <c r="D250" s="99" t="s">
        <v>86</v>
      </c>
      <c r="E250" s="99" t="s">
        <v>87</v>
      </c>
      <c r="F250" s="99" t="s">
        <v>88</v>
      </c>
      <c r="G250" s="99" t="s">
        <v>33</v>
      </c>
      <c r="H250" s="99" t="s">
        <v>34</v>
      </c>
      <c r="I250" s="91" t="s">
        <v>214</v>
      </c>
      <c r="J250" s="91" t="s">
        <v>241</v>
      </c>
      <c r="K250" s="99" t="s">
        <v>82</v>
      </c>
      <c r="L250" s="100"/>
      <c r="M250" s="70" t="s">
        <v>83</v>
      </c>
      <c r="N250" s="70" t="s">
        <v>50</v>
      </c>
      <c r="O250" s="101">
        <v>0.18</v>
      </c>
      <c r="P250" s="79"/>
      <c r="Q250" s="91"/>
      <c r="R250" s="20">
        <v>8102.9149295775096</v>
      </c>
      <c r="S250" s="79"/>
      <c r="T250" s="95">
        <v>0</v>
      </c>
      <c r="U250" s="95">
        <f t="shared" si="37"/>
        <v>8102.9149295775096</v>
      </c>
      <c r="V250" s="95">
        <f t="shared" si="43"/>
        <v>0</v>
      </c>
      <c r="W250" s="77"/>
      <c r="X250" s="22">
        <f t="shared" si="35"/>
        <v>0</v>
      </c>
      <c r="Y250" s="95">
        <f t="shared" si="41"/>
        <v>0</v>
      </c>
      <c r="Z250" s="95">
        <f t="shared" si="44"/>
        <v>0</v>
      </c>
      <c r="AA250" s="96">
        <v>0.05</v>
      </c>
      <c r="AB250" s="79"/>
      <c r="AC250" s="79"/>
      <c r="AD250" s="79"/>
      <c r="AE250" s="96">
        <v>0.42</v>
      </c>
      <c r="AF250" s="94">
        <f t="shared" si="45"/>
        <v>0</v>
      </c>
      <c r="AG250" s="95"/>
      <c r="AH250" s="95">
        <f t="shared" si="38"/>
        <v>0</v>
      </c>
      <c r="AI250" s="95">
        <v>0</v>
      </c>
      <c r="AJ250" s="98">
        <f t="shared" si="39"/>
        <v>0</v>
      </c>
      <c r="AK250" s="98">
        <f t="shared" si="40"/>
        <v>0</v>
      </c>
    </row>
    <row r="251" spans="1:37">
      <c r="A251" s="90" t="s">
        <v>309</v>
      </c>
      <c r="B251" s="99" t="s">
        <v>28</v>
      </c>
      <c r="C251" s="99" t="s">
        <v>85</v>
      </c>
      <c r="D251" s="99" t="s">
        <v>86</v>
      </c>
      <c r="E251" s="99" t="s">
        <v>109</v>
      </c>
      <c r="F251" s="99" t="s">
        <v>110</v>
      </c>
      <c r="G251" s="99" t="s">
        <v>33</v>
      </c>
      <c r="H251" s="99" t="s">
        <v>34</v>
      </c>
      <c r="I251" s="91" t="s">
        <v>214</v>
      </c>
      <c r="J251" s="91" t="s">
        <v>241</v>
      </c>
      <c r="K251" s="99" t="s">
        <v>82</v>
      </c>
      <c r="L251" s="100"/>
      <c r="M251" s="70" t="s">
        <v>83</v>
      </c>
      <c r="N251" s="70" t="s">
        <v>50</v>
      </c>
      <c r="O251" s="101">
        <v>0.18</v>
      </c>
      <c r="P251" s="79"/>
      <c r="Q251" s="91"/>
      <c r="R251" s="20">
        <v>2063.5353521120301</v>
      </c>
      <c r="S251" s="79"/>
      <c r="T251" s="95">
        <v>0</v>
      </c>
      <c r="U251" s="95">
        <f t="shared" si="37"/>
        <v>2063.5353521120301</v>
      </c>
      <c r="V251" s="95">
        <f t="shared" si="43"/>
        <v>0</v>
      </c>
      <c r="W251" s="77"/>
      <c r="X251" s="22">
        <f t="shared" si="35"/>
        <v>0</v>
      </c>
      <c r="Y251" s="95">
        <f t="shared" si="41"/>
        <v>0</v>
      </c>
      <c r="Z251" s="95">
        <f t="shared" si="44"/>
        <v>0</v>
      </c>
      <c r="AA251" s="96">
        <v>0.05</v>
      </c>
      <c r="AB251" s="79"/>
      <c r="AC251" s="79"/>
      <c r="AD251" s="79"/>
      <c r="AE251" s="96">
        <v>0.42</v>
      </c>
      <c r="AF251" s="94">
        <f t="shared" si="45"/>
        <v>0</v>
      </c>
      <c r="AG251" s="95"/>
      <c r="AH251" s="95">
        <f t="shared" si="38"/>
        <v>0</v>
      </c>
      <c r="AI251" s="95">
        <v>0</v>
      </c>
      <c r="AJ251" s="98">
        <f t="shared" si="39"/>
        <v>0</v>
      </c>
      <c r="AK251" s="98">
        <f t="shared" si="40"/>
        <v>0</v>
      </c>
    </row>
    <row r="252" spans="1:37">
      <c r="A252" s="90" t="s">
        <v>309</v>
      </c>
      <c r="B252" s="99" t="s">
        <v>28</v>
      </c>
      <c r="C252" s="99" t="s">
        <v>85</v>
      </c>
      <c r="D252" s="99" t="s">
        <v>86</v>
      </c>
      <c r="E252" s="99" t="s">
        <v>89</v>
      </c>
      <c r="F252" s="99" t="s">
        <v>90</v>
      </c>
      <c r="G252" s="99" t="s">
        <v>33</v>
      </c>
      <c r="H252" s="99" t="s">
        <v>34</v>
      </c>
      <c r="I252" s="91" t="s">
        <v>214</v>
      </c>
      <c r="J252" s="91" t="s">
        <v>241</v>
      </c>
      <c r="K252" s="99" t="s">
        <v>82</v>
      </c>
      <c r="L252" s="100"/>
      <c r="M252" s="70" t="s">
        <v>83</v>
      </c>
      <c r="N252" s="70" t="s">
        <v>50</v>
      </c>
      <c r="O252" s="101">
        <v>0.03</v>
      </c>
      <c r="P252" s="79"/>
      <c r="Q252" s="91"/>
      <c r="R252" s="20">
        <v>655.37999999978604</v>
      </c>
      <c r="S252" s="79"/>
      <c r="T252" s="95">
        <v>0</v>
      </c>
      <c r="U252" s="95">
        <f t="shared" si="37"/>
        <v>655.37999999978604</v>
      </c>
      <c r="V252" s="95">
        <f t="shared" si="43"/>
        <v>0</v>
      </c>
      <c r="W252" s="77"/>
      <c r="X252" s="22">
        <f t="shared" si="35"/>
        <v>0</v>
      </c>
      <c r="Y252" s="95">
        <f t="shared" si="41"/>
        <v>0</v>
      </c>
      <c r="Z252" s="95">
        <f t="shared" si="44"/>
        <v>0</v>
      </c>
      <c r="AA252" s="96">
        <v>0.05</v>
      </c>
      <c r="AB252" s="79"/>
      <c r="AC252" s="79"/>
      <c r="AD252" s="79"/>
      <c r="AE252" s="96">
        <v>0.42</v>
      </c>
      <c r="AF252" s="94">
        <f t="shared" si="45"/>
        <v>0</v>
      </c>
      <c r="AG252" s="95"/>
      <c r="AH252" s="95">
        <f t="shared" si="38"/>
        <v>0</v>
      </c>
      <c r="AI252" s="95">
        <v>0</v>
      </c>
      <c r="AJ252" s="98">
        <f t="shared" si="39"/>
        <v>0</v>
      </c>
      <c r="AK252" s="98">
        <f t="shared" si="40"/>
        <v>0</v>
      </c>
    </row>
    <row r="253" spans="1:37">
      <c r="A253" s="90" t="s">
        <v>309</v>
      </c>
      <c r="B253" s="99" t="s">
        <v>28</v>
      </c>
      <c r="C253" s="99" t="s">
        <v>85</v>
      </c>
      <c r="D253" s="99" t="s">
        <v>86</v>
      </c>
      <c r="E253" s="99" t="s">
        <v>91</v>
      </c>
      <c r="F253" s="99" t="s">
        <v>92</v>
      </c>
      <c r="G253" s="99" t="s">
        <v>33</v>
      </c>
      <c r="H253" s="99" t="s">
        <v>34</v>
      </c>
      <c r="I253" s="91" t="s">
        <v>214</v>
      </c>
      <c r="J253" s="91" t="s">
        <v>241</v>
      </c>
      <c r="K253" s="99" t="s">
        <v>82</v>
      </c>
      <c r="L253" s="100"/>
      <c r="M253" s="70" t="s">
        <v>83</v>
      </c>
      <c r="N253" s="70" t="s">
        <v>50</v>
      </c>
      <c r="O253" s="101">
        <v>0.22</v>
      </c>
      <c r="P253" s="79"/>
      <c r="Q253" s="91"/>
      <c r="R253" s="20">
        <v>354.84000000002561</v>
      </c>
      <c r="S253" s="79"/>
      <c r="T253" s="95">
        <v>0</v>
      </c>
      <c r="U253" s="95">
        <f t="shared" si="37"/>
        <v>354.84000000002561</v>
      </c>
      <c r="V253" s="95">
        <f t="shared" si="43"/>
        <v>0</v>
      </c>
      <c r="W253" s="77"/>
      <c r="X253" s="22">
        <f t="shared" si="35"/>
        <v>0</v>
      </c>
      <c r="Y253" s="95">
        <f t="shared" si="41"/>
        <v>0</v>
      </c>
      <c r="Z253" s="95">
        <f t="shared" si="44"/>
        <v>0</v>
      </c>
      <c r="AA253" s="96">
        <v>0.05</v>
      </c>
      <c r="AB253" s="79"/>
      <c r="AC253" s="79"/>
      <c r="AD253" s="79"/>
      <c r="AE253" s="96">
        <v>0.42</v>
      </c>
      <c r="AF253" s="94">
        <f t="shared" si="45"/>
        <v>0</v>
      </c>
      <c r="AG253" s="95"/>
      <c r="AH253" s="95">
        <f t="shared" si="38"/>
        <v>0</v>
      </c>
      <c r="AI253" s="95">
        <v>0</v>
      </c>
      <c r="AJ253" s="98">
        <f t="shared" si="39"/>
        <v>0</v>
      </c>
      <c r="AK253" s="98">
        <f t="shared" si="40"/>
        <v>0</v>
      </c>
    </row>
    <row r="254" spans="1:37">
      <c r="A254" s="90" t="s">
        <v>309</v>
      </c>
      <c r="B254" s="99" t="s">
        <v>28</v>
      </c>
      <c r="C254" s="99" t="s">
        <v>85</v>
      </c>
      <c r="D254" s="99" t="s">
        <v>86</v>
      </c>
      <c r="E254" s="99" t="s">
        <v>93</v>
      </c>
      <c r="F254" s="99" t="s">
        <v>94</v>
      </c>
      <c r="G254" s="99" t="s">
        <v>33</v>
      </c>
      <c r="H254" s="99" t="s">
        <v>34</v>
      </c>
      <c r="I254" s="91" t="s">
        <v>214</v>
      </c>
      <c r="J254" s="91" t="s">
        <v>241</v>
      </c>
      <c r="K254" s="99" t="s">
        <v>82</v>
      </c>
      <c r="L254" s="100"/>
      <c r="M254" s="70" t="s">
        <v>83</v>
      </c>
      <c r="N254" s="70" t="s">
        <v>50</v>
      </c>
      <c r="O254" s="101">
        <v>0.08</v>
      </c>
      <c r="P254" s="79"/>
      <c r="Q254" s="91"/>
      <c r="R254" s="94">
        <v>0</v>
      </c>
      <c r="S254" s="79"/>
      <c r="T254" s="95">
        <v>0</v>
      </c>
      <c r="U254" s="95">
        <f t="shared" si="37"/>
        <v>0</v>
      </c>
      <c r="V254" s="95">
        <f t="shared" si="43"/>
        <v>0</v>
      </c>
      <c r="W254" s="77"/>
      <c r="X254" s="22">
        <f t="shared" si="35"/>
        <v>0</v>
      </c>
      <c r="Y254" s="95">
        <f t="shared" si="41"/>
        <v>0</v>
      </c>
      <c r="Z254" s="95">
        <f t="shared" si="44"/>
        <v>0</v>
      </c>
      <c r="AA254" s="96">
        <v>0.05</v>
      </c>
      <c r="AB254" s="79"/>
      <c r="AC254" s="79"/>
      <c r="AD254" s="79"/>
      <c r="AE254" s="96">
        <v>0.42</v>
      </c>
      <c r="AF254" s="94">
        <f t="shared" si="45"/>
        <v>0</v>
      </c>
      <c r="AG254" s="95"/>
      <c r="AH254" s="95">
        <f t="shared" si="38"/>
        <v>0</v>
      </c>
      <c r="AI254" s="95">
        <v>0</v>
      </c>
      <c r="AJ254" s="98">
        <f t="shared" si="39"/>
        <v>0</v>
      </c>
      <c r="AK254" s="98">
        <f t="shared" si="40"/>
        <v>0</v>
      </c>
    </row>
    <row r="255" spans="1:37">
      <c r="A255" s="90" t="s">
        <v>309</v>
      </c>
      <c r="B255" s="99" t="s">
        <v>28</v>
      </c>
      <c r="C255" s="99" t="s">
        <v>85</v>
      </c>
      <c r="D255" s="99" t="s">
        <v>86</v>
      </c>
      <c r="E255" s="99" t="s">
        <v>96</v>
      </c>
      <c r="F255" s="99" t="s">
        <v>97</v>
      </c>
      <c r="G255" s="99" t="s">
        <v>33</v>
      </c>
      <c r="H255" s="99" t="s">
        <v>34</v>
      </c>
      <c r="I255" s="91" t="s">
        <v>214</v>
      </c>
      <c r="J255" s="91" t="s">
        <v>241</v>
      </c>
      <c r="K255" s="99" t="s">
        <v>82</v>
      </c>
      <c r="L255" s="100"/>
      <c r="M255" s="70" t="s">
        <v>83</v>
      </c>
      <c r="N255" s="70" t="s">
        <v>50</v>
      </c>
      <c r="O255" s="101">
        <v>0.04</v>
      </c>
      <c r="P255" s="79"/>
      <c r="Q255" s="91"/>
      <c r="R255" s="94">
        <v>227.30774647876399</v>
      </c>
      <c r="S255" s="79"/>
      <c r="T255" s="95">
        <v>0</v>
      </c>
      <c r="U255" s="95">
        <f t="shared" si="37"/>
        <v>227.30774647876399</v>
      </c>
      <c r="V255" s="95">
        <f t="shared" si="43"/>
        <v>0</v>
      </c>
      <c r="W255" s="77"/>
      <c r="X255" s="22">
        <f t="shared" si="35"/>
        <v>0</v>
      </c>
      <c r="Y255" s="95">
        <f t="shared" si="41"/>
        <v>0</v>
      </c>
      <c r="Z255" s="95">
        <f t="shared" si="44"/>
        <v>0</v>
      </c>
      <c r="AA255" s="96">
        <v>0.05</v>
      </c>
      <c r="AB255" s="79"/>
      <c r="AC255" s="79"/>
      <c r="AD255" s="79"/>
      <c r="AE255" s="96">
        <v>0.42</v>
      </c>
      <c r="AF255" s="94">
        <f t="shared" si="45"/>
        <v>0</v>
      </c>
      <c r="AG255" s="95"/>
      <c r="AH255" s="95">
        <f t="shared" si="38"/>
        <v>0</v>
      </c>
      <c r="AI255" s="95">
        <v>0</v>
      </c>
      <c r="AJ255" s="98">
        <f t="shared" si="39"/>
        <v>0</v>
      </c>
      <c r="AK255" s="98">
        <f t="shared" si="40"/>
        <v>0</v>
      </c>
    </row>
    <row r="256" spans="1:37">
      <c r="A256" s="90" t="s">
        <v>309</v>
      </c>
      <c r="B256" s="99" t="s">
        <v>28</v>
      </c>
      <c r="C256" s="99" t="s">
        <v>85</v>
      </c>
      <c r="D256" s="99" t="s">
        <v>86</v>
      </c>
      <c r="E256" s="99" t="s">
        <v>80</v>
      </c>
      <c r="F256" s="99" t="s">
        <v>98</v>
      </c>
      <c r="G256" s="99" t="s">
        <v>33</v>
      </c>
      <c r="H256" s="99" t="s">
        <v>34</v>
      </c>
      <c r="I256" s="91" t="s">
        <v>214</v>
      </c>
      <c r="J256" s="91" t="s">
        <v>241</v>
      </c>
      <c r="K256" s="99" t="s">
        <v>82</v>
      </c>
      <c r="L256" s="100"/>
      <c r="M256" s="70" t="s">
        <v>83</v>
      </c>
      <c r="N256" s="70" t="s">
        <v>50</v>
      </c>
      <c r="O256" s="101">
        <v>0.23</v>
      </c>
      <c r="P256" s="79"/>
      <c r="Q256" s="91"/>
      <c r="R256" s="94">
        <v>152.264929577999</v>
      </c>
      <c r="S256" s="79"/>
      <c r="T256" s="95">
        <v>0</v>
      </c>
      <c r="U256" s="95">
        <f t="shared" si="37"/>
        <v>152.264929577999</v>
      </c>
      <c r="V256" s="95">
        <f t="shared" si="43"/>
        <v>0</v>
      </c>
      <c r="W256" s="77"/>
      <c r="X256" s="22">
        <f t="shared" si="35"/>
        <v>0</v>
      </c>
      <c r="Y256" s="95">
        <f t="shared" si="41"/>
        <v>0</v>
      </c>
      <c r="Z256" s="95">
        <f t="shared" si="44"/>
        <v>0</v>
      </c>
      <c r="AA256" s="96">
        <v>0.05</v>
      </c>
      <c r="AB256" s="79"/>
      <c r="AC256" s="79"/>
      <c r="AD256" s="79"/>
      <c r="AE256" s="96">
        <v>0.42</v>
      </c>
      <c r="AF256" s="94">
        <f t="shared" si="45"/>
        <v>0</v>
      </c>
      <c r="AG256" s="95"/>
      <c r="AH256" s="95">
        <f t="shared" si="38"/>
        <v>0</v>
      </c>
      <c r="AI256" s="95">
        <v>0</v>
      </c>
      <c r="AJ256" s="98">
        <f t="shared" si="39"/>
        <v>0</v>
      </c>
      <c r="AK256" s="98">
        <f t="shared" si="40"/>
        <v>0</v>
      </c>
    </row>
    <row r="257" spans="1:38">
      <c r="A257" s="90" t="s">
        <v>309</v>
      </c>
      <c r="B257" s="99" t="s">
        <v>28</v>
      </c>
      <c r="C257" s="99" t="s">
        <v>85</v>
      </c>
      <c r="D257" s="99" t="s">
        <v>86</v>
      </c>
      <c r="E257" s="99" t="s">
        <v>99</v>
      </c>
      <c r="F257" s="99" t="s">
        <v>100</v>
      </c>
      <c r="G257" s="99" t="s">
        <v>33</v>
      </c>
      <c r="H257" s="99" t="s">
        <v>34</v>
      </c>
      <c r="I257" s="91" t="s">
        <v>214</v>
      </c>
      <c r="J257" s="91" t="s">
        <v>241</v>
      </c>
      <c r="K257" s="99" t="s">
        <v>82</v>
      </c>
      <c r="L257" s="100"/>
      <c r="M257" s="70" t="s">
        <v>83</v>
      </c>
      <c r="N257" s="70" t="s">
        <v>50</v>
      </c>
      <c r="O257" s="101">
        <v>0.13</v>
      </c>
      <c r="P257" s="79"/>
      <c r="Q257" s="91"/>
      <c r="R257" s="20">
        <v>-30329.470000000056</v>
      </c>
      <c r="S257" s="79"/>
      <c r="T257" s="95">
        <v>0</v>
      </c>
      <c r="U257" s="95">
        <f t="shared" si="37"/>
        <v>-30329.470000000056</v>
      </c>
      <c r="V257" s="95">
        <f t="shared" si="43"/>
        <v>0</v>
      </c>
      <c r="W257" s="77"/>
      <c r="X257" s="22">
        <f t="shared" si="35"/>
        <v>0</v>
      </c>
      <c r="Y257" s="95">
        <f t="shared" si="41"/>
        <v>0</v>
      </c>
      <c r="Z257" s="95">
        <f t="shared" si="44"/>
        <v>0</v>
      </c>
      <c r="AA257" s="96">
        <v>0.05</v>
      </c>
      <c r="AB257" s="79"/>
      <c r="AC257" s="79"/>
      <c r="AD257" s="79"/>
      <c r="AE257" s="96">
        <v>0.42</v>
      </c>
      <c r="AF257" s="94">
        <f t="shared" si="45"/>
        <v>0</v>
      </c>
      <c r="AG257" s="95"/>
      <c r="AH257" s="95">
        <f t="shared" si="38"/>
        <v>0</v>
      </c>
      <c r="AI257" s="95">
        <v>0</v>
      </c>
      <c r="AJ257" s="98">
        <f t="shared" si="39"/>
        <v>0</v>
      </c>
      <c r="AK257" s="98">
        <f t="shared" si="40"/>
        <v>0</v>
      </c>
    </row>
    <row r="258" spans="1:38">
      <c r="A258" s="90" t="s">
        <v>309</v>
      </c>
      <c r="B258" s="99" t="s">
        <v>28</v>
      </c>
      <c r="C258" s="99" t="s">
        <v>85</v>
      </c>
      <c r="D258" s="99" t="s">
        <v>86</v>
      </c>
      <c r="E258" s="99" t="s">
        <v>101</v>
      </c>
      <c r="F258" s="99" t="s">
        <v>102</v>
      </c>
      <c r="G258" s="99" t="s">
        <v>33</v>
      </c>
      <c r="H258" s="99" t="s">
        <v>34</v>
      </c>
      <c r="I258" s="91" t="s">
        <v>214</v>
      </c>
      <c r="J258" s="91" t="s">
        <v>241</v>
      </c>
      <c r="K258" s="99" t="s">
        <v>82</v>
      </c>
      <c r="L258" s="100"/>
      <c r="M258" s="70" t="s">
        <v>83</v>
      </c>
      <c r="N258" s="70" t="s">
        <v>50</v>
      </c>
      <c r="O258" s="101">
        <v>0.03</v>
      </c>
      <c r="P258" s="79"/>
      <c r="Q258" s="91"/>
      <c r="R258" s="94">
        <v>425.555211267598</v>
      </c>
      <c r="S258" s="79"/>
      <c r="T258" s="95">
        <v>0</v>
      </c>
      <c r="U258" s="95">
        <f t="shared" si="37"/>
        <v>425.555211267598</v>
      </c>
      <c r="V258" s="95">
        <f t="shared" si="43"/>
        <v>0</v>
      </c>
      <c r="W258" s="77"/>
      <c r="X258" s="22">
        <f t="shared" si="35"/>
        <v>0</v>
      </c>
      <c r="Y258" s="95">
        <f t="shared" si="41"/>
        <v>0</v>
      </c>
      <c r="Z258" s="95">
        <f t="shared" si="44"/>
        <v>0</v>
      </c>
      <c r="AA258" s="96">
        <v>0.05</v>
      </c>
      <c r="AB258" s="79"/>
      <c r="AC258" s="79"/>
      <c r="AD258" s="79"/>
      <c r="AE258" s="96">
        <v>0.42</v>
      </c>
      <c r="AF258" s="94">
        <f t="shared" si="45"/>
        <v>0</v>
      </c>
      <c r="AG258" s="95"/>
      <c r="AH258" s="95">
        <f t="shared" si="38"/>
        <v>0</v>
      </c>
      <c r="AI258" s="95">
        <v>0</v>
      </c>
      <c r="AJ258" s="98">
        <f t="shared" si="39"/>
        <v>0</v>
      </c>
      <c r="AK258" s="98">
        <f t="shared" si="40"/>
        <v>0</v>
      </c>
    </row>
    <row r="259" spans="1:38">
      <c r="A259" s="90" t="s">
        <v>309</v>
      </c>
      <c r="B259" s="99" t="s">
        <v>28</v>
      </c>
      <c r="C259" s="99" t="s">
        <v>85</v>
      </c>
      <c r="D259" s="99" t="s">
        <v>86</v>
      </c>
      <c r="E259" s="99" t="s">
        <v>103</v>
      </c>
      <c r="F259" s="99" t="s">
        <v>104</v>
      </c>
      <c r="G259" s="99" t="s">
        <v>33</v>
      </c>
      <c r="H259" s="99" t="s">
        <v>34</v>
      </c>
      <c r="I259" s="91" t="s">
        <v>214</v>
      </c>
      <c r="J259" s="91" t="s">
        <v>241</v>
      </c>
      <c r="K259" s="99" t="s">
        <v>82</v>
      </c>
      <c r="L259" s="100"/>
      <c r="M259" s="70" t="s">
        <v>83</v>
      </c>
      <c r="N259" s="70" t="s">
        <v>50</v>
      </c>
      <c r="O259" s="101">
        <v>0.22</v>
      </c>
      <c r="P259" s="79"/>
      <c r="Q259" s="91"/>
      <c r="R259" s="94">
        <v>1402.38690140774</v>
      </c>
      <c r="S259" s="79"/>
      <c r="T259" s="95">
        <v>0</v>
      </c>
      <c r="U259" s="95">
        <f t="shared" si="37"/>
        <v>1402.38690140774</v>
      </c>
      <c r="V259" s="95">
        <f t="shared" si="43"/>
        <v>0</v>
      </c>
      <c r="W259" s="77"/>
      <c r="X259" s="22">
        <f t="shared" si="35"/>
        <v>0</v>
      </c>
      <c r="Y259" s="95">
        <f t="shared" si="41"/>
        <v>0</v>
      </c>
      <c r="Z259" s="95">
        <f t="shared" si="44"/>
        <v>0</v>
      </c>
      <c r="AA259" s="96">
        <v>0.05</v>
      </c>
      <c r="AB259" s="79"/>
      <c r="AC259" s="79"/>
      <c r="AD259" s="79"/>
      <c r="AE259" s="96">
        <v>0.42</v>
      </c>
      <c r="AF259" s="94">
        <f t="shared" si="45"/>
        <v>0</v>
      </c>
      <c r="AG259" s="95"/>
      <c r="AH259" s="95">
        <f t="shared" si="38"/>
        <v>0</v>
      </c>
      <c r="AI259" s="95">
        <v>0</v>
      </c>
      <c r="AJ259" s="98">
        <f t="shared" si="39"/>
        <v>0</v>
      </c>
      <c r="AK259" s="98">
        <f t="shared" si="40"/>
        <v>0</v>
      </c>
    </row>
    <row r="260" spans="1:38">
      <c r="A260" s="90" t="s">
        <v>309</v>
      </c>
      <c r="B260" s="99" t="s">
        <v>28</v>
      </c>
      <c r="C260" s="99" t="s">
        <v>85</v>
      </c>
      <c r="D260" s="99" t="s">
        <v>86</v>
      </c>
      <c r="E260" s="99" t="s">
        <v>105</v>
      </c>
      <c r="F260" s="99" t="s">
        <v>106</v>
      </c>
      <c r="G260" s="99" t="s">
        <v>33</v>
      </c>
      <c r="H260" s="99" t="s">
        <v>34</v>
      </c>
      <c r="I260" s="91" t="s">
        <v>214</v>
      </c>
      <c r="J260" s="91" t="s">
        <v>241</v>
      </c>
      <c r="K260" s="99" t="s">
        <v>82</v>
      </c>
      <c r="L260" s="100"/>
      <c r="M260" s="70" t="s">
        <v>83</v>
      </c>
      <c r="N260" s="70" t="s">
        <v>50</v>
      </c>
      <c r="O260" s="101">
        <v>0.23</v>
      </c>
      <c r="P260" s="79"/>
      <c r="Q260" s="91"/>
      <c r="R260" s="94">
        <v>12961.68</v>
      </c>
      <c r="S260" s="79"/>
      <c r="T260" s="95">
        <v>0</v>
      </c>
      <c r="U260" s="95">
        <f t="shared" si="37"/>
        <v>12961.68</v>
      </c>
      <c r="V260" s="95">
        <f t="shared" si="43"/>
        <v>0</v>
      </c>
      <c r="W260" s="77"/>
      <c r="X260" s="22">
        <f t="shared" si="35"/>
        <v>0</v>
      </c>
      <c r="Y260" s="95">
        <f t="shared" si="41"/>
        <v>0</v>
      </c>
      <c r="Z260" s="95">
        <f t="shared" si="44"/>
        <v>0</v>
      </c>
      <c r="AA260" s="96">
        <v>0.05</v>
      </c>
      <c r="AB260" s="79"/>
      <c r="AC260" s="79"/>
      <c r="AD260" s="79"/>
      <c r="AE260" s="96">
        <v>0.42</v>
      </c>
      <c r="AF260" s="94">
        <f t="shared" si="45"/>
        <v>0</v>
      </c>
      <c r="AG260" s="95"/>
      <c r="AH260" s="95">
        <f t="shared" si="38"/>
        <v>0</v>
      </c>
      <c r="AI260" s="95">
        <v>0</v>
      </c>
      <c r="AJ260" s="98">
        <f t="shared" si="39"/>
        <v>0</v>
      </c>
      <c r="AK260" s="98">
        <f t="shared" si="40"/>
        <v>0</v>
      </c>
    </row>
    <row r="261" spans="1:38">
      <c r="A261" s="90" t="s">
        <v>309</v>
      </c>
      <c r="B261" s="99" t="s">
        <v>28</v>
      </c>
      <c r="C261" s="99" t="s">
        <v>85</v>
      </c>
      <c r="D261" s="99" t="s">
        <v>86</v>
      </c>
      <c r="E261" s="99" t="s">
        <v>107</v>
      </c>
      <c r="F261" s="99" t="s">
        <v>108</v>
      </c>
      <c r="G261" s="99" t="s">
        <v>33</v>
      </c>
      <c r="H261" s="99" t="s">
        <v>34</v>
      </c>
      <c r="I261" s="91" t="s">
        <v>214</v>
      </c>
      <c r="J261" s="91" t="s">
        <v>241</v>
      </c>
      <c r="K261" s="99" t="s">
        <v>82</v>
      </c>
      <c r="L261" s="100"/>
      <c r="M261" s="70" t="s">
        <v>83</v>
      </c>
      <c r="N261" s="70" t="s">
        <v>50</v>
      </c>
      <c r="O261" s="101">
        <v>0.13</v>
      </c>
      <c r="P261" s="79"/>
      <c r="Q261" s="91"/>
      <c r="R261" s="94">
        <v>143.460985915328</v>
      </c>
      <c r="S261" s="79"/>
      <c r="T261" s="95">
        <v>0</v>
      </c>
      <c r="U261" s="95">
        <f t="shared" si="37"/>
        <v>143.460985915328</v>
      </c>
      <c r="V261" s="95">
        <f t="shared" si="43"/>
        <v>0</v>
      </c>
      <c r="W261" s="77"/>
      <c r="X261" s="22">
        <f t="shared" si="35"/>
        <v>0</v>
      </c>
      <c r="Y261" s="95">
        <f t="shared" si="41"/>
        <v>0</v>
      </c>
      <c r="Z261" s="95">
        <f t="shared" si="44"/>
        <v>0</v>
      </c>
      <c r="AA261" s="96">
        <v>0.05</v>
      </c>
      <c r="AB261" s="79"/>
      <c r="AC261" s="79"/>
      <c r="AD261" s="79"/>
      <c r="AE261" s="96">
        <v>0.42</v>
      </c>
      <c r="AF261" s="94">
        <f t="shared" si="45"/>
        <v>0</v>
      </c>
      <c r="AG261" s="95"/>
      <c r="AH261" s="95">
        <f t="shared" si="38"/>
        <v>0</v>
      </c>
      <c r="AI261" s="95">
        <v>0</v>
      </c>
      <c r="AJ261" s="98">
        <f t="shared" si="39"/>
        <v>0</v>
      </c>
      <c r="AK261" s="98">
        <f t="shared" si="40"/>
        <v>0</v>
      </c>
    </row>
    <row r="262" spans="1:38">
      <c r="A262" s="90" t="s">
        <v>309</v>
      </c>
      <c r="B262" s="99" t="s">
        <v>28</v>
      </c>
      <c r="C262" s="99" t="s">
        <v>85</v>
      </c>
      <c r="D262" s="99" t="s">
        <v>111</v>
      </c>
      <c r="E262" s="99" t="s">
        <v>112</v>
      </c>
      <c r="F262" s="99" t="s">
        <v>113</v>
      </c>
      <c r="G262" s="99" t="s">
        <v>33</v>
      </c>
      <c r="H262" s="99" t="s">
        <v>34</v>
      </c>
      <c r="I262" s="91" t="s">
        <v>214</v>
      </c>
      <c r="J262" s="91" t="s">
        <v>241</v>
      </c>
      <c r="K262" s="99" t="s">
        <v>82</v>
      </c>
      <c r="L262" s="100"/>
      <c r="M262" s="70" t="s">
        <v>83</v>
      </c>
      <c r="N262" s="70" t="s">
        <v>50</v>
      </c>
      <c r="O262" s="102">
        <v>0.18</v>
      </c>
      <c r="P262" s="79"/>
      <c r="Q262" s="91"/>
      <c r="R262" s="103">
        <v>114142.344929578</v>
      </c>
      <c r="S262" s="79"/>
      <c r="T262" s="104">
        <v>71290.73</v>
      </c>
      <c r="U262" s="104">
        <f t="shared" si="37"/>
        <v>42851.614929578005</v>
      </c>
      <c r="V262" s="104">
        <f t="shared" si="43"/>
        <v>63270.522875000002</v>
      </c>
      <c r="W262" s="105"/>
      <c r="X262" s="22">
        <f t="shared" si="35"/>
        <v>0</v>
      </c>
      <c r="Y262" s="95">
        <f t="shared" si="41"/>
        <v>8020.2071249999935</v>
      </c>
      <c r="Z262" s="104">
        <f t="shared" si="44"/>
        <v>71290.73</v>
      </c>
      <c r="AA262" s="96">
        <v>0.05</v>
      </c>
      <c r="AB262" s="79"/>
      <c r="AC262" s="79"/>
      <c r="AD262" s="79"/>
      <c r="AE262" s="106">
        <v>0.42</v>
      </c>
      <c r="AF262" s="103">
        <f t="shared" si="45"/>
        <v>71290.908450704228</v>
      </c>
      <c r="AG262" s="104"/>
      <c r="AH262" s="104">
        <f t="shared" si="38"/>
        <v>0</v>
      </c>
      <c r="AI262" s="104">
        <v>101233.09</v>
      </c>
      <c r="AJ262" s="98">
        <f t="shared" si="39"/>
        <v>29942.36</v>
      </c>
      <c r="AK262" s="98">
        <f t="shared" si="40"/>
        <v>63270.681250000001</v>
      </c>
      <c r="AL262" s="57">
        <f>AK262-V262</f>
        <v>0.15837499999906868</v>
      </c>
    </row>
    <row r="263" spans="1:38">
      <c r="A263" s="90" t="s">
        <v>309</v>
      </c>
      <c r="B263" s="99" t="s">
        <v>28</v>
      </c>
      <c r="C263" s="99" t="s">
        <v>85</v>
      </c>
      <c r="D263" s="99" t="s">
        <v>111</v>
      </c>
      <c r="E263" s="99" t="s">
        <v>82</v>
      </c>
      <c r="F263" s="99" t="s">
        <v>114</v>
      </c>
      <c r="G263" s="99" t="s">
        <v>33</v>
      </c>
      <c r="H263" s="99" t="s">
        <v>34</v>
      </c>
      <c r="I263" s="91" t="s">
        <v>214</v>
      </c>
      <c r="J263" s="91" t="s">
        <v>241</v>
      </c>
      <c r="K263" s="99" t="s">
        <v>82</v>
      </c>
      <c r="L263" s="100"/>
      <c r="M263" s="70" t="s">
        <v>83</v>
      </c>
      <c r="N263" s="70" t="s">
        <v>50</v>
      </c>
      <c r="O263" s="101">
        <v>0.08</v>
      </c>
      <c r="P263" s="79"/>
      <c r="Q263" s="91"/>
      <c r="R263" s="94">
        <v>29897.39</v>
      </c>
      <c r="S263" s="79"/>
      <c r="T263" s="95">
        <v>0</v>
      </c>
      <c r="U263" s="95">
        <f t="shared" si="37"/>
        <v>29897.39</v>
      </c>
      <c r="V263" s="95">
        <f t="shared" si="43"/>
        <v>0</v>
      </c>
      <c r="W263" s="77"/>
      <c r="X263" s="22">
        <f t="shared" si="35"/>
        <v>0</v>
      </c>
      <c r="Y263" s="95">
        <f t="shared" si="41"/>
        <v>0</v>
      </c>
      <c r="Z263" s="95">
        <f t="shared" si="44"/>
        <v>0</v>
      </c>
      <c r="AA263" s="96">
        <v>0.05</v>
      </c>
      <c r="AB263" s="79"/>
      <c r="AC263" s="79"/>
      <c r="AD263" s="79"/>
      <c r="AE263" s="96">
        <v>0.42</v>
      </c>
      <c r="AF263" s="94">
        <f t="shared" si="45"/>
        <v>0</v>
      </c>
      <c r="AG263" s="95"/>
      <c r="AH263" s="95">
        <f t="shared" si="38"/>
        <v>0</v>
      </c>
      <c r="AI263" s="95">
        <v>0</v>
      </c>
      <c r="AJ263" s="98">
        <f t="shared" si="39"/>
        <v>0</v>
      </c>
      <c r="AK263" s="98">
        <f t="shared" si="40"/>
        <v>0</v>
      </c>
    </row>
    <row r="264" spans="1:38">
      <c r="A264" s="90" t="s">
        <v>309</v>
      </c>
      <c r="B264" s="99" t="s">
        <v>28</v>
      </c>
      <c r="C264" s="99" t="s">
        <v>85</v>
      </c>
      <c r="D264" s="99" t="s">
        <v>111</v>
      </c>
      <c r="E264" s="99" t="s">
        <v>115</v>
      </c>
      <c r="F264" s="99" t="s">
        <v>116</v>
      </c>
      <c r="G264" s="99" t="s">
        <v>33</v>
      </c>
      <c r="H264" s="99" t="s">
        <v>34</v>
      </c>
      <c r="I264" s="91" t="s">
        <v>214</v>
      </c>
      <c r="J264" s="91" t="s">
        <v>241</v>
      </c>
      <c r="K264" s="99" t="s">
        <v>82</v>
      </c>
      <c r="L264" s="100"/>
      <c r="M264" s="70" t="s">
        <v>83</v>
      </c>
      <c r="N264" s="70" t="s">
        <v>50</v>
      </c>
      <c r="O264" s="101">
        <v>0.08</v>
      </c>
      <c r="P264" s="79"/>
      <c r="Q264" s="91"/>
      <c r="R264" s="94">
        <v>20014.111126760599</v>
      </c>
      <c r="S264" s="79"/>
      <c r="T264" s="95">
        <v>0</v>
      </c>
      <c r="U264" s="95">
        <f t="shared" si="37"/>
        <v>20014.111126760599</v>
      </c>
      <c r="V264" s="95">
        <f t="shared" si="43"/>
        <v>0</v>
      </c>
      <c r="W264" s="77"/>
      <c r="X264" s="22">
        <f t="shared" si="35"/>
        <v>0</v>
      </c>
      <c r="Y264" s="95">
        <f t="shared" si="41"/>
        <v>0</v>
      </c>
      <c r="Z264" s="95">
        <f t="shared" si="44"/>
        <v>0</v>
      </c>
      <c r="AA264" s="96">
        <v>0.05</v>
      </c>
      <c r="AB264" s="79"/>
      <c r="AC264" s="79"/>
      <c r="AD264" s="79"/>
      <c r="AE264" s="96">
        <v>0.42</v>
      </c>
      <c r="AF264" s="94">
        <f t="shared" si="45"/>
        <v>0</v>
      </c>
      <c r="AG264" s="95"/>
      <c r="AH264" s="95">
        <f t="shared" si="38"/>
        <v>0</v>
      </c>
      <c r="AI264" s="95">
        <v>0</v>
      </c>
      <c r="AJ264" s="98">
        <f t="shared" si="39"/>
        <v>0</v>
      </c>
      <c r="AK264" s="98">
        <f t="shared" si="40"/>
        <v>0</v>
      </c>
    </row>
    <row r="265" spans="1:38">
      <c r="A265" s="90" t="s">
        <v>309</v>
      </c>
      <c r="B265" s="99" t="s">
        <v>28</v>
      </c>
      <c r="C265" s="99" t="s">
        <v>85</v>
      </c>
      <c r="D265" s="99" t="s">
        <v>111</v>
      </c>
      <c r="E265" s="99" t="s">
        <v>117</v>
      </c>
      <c r="F265" s="99" t="s">
        <v>118</v>
      </c>
      <c r="G265" s="99" t="s">
        <v>33</v>
      </c>
      <c r="H265" s="99" t="s">
        <v>34</v>
      </c>
      <c r="I265" s="91" t="s">
        <v>214</v>
      </c>
      <c r="J265" s="91" t="s">
        <v>241</v>
      </c>
      <c r="K265" s="99" t="s">
        <v>82</v>
      </c>
      <c r="L265" s="100"/>
      <c r="M265" s="70" t="s">
        <v>83</v>
      </c>
      <c r="N265" s="70" t="s">
        <v>50</v>
      </c>
      <c r="O265" s="101">
        <v>0.04</v>
      </c>
      <c r="P265" s="79"/>
      <c r="Q265" s="91"/>
      <c r="R265" s="94">
        <v>322.47394365991897</v>
      </c>
      <c r="S265" s="79"/>
      <c r="T265" s="95">
        <v>0</v>
      </c>
      <c r="U265" s="95">
        <f t="shared" si="37"/>
        <v>322.47394365991897</v>
      </c>
      <c r="V265" s="95">
        <f t="shared" si="43"/>
        <v>0</v>
      </c>
      <c r="W265" s="77"/>
      <c r="X265" s="22">
        <f t="shared" si="35"/>
        <v>0</v>
      </c>
      <c r="Y265" s="95">
        <f t="shared" si="41"/>
        <v>0</v>
      </c>
      <c r="Z265" s="95">
        <f t="shared" si="44"/>
        <v>0</v>
      </c>
      <c r="AA265" s="96">
        <v>0.05</v>
      </c>
      <c r="AB265" s="79"/>
      <c r="AC265" s="79"/>
      <c r="AD265" s="79"/>
      <c r="AE265" s="96">
        <v>0.42</v>
      </c>
      <c r="AF265" s="94">
        <f t="shared" si="45"/>
        <v>0</v>
      </c>
      <c r="AG265" s="95"/>
      <c r="AH265" s="95">
        <f t="shared" si="38"/>
        <v>0</v>
      </c>
      <c r="AI265" s="95">
        <v>0</v>
      </c>
      <c r="AJ265" s="98">
        <f t="shared" si="39"/>
        <v>0</v>
      </c>
      <c r="AK265" s="98">
        <f t="shared" si="40"/>
        <v>0</v>
      </c>
    </row>
    <row r="266" spans="1:38">
      <c r="A266" s="90" t="s">
        <v>309</v>
      </c>
      <c r="B266" s="99" t="s">
        <v>28</v>
      </c>
      <c r="C266" s="99" t="s">
        <v>85</v>
      </c>
      <c r="D266" s="99" t="s">
        <v>111</v>
      </c>
      <c r="E266" s="99" t="s">
        <v>119</v>
      </c>
      <c r="F266" s="99" t="s">
        <v>120</v>
      </c>
      <c r="G266" s="99" t="s">
        <v>33</v>
      </c>
      <c r="H266" s="99" t="s">
        <v>34</v>
      </c>
      <c r="I266" s="91" t="s">
        <v>214</v>
      </c>
      <c r="J266" s="91" t="s">
        <v>241</v>
      </c>
      <c r="K266" s="99" t="s">
        <v>82</v>
      </c>
      <c r="L266" s="100"/>
      <c r="M266" s="70" t="s">
        <v>83</v>
      </c>
      <c r="N266" s="70" t="s">
        <v>50</v>
      </c>
      <c r="O266" s="101">
        <v>0.23</v>
      </c>
      <c r="P266" s="79"/>
      <c r="Q266" s="91"/>
      <c r="R266" s="94">
        <v>196.54507042269699</v>
      </c>
      <c r="S266" s="79"/>
      <c r="T266" s="95">
        <v>0</v>
      </c>
      <c r="U266" s="95">
        <f t="shared" si="37"/>
        <v>196.54507042269699</v>
      </c>
      <c r="V266" s="95">
        <f t="shared" si="43"/>
        <v>0</v>
      </c>
      <c r="W266" s="77"/>
      <c r="X266" s="22">
        <f t="shared" si="35"/>
        <v>0</v>
      </c>
      <c r="Y266" s="95">
        <f t="shared" si="41"/>
        <v>0</v>
      </c>
      <c r="Z266" s="95">
        <f t="shared" si="44"/>
        <v>0</v>
      </c>
      <c r="AA266" s="96">
        <v>0.05</v>
      </c>
      <c r="AB266" s="79"/>
      <c r="AC266" s="79"/>
      <c r="AD266" s="79"/>
      <c r="AE266" s="96">
        <v>0.42</v>
      </c>
      <c r="AF266" s="94">
        <f t="shared" si="45"/>
        <v>0</v>
      </c>
      <c r="AG266" s="95"/>
      <c r="AH266" s="95">
        <f t="shared" si="38"/>
        <v>0</v>
      </c>
      <c r="AI266" s="95">
        <v>0</v>
      </c>
      <c r="AJ266" s="98">
        <f t="shared" si="39"/>
        <v>0</v>
      </c>
      <c r="AK266" s="98">
        <f t="shared" si="40"/>
        <v>0</v>
      </c>
    </row>
    <row r="267" spans="1:38">
      <c r="A267" s="90" t="s">
        <v>309</v>
      </c>
      <c r="B267" s="99" t="s">
        <v>28</v>
      </c>
      <c r="C267" s="99" t="s">
        <v>85</v>
      </c>
      <c r="D267" s="99" t="s">
        <v>111</v>
      </c>
      <c r="E267" s="99" t="s">
        <v>121</v>
      </c>
      <c r="F267" s="99" t="s">
        <v>122</v>
      </c>
      <c r="G267" s="99" t="s">
        <v>33</v>
      </c>
      <c r="H267" s="99" t="s">
        <v>34</v>
      </c>
      <c r="I267" s="91" t="s">
        <v>214</v>
      </c>
      <c r="J267" s="91" t="s">
        <v>241</v>
      </c>
      <c r="K267" s="99" t="s">
        <v>82</v>
      </c>
      <c r="L267" s="100"/>
      <c r="M267" s="70" t="s">
        <v>83</v>
      </c>
      <c r="N267" s="70" t="s">
        <v>50</v>
      </c>
      <c r="O267" s="101">
        <v>0.03</v>
      </c>
      <c r="P267" s="79"/>
      <c r="Q267" s="91"/>
      <c r="R267" s="94">
        <v>1513.0032394366101</v>
      </c>
      <c r="S267" s="79"/>
      <c r="T267" s="95">
        <v>0</v>
      </c>
      <c r="U267" s="95">
        <f t="shared" si="37"/>
        <v>1513.0032394366101</v>
      </c>
      <c r="V267" s="95">
        <f t="shared" si="43"/>
        <v>0</v>
      </c>
      <c r="W267" s="77"/>
      <c r="X267" s="22">
        <f t="shared" si="35"/>
        <v>0</v>
      </c>
      <c r="Y267" s="95">
        <f t="shared" si="41"/>
        <v>0</v>
      </c>
      <c r="Z267" s="95">
        <f t="shared" si="44"/>
        <v>0</v>
      </c>
      <c r="AA267" s="96">
        <v>0.05</v>
      </c>
      <c r="AB267" s="79"/>
      <c r="AC267" s="79"/>
      <c r="AD267" s="79"/>
      <c r="AE267" s="96">
        <v>0.42</v>
      </c>
      <c r="AF267" s="94">
        <f t="shared" si="45"/>
        <v>0</v>
      </c>
      <c r="AG267" s="95"/>
      <c r="AH267" s="95">
        <f t="shared" si="38"/>
        <v>0</v>
      </c>
      <c r="AI267" s="95">
        <v>0</v>
      </c>
      <c r="AJ267" s="98">
        <f t="shared" si="39"/>
        <v>0</v>
      </c>
      <c r="AK267" s="98">
        <f t="shared" si="40"/>
        <v>0</v>
      </c>
    </row>
    <row r="268" spans="1:38">
      <c r="A268" s="90" t="s">
        <v>309</v>
      </c>
      <c r="B268" s="99" t="s">
        <v>28</v>
      </c>
      <c r="C268" s="99" t="s">
        <v>85</v>
      </c>
      <c r="D268" s="99" t="s">
        <v>111</v>
      </c>
      <c r="E268" s="99" t="s">
        <v>123</v>
      </c>
      <c r="F268" s="99" t="s">
        <v>124</v>
      </c>
      <c r="G268" s="99" t="s">
        <v>33</v>
      </c>
      <c r="H268" s="99" t="s">
        <v>34</v>
      </c>
      <c r="I268" s="91" t="s">
        <v>214</v>
      </c>
      <c r="J268" s="91" t="s">
        <v>241</v>
      </c>
      <c r="K268" s="99" t="s">
        <v>82</v>
      </c>
      <c r="L268" s="100"/>
      <c r="M268" s="70" t="s">
        <v>83</v>
      </c>
      <c r="N268" s="70" t="s">
        <v>50</v>
      </c>
      <c r="O268" s="101">
        <v>0.03</v>
      </c>
      <c r="P268" s="79"/>
      <c r="Q268" s="91"/>
      <c r="R268" s="94">
        <v>6504.6216901406997</v>
      </c>
      <c r="S268" s="79"/>
      <c r="T268" s="95">
        <v>0</v>
      </c>
      <c r="U268" s="95">
        <f t="shared" si="37"/>
        <v>6504.6216901406997</v>
      </c>
      <c r="V268" s="95">
        <f t="shared" si="43"/>
        <v>0</v>
      </c>
      <c r="W268" s="77"/>
      <c r="X268" s="22">
        <f t="shared" si="35"/>
        <v>0</v>
      </c>
      <c r="Y268" s="95">
        <f t="shared" si="41"/>
        <v>0</v>
      </c>
      <c r="Z268" s="95">
        <f t="shared" si="44"/>
        <v>0</v>
      </c>
      <c r="AA268" s="96">
        <v>0.05</v>
      </c>
      <c r="AB268" s="79"/>
      <c r="AC268" s="79"/>
      <c r="AD268" s="79"/>
      <c r="AE268" s="96">
        <v>0</v>
      </c>
      <c r="AF268" s="94">
        <f t="shared" si="45"/>
        <v>0</v>
      </c>
      <c r="AG268" s="95"/>
      <c r="AH268" s="95">
        <f t="shared" si="38"/>
        <v>0</v>
      </c>
      <c r="AI268" s="95">
        <v>0</v>
      </c>
      <c r="AJ268" s="98">
        <f t="shared" si="39"/>
        <v>0</v>
      </c>
      <c r="AK268" s="98">
        <f t="shared" si="40"/>
        <v>0</v>
      </c>
    </row>
    <row r="269" spans="1:38">
      <c r="A269" s="90" t="s">
        <v>309</v>
      </c>
      <c r="B269" s="99" t="s">
        <v>28</v>
      </c>
      <c r="C269" s="99" t="s">
        <v>85</v>
      </c>
      <c r="D269" s="99" t="s">
        <v>111</v>
      </c>
      <c r="E269" s="99" t="s">
        <v>125</v>
      </c>
      <c r="F269" s="99" t="s">
        <v>126</v>
      </c>
      <c r="G269" s="99" t="s">
        <v>33</v>
      </c>
      <c r="H269" s="99" t="s">
        <v>34</v>
      </c>
      <c r="I269" s="91" t="s">
        <v>214</v>
      </c>
      <c r="J269" s="91" t="s">
        <v>241</v>
      </c>
      <c r="K269" s="99" t="s">
        <v>82</v>
      </c>
      <c r="L269" s="100"/>
      <c r="M269" s="70" t="s">
        <v>83</v>
      </c>
      <c r="N269" s="70" t="s">
        <v>50</v>
      </c>
      <c r="O269" s="101">
        <v>0.18</v>
      </c>
      <c r="P269" s="79"/>
      <c r="Q269" s="91"/>
      <c r="R269" s="94">
        <v>44820.261970721403</v>
      </c>
      <c r="S269" s="79"/>
      <c r="T269" s="95">
        <v>0</v>
      </c>
      <c r="U269" s="95">
        <f t="shared" si="37"/>
        <v>44820.261970721403</v>
      </c>
      <c r="V269" s="95">
        <f t="shared" si="43"/>
        <v>0</v>
      </c>
      <c r="W269" s="77"/>
      <c r="X269" s="22">
        <f t="shared" si="35"/>
        <v>0</v>
      </c>
      <c r="Y269" s="95">
        <f t="shared" si="41"/>
        <v>0</v>
      </c>
      <c r="Z269" s="95">
        <f t="shared" si="44"/>
        <v>0</v>
      </c>
      <c r="AA269" s="96">
        <v>0.05</v>
      </c>
      <c r="AB269" s="79"/>
      <c r="AC269" s="79"/>
      <c r="AD269" s="79"/>
      <c r="AE269" s="96">
        <v>0.42</v>
      </c>
      <c r="AF269" s="94">
        <f t="shared" si="45"/>
        <v>0</v>
      </c>
      <c r="AG269" s="95"/>
      <c r="AH269" s="95">
        <f t="shared" si="38"/>
        <v>0</v>
      </c>
      <c r="AI269" s="95">
        <v>0</v>
      </c>
      <c r="AJ269" s="98">
        <f t="shared" si="39"/>
        <v>0</v>
      </c>
      <c r="AK269" s="98">
        <f t="shared" si="40"/>
        <v>0</v>
      </c>
    </row>
    <row r="270" spans="1:38">
      <c r="A270" s="90" t="s">
        <v>309</v>
      </c>
      <c r="B270" s="99" t="s">
        <v>28</v>
      </c>
      <c r="C270" s="99" t="s">
        <v>85</v>
      </c>
      <c r="D270" s="99" t="s">
        <v>111</v>
      </c>
      <c r="E270" s="99" t="s">
        <v>127</v>
      </c>
      <c r="F270" s="99" t="s">
        <v>128</v>
      </c>
      <c r="G270" s="99" t="s">
        <v>33</v>
      </c>
      <c r="H270" s="99" t="s">
        <v>34</v>
      </c>
      <c r="I270" s="91" t="s">
        <v>214</v>
      </c>
      <c r="J270" s="91" t="s">
        <v>241</v>
      </c>
      <c r="K270" s="99" t="s">
        <v>82</v>
      </c>
      <c r="L270" s="100"/>
      <c r="M270" s="70" t="s">
        <v>83</v>
      </c>
      <c r="N270" s="70" t="s">
        <v>50</v>
      </c>
      <c r="O270" s="101">
        <v>0.23</v>
      </c>
      <c r="P270" s="79"/>
      <c r="Q270" s="91"/>
      <c r="R270" s="94">
        <v>132154.611549297</v>
      </c>
      <c r="S270" s="79"/>
      <c r="T270" s="95">
        <v>0</v>
      </c>
      <c r="U270" s="95">
        <f t="shared" si="37"/>
        <v>132154.611549297</v>
      </c>
      <c r="V270" s="95">
        <f t="shared" si="43"/>
        <v>0</v>
      </c>
      <c r="W270" s="77"/>
      <c r="X270" s="22">
        <f t="shared" si="35"/>
        <v>0</v>
      </c>
      <c r="Y270" s="95">
        <f t="shared" si="41"/>
        <v>0</v>
      </c>
      <c r="Z270" s="95">
        <f t="shared" si="44"/>
        <v>0</v>
      </c>
      <c r="AA270" s="96">
        <v>0.05</v>
      </c>
      <c r="AB270" s="79"/>
      <c r="AC270" s="79"/>
      <c r="AD270" s="79"/>
      <c r="AE270" s="96">
        <v>0.42</v>
      </c>
      <c r="AF270" s="94">
        <f t="shared" si="45"/>
        <v>0</v>
      </c>
      <c r="AG270" s="95"/>
      <c r="AH270" s="95">
        <f t="shared" si="38"/>
        <v>0</v>
      </c>
      <c r="AI270" s="95">
        <v>0</v>
      </c>
      <c r="AJ270" s="98">
        <f t="shared" si="39"/>
        <v>0</v>
      </c>
      <c r="AK270" s="98">
        <f t="shared" si="40"/>
        <v>0</v>
      </c>
    </row>
    <row r="271" spans="1:38">
      <c r="A271" s="90" t="s">
        <v>309</v>
      </c>
      <c r="B271" s="99" t="s">
        <v>28</v>
      </c>
      <c r="C271" s="99" t="s">
        <v>85</v>
      </c>
      <c r="D271" s="99" t="s">
        <v>111</v>
      </c>
      <c r="E271" s="99" t="s">
        <v>129</v>
      </c>
      <c r="F271" s="99" t="s">
        <v>130</v>
      </c>
      <c r="G271" s="99" t="s">
        <v>33</v>
      </c>
      <c r="H271" s="99" t="s">
        <v>34</v>
      </c>
      <c r="I271" s="91" t="s">
        <v>214</v>
      </c>
      <c r="J271" s="91" t="s">
        <v>241</v>
      </c>
      <c r="K271" s="99" t="s">
        <v>82</v>
      </c>
      <c r="L271" s="100"/>
      <c r="M271" s="70" t="s">
        <v>83</v>
      </c>
      <c r="N271" s="70" t="s">
        <v>50</v>
      </c>
      <c r="O271" s="101">
        <v>0.03</v>
      </c>
      <c r="P271" s="79"/>
      <c r="Q271" s="91"/>
      <c r="R271" s="20">
        <v>14157.309295774696</v>
      </c>
      <c r="S271" s="79"/>
      <c r="T271" s="95">
        <v>0</v>
      </c>
      <c r="U271" s="95">
        <f t="shared" si="37"/>
        <v>14157.309295774696</v>
      </c>
      <c r="V271" s="95">
        <f t="shared" si="43"/>
        <v>0</v>
      </c>
      <c r="W271" s="77"/>
      <c r="X271" s="22">
        <f t="shared" si="35"/>
        <v>0</v>
      </c>
      <c r="Y271" s="95">
        <f t="shared" si="41"/>
        <v>0</v>
      </c>
      <c r="Z271" s="95">
        <f t="shared" si="44"/>
        <v>0</v>
      </c>
      <c r="AA271" s="96">
        <v>0.05</v>
      </c>
      <c r="AB271" s="79"/>
      <c r="AC271" s="79"/>
      <c r="AD271" s="79"/>
      <c r="AE271" s="96">
        <v>0.42</v>
      </c>
      <c r="AF271" s="94">
        <f t="shared" si="45"/>
        <v>0</v>
      </c>
      <c r="AG271" s="95"/>
      <c r="AH271" s="95">
        <f t="shared" si="38"/>
        <v>0</v>
      </c>
      <c r="AI271" s="95">
        <v>0</v>
      </c>
      <c r="AJ271" s="98">
        <f t="shared" si="39"/>
        <v>0</v>
      </c>
      <c r="AK271" s="98">
        <f t="shared" si="40"/>
        <v>0</v>
      </c>
    </row>
    <row r="272" spans="1:38">
      <c r="A272" s="90" t="s">
        <v>309</v>
      </c>
      <c r="B272" s="99" t="s">
        <v>28</v>
      </c>
      <c r="C272" s="99" t="s">
        <v>85</v>
      </c>
      <c r="D272" s="99" t="s">
        <v>111</v>
      </c>
      <c r="E272" s="99" t="s">
        <v>131</v>
      </c>
      <c r="F272" s="99" t="s">
        <v>132</v>
      </c>
      <c r="G272" s="99" t="s">
        <v>33</v>
      </c>
      <c r="H272" s="99" t="s">
        <v>34</v>
      </c>
      <c r="I272" s="91" t="s">
        <v>214</v>
      </c>
      <c r="J272" s="91" t="s">
        <v>241</v>
      </c>
      <c r="K272" s="99" t="s">
        <v>82</v>
      </c>
      <c r="L272" s="100"/>
      <c r="M272" s="70" t="s">
        <v>83</v>
      </c>
      <c r="N272" s="70" t="s">
        <v>50</v>
      </c>
      <c r="O272" s="101">
        <v>0.03</v>
      </c>
      <c r="P272" s="79"/>
      <c r="Q272" s="91"/>
      <c r="R272" s="94">
        <v>480.55873239384499</v>
      </c>
      <c r="S272" s="79"/>
      <c r="T272" s="95">
        <v>0</v>
      </c>
      <c r="U272" s="95">
        <f t="shared" si="37"/>
        <v>480.55873239384499</v>
      </c>
      <c r="V272" s="95">
        <f t="shared" si="43"/>
        <v>0</v>
      </c>
      <c r="W272" s="77"/>
      <c r="X272" s="22">
        <f t="shared" si="35"/>
        <v>0</v>
      </c>
      <c r="Y272" s="95">
        <f t="shared" si="41"/>
        <v>0</v>
      </c>
      <c r="Z272" s="95">
        <f t="shared" si="44"/>
        <v>0</v>
      </c>
      <c r="AA272" s="96">
        <v>0.05</v>
      </c>
      <c r="AB272" s="79"/>
      <c r="AC272" s="79"/>
      <c r="AD272" s="79"/>
      <c r="AE272" s="96">
        <v>0.42</v>
      </c>
      <c r="AF272" s="94">
        <f t="shared" si="45"/>
        <v>0</v>
      </c>
      <c r="AG272" s="95"/>
      <c r="AH272" s="95">
        <f t="shared" si="38"/>
        <v>0</v>
      </c>
      <c r="AI272" s="95">
        <v>0</v>
      </c>
      <c r="AJ272" s="98">
        <f t="shared" si="39"/>
        <v>0</v>
      </c>
      <c r="AK272" s="98">
        <f t="shared" si="40"/>
        <v>0</v>
      </c>
    </row>
    <row r="273" spans="1:38">
      <c r="A273" s="90" t="s">
        <v>309</v>
      </c>
      <c r="B273" s="99" t="s">
        <v>28</v>
      </c>
      <c r="C273" s="99" t="s">
        <v>85</v>
      </c>
      <c r="D273" s="99" t="s">
        <v>111</v>
      </c>
      <c r="E273" s="99" t="s">
        <v>133</v>
      </c>
      <c r="F273" s="99" t="s">
        <v>134</v>
      </c>
      <c r="G273" s="99" t="s">
        <v>33</v>
      </c>
      <c r="H273" s="99" t="s">
        <v>34</v>
      </c>
      <c r="I273" s="91" t="s">
        <v>214</v>
      </c>
      <c r="J273" s="91" t="s">
        <v>241</v>
      </c>
      <c r="K273" s="99" t="s">
        <v>82</v>
      </c>
      <c r="L273" s="100"/>
      <c r="M273" s="70" t="s">
        <v>83</v>
      </c>
      <c r="N273" s="70" t="s">
        <v>50</v>
      </c>
      <c r="O273" s="101">
        <v>0.23</v>
      </c>
      <c r="P273" s="79"/>
      <c r="Q273" s="91"/>
      <c r="R273" s="20">
        <v>88.72</v>
      </c>
      <c r="S273" s="79"/>
      <c r="T273" s="95">
        <v>0</v>
      </c>
      <c r="U273" s="95">
        <f t="shared" si="37"/>
        <v>88.72</v>
      </c>
      <c r="V273" s="95">
        <f t="shared" si="43"/>
        <v>0</v>
      </c>
      <c r="W273" s="77"/>
      <c r="X273" s="22">
        <f t="shared" si="35"/>
        <v>0</v>
      </c>
      <c r="Y273" s="95">
        <f t="shared" si="41"/>
        <v>0</v>
      </c>
      <c r="Z273" s="95">
        <f t="shared" si="44"/>
        <v>0</v>
      </c>
      <c r="AA273" s="96">
        <v>0.05</v>
      </c>
      <c r="AB273" s="79"/>
      <c r="AC273" s="79"/>
      <c r="AD273" s="79"/>
      <c r="AE273" s="96">
        <v>0.42</v>
      </c>
      <c r="AF273" s="94">
        <f t="shared" si="45"/>
        <v>0</v>
      </c>
      <c r="AG273" s="95"/>
      <c r="AH273" s="95">
        <f t="shared" si="38"/>
        <v>0</v>
      </c>
      <c r="AI273" s="95">
        <v>0</v>
      </c>
      <c r="AJ273" s="98">
        <f t="shared" si="39"/>
        <v>0</v>
      </c>
      <c r="AK273" s="98">
        <f t="shared" si="40"/>
        <v>0</v>
      </c>
    </row>
    <row r="274" spans="1:38">
      <c r="A274" s="90" t="s">
        <v>309</v>
      </c>
      <c r="B274" s="99" t="s">
        <v>28</v>
      </c>
      <c r="C274" s="99" t="s">
        <v>85</v>
      </c>
      <c r="D274" s="99" t="s">
        <v>111</v>
      </c>
      <c r="E274" s="99" t="s">
        <v>135</v>
      </c>
      <c r="F274" s="99" t="s">
        <v>136</v>
      </c>
      <c r="G274" s="99" t="s">
        <v>33</v>
      </c>
      <c r="H274" s="99" t="s">
        <v>34</v>
      </c>
      <c r="I274" s="91" t="s">
        <v>214</v>
      </c>
      <c r="J274" s="91" t="s">
        <v>241</v>
      </c>
      <c r="K274" s="99" t="s">
        <v>82</v>
      </c>
      <c r="L274" s="100"/>
      <c r="M274" s="70" t="s">
        <v>83</v>
      </c>
      <c r="N274" s="70" t="s">
        <v>50</v>
      </c>
      <c r="O274" s="101">
        <v>0.18</v>
      </c>
      <c r="P274" s="79"/>
      <c r="Q274" s="91"/>
      <c r="R274" s="94">
        <v>147.29985915508601</v>
      </c>
      <c r="S274" s="79"/>
      <c r="T274" s="95">
        <v>0</v>
      </c>
      <c r="U274" s="95">
        <f t="shared" si="37"/>
        <v>147.29985915508601</v>
      </c>
      <c r="V274" s="95">
        <f t="shared" si="43"/>
        <v>0</v>
      </c>
      <c r="W274" s="77"/>
      <c r="X274" s="22">
        <f t="shared" si="35"/>
        <v>0</v>
      </c>
      <c r="Y274" s="95">
        <f t="shared" si="41"/>
        <v>0</v>
      </c>
      <c r="Z274" s="95">
        <f t="shared" si="44"/>
        <v>0</v>
      </c>
      <c r="AA274" s="96">
        <v>0.05</v>
      </c>
      <c r="AB274" s="79"/>
      <c r="AC274" s="79"/>
      <c r="AD274" s="79"/>
      <c r="AE274" s="96">
        <v>0.42</v>
      </c>
      <c r="AF274" s="94">
        <f t="shared" si="45"/>
        <v>0</v>
      </c>
      <c r="AG274" s="95"/>
      <c r="AH274" s="95">
        <f t="shared" si="38"/>
        <v>0</v>
      </c>
      <c r="AI274" s="95">
        <v>0</v>
      </c>
      <c r="AJ274" s="98">
        <f t="shared" si="39"/>
        <v>0</v>
      </c>
      <c r="AK274" s="98">
        <f t="shared" si="40"/>
        <v>0</v>
      </c>
    </row>
    <row r="275" spans="1:38">
      <c r="A275" s="90" t="s">
        <v>309</v>
      </c>
      <c r="B275" s="99" t="s">
        <v>28</v>
      </c>
      <c r="C275" s="99" t="s">
        <v>85</v>
      </c>
      <c r="D275" s="99" t="s">
        <v>111</v>
      </c>
      <c r="E275" s="99" t="s">
        <v>137</v>
      </c>
      <c r="F275" s="99" t="s">
        <v>138</v>
      </c>
      <c r="G275" s="99" t="s">
        <v>33</v>
      </c>
      <c r="H275" s="99" t="s">
        <v>34</v>
      </c>
      <c r="I275" s="91" t="s">
        <v>214</v>
      </c>
      <c r="J275" s="91" t="s">
        <v>241</v>
      </c>
      <c r="K275" s="99" t="s">
        <v>82</v>
      </c>
      <c r="L275" s="100"/>
      <c r="M275" s="70" t="s">
        <v>83</v>
      </c>
      <c r="N275" s="70" t="s">
        <v>50</v>
      </c>
      <c r="O275" s="101">
        <v>0.18</v>
      </c>
      <c r="P275" s="79"/>
      <c r="Q275" s="91"/>
      <c r="R275" s="94">
        <v>4215.2245070423196</v>
      </c>
      <c r="S275" s="79"/>
      <c r="T275" s="95">
        <v>0</v>
      </c>
      <c r="U275" s="95">
        <f t="shared" si="37"/>
        <v>4215.2245070423196</v>
      </c>
      <c r="V275" s="95">
        <f t="shared" si="43"/>
        <v>0</v>
      </c>
      <c r="W275" s="77"/>
      <c r="X275" s="22">
        <f t="shared" si="35"/>
        <v>0</v>
      </c>
      <c r="Y275" s="95">
        <f t="shared" si="41"/>
        <v>0</v>
      </c>
      <c r="Z275" s="95">
        <f t="shared" si="44"/>
        <v>0</v>
      </c>
      <c r="AA275" s="96">
        <v>0.05</v>
      </c>
      <c r="AB275" s="79"/>
      <c r="AC275" s="79"/>
      <c r="AD275" s="79"/>
      <c r="AE275" s="96">
        <v>0.42</v>
      </c>
      <c r="AF275" s="94">
        <f t="shared" si="45"/>
        <v>0</v>
      </c>
      <c r="AG275" s="95"/>
      <c r="AH275" s="95">
        <f t="shared" si="38"/>
        <v>0</v>
      </c>
      <c r="AI275" s="95">
        <v>0</v>
      </c>
      <c r="AJ275" s="98">
        <f t="shared" si="39"/>
        <v>0</v>
      </c>
      <c r="AK275" s="98">
        <f t="shared" si="40"/>
        <v>0</v>
      </c>
    </row>
    <row r="276" spans="1:38">
      <c r="A276" s="90" t="s">
        <v>309</v>
      </c>
      <c r="B276" s="99" t="s">
        <v>28</v>
      </c>
      <c r="C276" s="99" t="s">
        <v>85</v>
      </c>
      <c r="D276" s="99" t="s">
        <v>111</v>
      </c>
      <c r="E276" s="99" t="s">
        <v>139</v>
      </c>
      <c r="F276" s="99" t="s">
        <v>140</v>
      </c>
      <c r="G276" s="99" t="s">
        <v>33</v>
      </c>
      <c r="H276" s="99" t="s">
        <v>34</v>
      </c>
      <c r="I276" s="91" t="s">
        <v>214</v>
      </c>
      <c r="J276" s="91" t="s">
        <v>241</v>
      </c>
      <c r="K276" s="99" t="s">
        <v>82</v>
      </c>
      <c r="L276" s="100"/>
      <c r="M276" s="70" t="s">
        <v>83</v>
      </c>
      <c r="N276" s="70" t="s">
        <v>50</v>
      </c>
      <c r="O276" s="101">
        <v>0.23</v>
      </c>
      <c r="P276" s="79"/>
      <c r="Q276" s="91"/>
      <c r="R276" s="94">
        <v>127.3395774647</v>
      </c>
      <c r="S276" s="79"/>
      <c r="T276" s="95">
        <v>0</v>
      </c>
      <c r="U276" s="95">
        <f t="shared" si="37"/>
        <v>127.3395774647</v>
      </c>
      <c r="V276" s="95">
        <f t="shared" si="43"/>
        <v>0</v>
      </c>
      <c r="W276" s="77"/>
      <c r="X276" s="22">
        <f t="shared" si="35"/>
        <v>0</v>
      </c>
      <c r="Y276" s="95">
        <f t="shared" si="41"/>
        <v>0</v>
      </c>
      <c r="Z276" s="95">
        <f t="shared" si="44"/>
        <v>0</v>
      </c>
      <c r="AA276" s="96">
        <v>0.05</v>
      </c>
      <c r="AB276" s="79"/>
      <c r="AC276" s="79"/>
      <c r="AD276" s="79"/>
      <c r="AE276" s="96">
        <v>0.42</v>
      </c>
      <c r="AF276" s="94">
        <f t="shared" si="45"/>
        <v>0</v>
      </c>
      <c r="AG276" s="95"/>
      <c r="AH276" s="95">
        <f t="shared" si="38"/>
        <v>0</v>
      </c>
      <c r="AI276" s="95">
        <v>0</v>
      </c>
      <c r="AJ276" s="98">
        <f t="shared" si="39"/>
        <v>0</v>
      </c>
      <c r="AK276" s="98">
        <f t="shared" si="40"/>
        <v>0</v>
      </c>
    </row>
    <row r="277" spans="1:38">
      <c r="A277" s="90" t="s">
        <v>309</v>
      </c>
      <c r="B277" s="99" t="s">
        <v>28</v>
      </c>
      <c r="C277" s="99" t="s">
        <v>85</v>
      </c>
      <c r="D277" s="99" t="s">
        <v>111</v>
      </c>
      <c r="E277" s="99" t="s">
        <v>141</v>
      </c>
      <c r="F277" s="99" t="s">
        <v>142</v>
      </c>
      <c r="G277" s="99" t="s">
        <v>33</v>
      </c>
      <c r="H277" s="99" t="s">
        <v>34</v>
      </c>
      <c r="I277" s="91" t="s">
        <v>214</v>
      </c>
      <c r="J277" s="91" t="s">
        <v>241</v>
      </c>
      <c r="K277" s="99" t="s">
        <v>82</v>
      </c>
      <c r="L277" s="100"/>
      <c r="M277" s="70" t="s">
        <v>83</v>
      </c>
      <c r="N277" s="70" t="s">
        <v>50</v>
      </c>
      <c r="O277" s="101">
        <v>0.23</v>
      </c>
      <c r="P277" s="79"/>
      <c r="Q277" s="91"/>
      <c r="R277" s="20">
        <v>172.66352112698951</v>
      </c>
      <c r="S277" s="79"/>
      <c r="T277" s="95">
        <v>0</v>
      </c>
      <c r="U277" s="95">
        <f t="shared" si="37"/>
        <v>172.66352112698951</v>
      </c>
      <c r="V277" s="95">
        <f t="shared" si="43"/>
        <v>0</v>
      </c>
      <c r="W277" s="77"/>
      <c r="X277" s="22">
        <f t="shared" si="35"/>
        <v>0</v>
      </c>
      <c r="Y277" s="95">
        <f t="shared" si="41"/>
        <v>0</v>
      </c>
      <c r="Z277" s="95">
        <f t="shared" si="44"/>
        <v>0</v>
      </c>
      <c r="AA277" s="96">
        <v>0.05</v>
      </c>
      <c r="AB277" s="79"/>
      <c r="AC277" s="79"/>
      <c r="AD277" s="79"/>
      <c r="AE277" s="96">
        <v>0.42</v>
      </c>
      <c r="AF277" s="94">
        <f t="shared" si="45"/>
        <v>0</v>
      </c>
      <c r="AG277" s="95"/>
      <c r="AH277" s="95">
        <f t="shared" si="38"/>
        <v>0</v>
      </c>
      <c r="AI277" s="95">
        <v>0</v>
      </c>
      <c r="AJ277" s="98">
        <f t="shared" si="39"/>
        <v>0</v>
      </c>
      <c r="AK277" s="98">
        <f t="shared" si="40"/>
        <v>0</v>
      </c>
    </row>
    <row r="278" spans="1:38">
      <c r="A278" s="90" t="s">
        <v>309</v>
      </c>
      <c r="B278" s="99" t="s">
        <v>28</v>
      </c>
      <c r="C278" s="99" t="s">
        <v>85</v>
      </c>
      <c r="D278" s="99" t="s">
        <v>111</v>
      </c>
      <c r="E278" s="99" t="s">
        <v>143</v>
      </c>
      <c r="F278" s="99" t="s">
        <v>144</v>
      </c>
      <c r="G278" s="99" t="s">
        <v>33</v>
      </c>
      <c r="H278" s="99" t="s">
        <v>34</v>
      </c>
      <c r="I278" s="91" t="s">
        <v>214</v>
      </c>
      <c r="J278" s="91" t="s">
        <v>241</v>
      </c>
      <c r="K278" s="99" t="s">
        <v>82</v>
      </c>
      <c r="L278" s="100"/>
      <c r="M278" s="70" t="s">
        <v>83</v>
      </c>
      <c r="N278" s="70" t="s">
        <v>50</v>
      </c>
      <c r="O278" s="101">
        <v>0.08</v>
      </c>
      <c r="P278" s="79"/>
      <c r="Q278" s="91"/>
      <c r="R278" s="94">
        <v>11055.15</v>
      </c>
      <c r="S278" s="79"/>
      <c r="T278" s="95">
        <v>0</v>
      </c>
      <c r="U278" s="95">
        <f t="shared" si="37"/>
        <v>11055.15</v>
      </c>
      <c r="V278" s="95">
        <f t="shared" si="43"/>
        <v>0</v>
      </c>
      <c r="W278" s="77"/>
      <c r="X278" s="22">
        <f t="shared" si="35"/>
        <v>0</v>
      </c>
      <c r="Y278" s="95">
        <f t="shared" si="41"/>
        <v>0</v>
      </c>
      <c r="Z278" s="95">
        <f t="shared" si="44"/>
        <v>0</v>
      </c>
      <c r="AA278" s="96">
        <v>0.05</v>
      </c>
      <c r="AB278" s="79"/>
      <c r="AC278" s="79"/>
      <c r="AD278" s="79"/>
      <c r="AE278" s="96">
        <v>0.42</v>
      </c>
      <c r="AF278" s="94">
        <f t="shared" si="45"/>
        <v>0</v>
      </c>
      <c r="AG278" s="95"/>
      <c r="AH278" s="95">
        <f t="shared" si="38"/>
        <v>0</v>
      </c>
      <c r="AI278" s="95">
        <v>0</v>
      </c>
      <c r="AJ278" s="98">
        <f t="shared" si="39"/>
        <v>0</v>
      </c>
      <c r="AK278" s="98">
        <f t="shared" si="40"/>
        <v>0</v>
      </c>
    </row>
    <row r="279" spans="1:38">
      <c r="A279" s="90" t="s">
        <v>309</v>
      </c>
      <c r="B279" s="99" t="s">
        <v>38</v>
      </c>
      <c r="C279" s="99" t="s">
        <v>57</v>
      </c>
      <c r="D279" s="99" t="s">
        <v>58</v>
      </c>
      <c r="E279" s="99" t="s">
        <v>284</v>
      </c>
      <c r="F279" s="99" t="s">
        <v>78</v>
      </c>
      <c r="G279" s="99" t="s">
        <v>78</v>
      </c>
      <c r="H279" s="99" t="s">
        <v>34</v>
      </c>
      <c r="I279" s="91" t="s">
        <v>214</v>
      </c>
      <c r="J279" s="91" t="s">
        <v>241</v>
      </c>
      <c r="K279" s="99" t="s">
        <v>78</v>
      </c>
      <c r="L279" s="100"/>
      <c r="M279" s="70" t="s">
        <v>43</v>
      </c>
      <c r="N279" s="70" t="s">
        <v>50</v>
      </c>
      <c r="O279" s="101">
        <v>5.5E-2</v>
      </c>
      <c r="P279" s="79"/>
      <c r="Q279" s="91"/>
      <c r="R279" s="94">
        <v>159787.41</v>
      </c>
      <c r="S279" s="79"/>
      <c r="T279" s="95">
        <v>7868.6200000000017</v>
      </c>
      <c r="U279" s="95">
        <f t="shared" si="37"/>
        <v>151918.79</v>
      </c>
      <c r="V279" s="95">
        <f t="shared" si="43"/>
        <v>7506.4659414225971</v>
      </c>
      <c r="W279" s="77"/>
      <c r="X279" s="22">
        <f t="shared" si="35"/>
        <v>0</v>
      </c>
      <c r="Y279" s="95">
        <f t="shared" si="41"/>
        <v>362.15405857740461</v>
      </c>
      <c r="Z279" s="95">
        <f t="shared" si="44"/>
        <v>7868.6200000000017</v>
      </c>
      <c r="AA279" s="96">
        <v>0.05</v>
      </c>
      <c r="AB279" s="79"/>
      <c r="AC279" s="79"/>
      <c r="AD279" s="79"/>
      <c r="AE279" s="96">
        <v>0.14000000000000001</v>
      </c>
      <c r="AF279" s="94">
        <f t="shared" si="45"/>
        <v>7868.605263157895</v>
      </c>
      <c r="AG279" s="95"/>
      <c r="AH279" s="95">
        <f t="shared" si="38"/>
        <v>0</v>
      </c>
      <c r="AI279" s="95">
        <v>8970.2100000000009</v>
      </c>
      <c r="AJ279" s="98">
        <f t="shared" si="39"/>
        <v>1101.5899999999992</v>
      </c>
      <c r="AK279" s="98">
        <f t="shared" si="40"/>
        <v>7506.4518828451901</v>
      </c>
      <c r="AL279" s="57">
        <f>AK279-V279</f>
        <v>-1.4058577407013217E-2</v>
      </c>
    </row>
    <row r="280" spans="1:38">
      <c r="A280" s="90" t="s">
        <v>309</v>
      </c>
      <c r="B280" s="99" t="s">
        <v>38</v>
      </c>
      <c r="C280" s="99" t="s">
        <v>46</v>
      </c>
      <c r="D280" s="99" t="s">
        <v>71</v>
      </c>
      <c r="E280" s="99" t="s">
        <v>72</v>
      </c>
      <c r="F280" s="99" t="s">
        <v>72</v>
      </c>
      <c r="G280" s="99" t="s">
        <v>72</v>
      </c>
      <c r="H280" s="99" t="s">
        <v>34</v>
      </c>
      <c r="I280" s="91" t="s">
        <v>214</v>
      </c>
      <c r="J280" s="91" t="s">
        <v>241</v>
      </c>
      <c r="K280" s="99" t="s">
        <v>73</v>
      </c>
      <c r="L280" s="100"/>
      <c r="M280" s="70" t="s">
        <v>43</v>
      </c>
      <c r="N280" s="70" t="s">
        <v>50</v>
      </c>
      <c r="O280" s="101">
        <v>0.11</v>
      </c>
      <c r="P280" s="79"/>
      <c r="Q280" s="91"/>
      <c r="R280" s="94">
        <v>205.52</v>
      </c>
      <c r="S280" s="79"/>
      <c r="T280" s="95">
        <v>0</v>
      </c>
      <c r="U280" s="95">
        <f t="shared" si="37"/>
        <v>205.52</v>
      </c>
      <c r="V280" s="95">
        <f t="shared" si="43"/>
        <v>0</v>
      </c>
      <c r="W280" s="77"/>
      <c r="X280" s="22">
        <f t="shared" si="35"/>
        <v>0</v>
      </c>
      <c r="Y280" s="95">
        <f t="shared" si="41"/>
        <v>0</v>
      </c>
      <c r="Z280" s="95">
        <f t="shared" si="44"/>
        <v>0</v>
      </c>
      <c r="AA280" s="96">
        <v>0.05</v>
      </c>
      <c r="AB280" s="79"/>
      <c r="AC280" s="79"/>
      <c r="AD280" s="79"/>
      <c r="AE280" s="96">
        <v>0.22</v>
      </c>
      <c r="AF280" s="94">
        <f t="shared" si="45"/>
        <v>0</v>
      </c>
      <c r="AG280" s="95"/>
      <c r="AH280" s="95">
        <f t="shared" si="38"/>
        <v>0</v>
      </c>
      <c r="AI280" s="95">
        <v>0</v>
      </c>
      <c r="AJ280" s="98">
        <f t="shared" si="39"/>
        <v>0</v>
      </c>
      <c r="AK280" s="98">
        <f t="shared" si="40"/>
        <v>0</v>
      </c>
    </row>
    <row r="281" spans="1:38">
      <c r="A281" s="90" t="s">
        <v>309</v>
      </c>
      <c r="B281" s="99" t="s">
        <v>38</v>
      </c>
      <c r="C281" s="99" t="s">
        <v>29</v>
      </c>
      <c r="D281" s="99" t="s">
        <v>145</v>
      </c>
      <c r="E281" s="99" t="s">
        <v>146</v>
      </c>
      <c r="F281" s="99" t="s">
        <v>146</v>
      </c>
      <c r="G281" s="99" t="s">
        <v>146</v>
      </c>
      <c r="H281" s="99" t="s">
        <v>34</v>
      </c>
      <c r="I281" s="91" t="s">
        <v>214</v>
      </c>
      <c r="J281" s="91" t="s">
        <v>241</v>
      </c>
      <c r="K281" s="99" t="s">
        <v>146</v>
      </c>
      <c r="L281" s="100"/>
      <c r="M281" s="70" t="s">
        <v>83</v>
      </c>
      <c r="N281" s="70" t="s">
        <v>50</v>
      </c>
      <c r="O281" s="101">
        <v>0.05</v>
      </c>
      <c r="P281" s="79"/>
      <c r="Q281" s="91"/>
      <c r="R281" s="94">
        <v>15503.97</v>
      </c>
      <c r="S281" s="79"/>
      <c r="T281" s="95">
        <v>0</v>
      </c>
      <c r="U281" s="95">
        <f t="shared" si="37"/>
        <v>15503.97</v>
      </c>
      <c r="V281" s="95">
        <f t="shared" si="43"/>
        <v>0</v>
      </c>
      <c r="W281" s="77"/>
      <c r="X281" s="22">
        <f t="shared" si="35"/>
        <v>0</v>
      </c>
      <c r="Y281" s="95">
        <f t="shared" si="41"/>
        <v>0</v>
      </c>
      <c r="Z281" s="95">
        <f t="shared" si="44"/>
        <v>0</v>
      </c>
      <c r="AA281" s="96">
        <v>0.05</v>
      </c>
      <c r="AB281" s="79"/>
      <c r="AC281" s="79"/>
      <c r="AD281" s="79"/>
      <c r="AE281" s="96">
        <v>0.36</v>
      </c>
      <c r="AF281" s="94">
        <f t="shared" si="45"/>
        <v>0</v>
      </c>
      <c r="AG281" s="95"/>
      <c r="AH281" s="95">
        <f t="shared" si="38"/>
        <v>0</v>
      </c>
      <c r="AI281" s="95">
        <v>0</v>
      </c>
      <c r="AJ281" s="98">
        <f t="shared" si="39"/>
        <v>0</v>
      </c>
      <c r="AK281" s="98">
        <f t="shared" si="40"/>
        <v>0</v>
      </c>
    </row>
    <row r="282" spans="1:38">
      <c r="A282" s="90" t="s">
        <v>309</v>
      </c>
      <c r="B282" s="99" t="s">
        <v>38</v>
      </c>
      <c r="C282" s="99" t="s">
        <v>39</v>
      </c>
      <c r="D282" s="99" t="s">
        <v>40</v>
      </c>
      <c r="E282" s="99" t="s">
        <v>44</v>
      </c>
      <c r="F282" s="99" t="s">
        <v>44</v>
      </c>
      <c r="G282" s="99" t="s">
        <v>44</v>
      </c>
      <c r="H282" s="99" t="s">
        <v>34</v>
      </c>
      <c r="I282" s="91" t="s">
        <v>214</v>
      </c>
      <c r="J282" s="91" t="s">
        <v>241</v>
      </c>
      <c r="K282" s="99" t="s">
        <v>44</v>
      </c>
      <c r="L282" s="100"/>
      <c r="M282" s="70" t="s">
        <v>43</v>
      </c>
      <c r="N282" s="70" t="s">
        <v>50</v>
      </c>
      <c r="O282" s="101">
        <v>0.01</v>
      </c>
      <c r="P282" s="79"/>
      <c r="Q282" s="91"/>
      <c r="R282" s="94">
        <v>13322.009999996051</v>
      </c>
      <c r="S282" s="79"/>
      <c r="T282" s="95">
        <v>11019.56</v>
      </c>
      <c r="U282" s="95">
        <f t="shared" si="37"/>
        <v>2302.4499999960517</v>
      </c>
      <c r="V282" s="95">
        <f t="shared" si="43"/>
        <v>10936.706165413532</v>
      </c>
      <c r="W282" s="77"/>
      <c r="X282" s="22">
        <f t="shared" si="35"/>
        <v>0</v>
      </c>
      <c r="Y282" s="95">
        <f t="shared" si="41"/>
        <v>82.853834586467201</v>
      </c>
      <c r="Z282" s="95">
        <f t="shared" si="44"/>
        <v>11019.56</v>
      </c>
      <c r="AA282" s="96">
        <v>0.05</v>
      </c>
      <c r="AB282" s="79"/>
      <c r="AC282" s="79"/>
      <c r="AD282" s="79"/>
      <c r="AE282" s="96">
        <v>0.32</v>
      </c>
      <c r="AF282" s="94">
        <f t="shared" si="45"/>
        <v>11019.840909090908</v>
      </c>
      <c r="AG282" s="95">
        <v>4239.700000006007</v>
      </c>
      <c r="AH282" s="95">
        <f t="shared" si="38"/>
        <v>0</v>
      </c>
      <c r="AI282" s="95">
        <v>14546.19</v>
      </c>
      <c r="AJ282" s="98">
        <f t="shared" si="39"/>
        <v>7766.3300000060099</v>
      </c>
      <c r="AK282" s="98">
        <f t="shared" si="40"/>
        <v>10936.984962406015</v>
      </c>
      <c r="AL282" s="57">
        <f>AK282-V282</f>
        <v>0.27879699248296674</v>
      </c>
    </row>
    <row r="283" spans="1:38">
      <c r="A283" s="90" t="s">
        <v>309</v>
      </c>
      <c r="B283" s="99" t="s">
        <v>38</v>
      </c>
      <c r="C283" s="99" t="s">
        <v>51</v>
      </c>
      <c r="D283" s="99" t="s">
        <v>52</v>
      </c>
      <c r="E283" s="99" t="s">
        <v>56</v>
      </c>
      <c r="F283" s="99" t="s">
        <v>56</v>
      </c>
      <c r="G283" s="99" t="s">
        <v>56</v>
      </c>
      <c r="H283" s="99" t="s">
        <v>34</v>
      </c>
      <c r="I283" s="91" t="s">
        <v>214</v>
      </c>
      <c r="J283" s="91" t="s">
        <v>241</v>
      </c>
      <c r="K283" s="99" t="s">
        <v>54</v>
      </c>
      <c r="L283" s="100"/>
      <c r="M283" s="70" t="s">
        <v>43</v>
      </c>
      <c r="N283" s="70" t="s">
        <v>50</v>
      </c>
      <c r="O283" s="101">
        <v>0.03</v>
      </c>
      <c r="P283" s="79"/>
      <c r="Q283" s="91"/>
      <c r="R283" s="94">
        <v>5696.55</v>
      </c>
      <c r="S283" s="79"/>
      <c r="T283" s="95">
        <v>0</v>
      </c>
      <c r="U283" s="95">
        <f t="shared" si="37"/>
        <v>5696.55</v>
      </c>
      <c r="V283" s="95">
        <f t="shared" si="43"/>
        <v>0</v>
      </c>
      <c r="W283" s="77"/>
      <c r="X283" s="22">
        <f t="shared" si="35"/>
        <v>0</v>
      </c>
      <c r="Y283" s="95">
        <f t="shared" si="41"/>
        <v>0</v>
      </c>
      <c r="Z283" s="95">
        <f t="shared" si="44"/>
        <v>0</v>
      </c>
      <c r="AA283" s="96">
        <v>0.05</v>
      </c>
      <c r="AB283" s="79"/>
      <c r="AC283" s="79"/>
      <c r="AD283" s="79"/>
      <c r="AE283" s="96">
        <v>0</v>
      </c>
      <c r="AF283" s="94">
        <f t="shared" si="45"/>
        <v>0</v>
      </c>
      <c r="AG283" s="95"/>
      <c r="AH283" s="95">
        <f t="shared" si="38"/>
        <v>0</v>
      </c>
      <c r="AI283" s="95">
        <v>0</v>
      </c>
      <c r="AJ283" s="98">
        <f t="shared" si="39"/>
        <v>0</v>
      </c>
      <c r="AK283" s="98">
        <f t="shared" si="40"/>
        <v>0</v>
      </c>
    </row>
    <row r="284" spans="1:38">
      <c r="A284" s="90" t="s">
        <v>309</v>
      </c>
      <c r="B284" s="99" t="s">
        <v>38</v>
      </c>
      <c r="C284" s="99" t="s">
        <v>51</v>
      </c>
      <c r="D284" s="99" t="s">
        <v>52</v>
      </c>
      <c r="E284" s="99" t="s">
        <v>149</v>
      </c>
      <c r="F284" s="99" t="s">
        <v>149</v>
      </c>
      <c r="G284" s="99" t="s">
        <v>149</v>
      </c>
      <c r="H284" s="99" t="s">
        <v>34</v>
      </c>
      <c r="I284" s="91" t="s">
        <v>214</v>
      </c>
      <c r="J284" s="91" t="s">
        <v>241</v>
      </c>
      <c r="K284" s="99" t="s">
        <v>150</v>
      </c>
      <c r="L284" s="100"/>
      <c r="M284" s="70" t="s">
        <v>43</v>
      </c>
      <c r="N284" s="70" t="s">
        <v>37</v>
      </c>
      <c r="O284" s="101">
        <v>0</v>
      </c>
      <c r="P284" s="79"/>
      <c r="Q284" s="91"/>
      <c r="R284" s="94">
        <v>6379.42</v>
      </c>
      <c r="S284" s="79"/>
      <c r="T284" s="95">
        <v>0</v>
      </c>
      <c r="U284" s="95">
        <f t="shared" si="37"/>
        <v>6379.42</v>
      </c>
      <c r="V284" s="95">
        <f t="shared" si="43"/>
        <v>0</v>
      </c>
      <c r="W284" s="77"/>
      <c r="X284" s="22">
        <f t="shared" si="35"/>
        <v>0</v>
      </c>
      <c r="Y284" s="95">
        <f t="shared" si="41"/>
        <v>0</v>
      </c>
      <c r="Z284" s="95">
        <f t="shared" si="44"/>
        <v>0</v>
      </c>
      <c r="AA284" s="96">
        <v>0.05</v>
      </c>
      <c r="AB284" s="79"/>
      <c r="AC284" s="79"/>
      <c r="AD284" s="79"/>
      <c r="AE284" s="96">
        <v>0.11</v>
      </c>
      <c r="AF284" s="94">
        <f t="shared" si="45"/>
        <v>0</v>
      </c>
      <c r="AG284" s="95"/>
      <c r="AH284" s="95">
        <f t="shared" si="38"/>
        <v>0</v>
      </c>
      <c r="AI284" s="95">
        <v>0</v>
      </c>
      <c r="AJ284" s="98">
        <f t="shared" si="39"/>
        <v>0</v>
      </c>
      <c r="AK284" s="98">
        <f t="shared" si="40"/>
        <v>0</v>
      </c>
    </row>
    <row r="285" spans="1:38">
      <c r="A285" s="90" t="s">
        <v>309</v>
      </c>
      <c r="B285" s="99" t="s">
        <v>38</v>
      </c>
      <c r="C285" s="99" t="s">
        <v>37</v>
      </c>
      <c r="D285" s="99" t="s">
        <v>37</v>
      </c>
      <c r="E285" s="99" t="s">
        <v>65</v>
      </c>
      <c r="F285" s="99" t="s">
        <v>65</v>
      </c>
      <c r="G285" s="99" t="s">
        <v>65</v>
      </c>
      <c r="H285" s="99" t="s">
        <v>34</v>
      </c>
      <c r="I285" s="91" t="s">
        <v>214</v>
      </c>
      <c r="J285" s="91" t="s">
        <v>241</v>
      </c>
      <c r="K285" s="99" t="s">
        <v>65</v>
      </c>
      <c r="L285" s="100"/>
      <c r="M285" s="70" t="s">
        <v>43</v>
      </c>
      <c r="N285" s="70" t="s">
        <v>37</v>
      </c>
      <c r="O285" s="101">
        <v>0</v>
      </c>
      <c r="P285" s="79"/>
      <c r="Q285" s="91"/>
      <c r="R285" s="94">
        <v>16543.599999999999</v>
      </c>
      <c r="S285" s="79"/>
      <c r="T285" s="95">
        <v>29.950000000000003</v>
      </c>
      <c r="U285" s="95">
        <f t="shared" si="37"/>
        <v>16513.649999999998</v>
      </c>
      <c r="V285" s="95">
        <f t="shared" si="43"/>
        <v>29.950000000000003</v>
      </c>
      <c r="W285" s="77"/>
      <c r="X285" s="22">
        <f t="shared" si="35"/>
        <v>0</v>
      </c>
      <c r="Y285" s="95">
        <f t="shared" si="41"/>
        <v>0</v>
      </c>
      <c r="Z285" s="95">
        <f t="shared" si="44"/>
        <v>29.950000000000003</v>
      </c>
      <c r="AA285" s="96">
        <v>0.05</v>
      </c>
      <c r="AB285" s="79"/>
      <c r="AC285" s="79"/>
      <c r="AD285" s="79"/>
      <c r="AE285" s="96">
        <v>0.42</v>
      </c>
      <c r="AF285" s="94">
        <f t="shared" si="45"/>
        <v>21.091549295774652</v>
      </c>
      <c r="AG285" s="95"/>
      <c r="AH285" s="95">
        <f t="shared" si="38"/>
        <v>0</v>
      </c>
      <c r="AI285" s="95">
        <v>29.950000000000003</v>
      </c>
      <c r="AJ285" s="98">
        <f t="shared" si="39"/>
        <v>0</v>
      </c>
      <c r="AK285" s="98">
        <f t="shared" si="40"/>
        <v>21.091549295774652</v>
      </c>
      <c r="AL285" s="57">
        <f>AK285-V285</f>
        <v>-8.8584507042253513</v>
      </c>
    </row>
    <row r="286" spans="1:38">
      <c r="A286" s="90" t="s">
        <v>309</v>
      </c>
      <c r="B286" s="99" t="s">
        <v>38</v>
      </c>
      <c r="C286" s="99" t="s">
        <v>37</v>
      </c>
      <c r="D286" s="99" t="s">
        <v>37</v>
      </c>
      <c r="E286" s="99" t="s">
        <v>290</v>
      </c>
      <c r="F286" s="99" t="s">
        <v>290</v>
      </c>
      <c r="G286" s="99" t="s">
        <v>290</v>
      </c>
      <c r="H286" s="99" t="s">
        <v>34</v>
      </c>
      <c r="I286" s="91" t="s">
        <v>214</v>
      </c>
      <c r="J286" s="91" t="s">
        <v>241</v>
      </c>
      <c r="K286" s="99" t="s">
        <v>290</v>
      </c>
      <c r="L286" s="100"/>
      <c r="M286" s="70" t="s">
        <v>43</v>
      </c>
      <c r="N286" s="70" t="s">
        <v>37</v>
      </c>
      <c r="O286" s="101">
        <v>0</v>
      </c>
      <c r="P286" s="79"/>
      <c r="Q286" s="91"/>
      <c r="R286" s="94">
        <v>-1.02</v>
      </c>
      <c r="S286" s="79"/>
      <c r="T286" s="95">
        <v>0</v>
      </c>
      <c r="U286" s="95">
        <f t="shared" si="37"/>
        <v>-1.02</v>
      </c>
      <c r="V286" s="95">
        <f t="shared" si="43"/>
        <v>0</v>
      </c>
      <c r="W286" s="77"/>
      <c r="X286" s="22">
        <f t="shared" si="35"/>
        <v>0</v>
      </c>
      <c r="Y286" s="95">
        <f t="shared" si="41"/>
        <v>0</v>
      </c>
      <c r="Z286" s="95">
        <f t="shared" si="44"/>
        <v>0</v>
      </c>
      <c r="AA286" s="96">
        <v>0.05</v>
      </c>
      <c r="AB286" s="79"/>
      <c r="AC286" s="79"/>
      <c r="AD286" s="79"/>
      <c r="AE286" s="96">
        <v>0.42</v>
      </c>
      <c r="AF286" s="94">
        <f t="shared" si="45"/>
        <v>0</v>
      </c>
      <c r="AG286" s="95"/>
      <c r="AH286" s="95">
        <f t="shared" si="38"/>
        <v>0</v>
      </c>
      <c r="AI286" s="95">
        <v>0</v>
      </c>
      <c r="AJ286" s="98">
        <f t="shared" si="39"/>
        <v>0</v>
      </c>
      <c r="AK286" s="98">
        <f t="shared" si="40"/>
        <v>0</v>
      </c>
    </row>
    <row r="287" spans="1:38">
      <c r="A287" s="90" t="s">
        <v>309</v>
      </c>
      <c r="B287" s="99" t="s">
        <v>38</v>
      </c>
      <c r="C287" s="99" t="s">
        <v>315</v>
      </c>
      <c r="D287" s="99" t="s">
        <v>316</v>
      </c>
      <c r="E287" s="99" t="s">
        <v>317</v>
      </c>
      <c r="F287" s="99" t="s">
        <v>318</v>
      </c>
      <c r="G287" s="99" t="s">
        <v>317</v>
      </c>
      <c r="H287" s="99" t="s">
        <v>34</v>
      </c>
      <c r="I287" s="91" t="s">
        <v>214</v>
      </c>
      <c r="J287" s="91" t="s">
        <v>241</v>
      </c>
      <c r="K287" s="99" t="s">
        <v>319</v>
      </c>
      <c r="L287" s="100"/>
      <c r="M287" s="70" t="s">
        <v>43</v>
      </c>
      <c r="N287" s="70" t="s">
        <v>37</v>
      </c>
      <c r="O287" s="101">
        <v>0</v>
      </c>
      <c r="P287" s="99"/>
      <c r="Q287" s="91"/>
      <c r="R287" s="94">
        <v>0</v>
      </c>
      <c r="S287" s="79"/>
      <c r="T287" s="95">
        <v>25.54</v>
      </c>
      <c r="U287" s="95">
        <f t="shared" si="37"/>
        <v>-25.54</v>
      </c>
      <c r="V287" s="95">
        <f t="shared" si="43"/>
        <v>25.54</v>
      </c>
      <c r="W287" s="77"/>
      <c r="X287" s="22">
        <f t="shared" si="35"/>
        <v>0</v>
      </c>
      <c r="Y287" s="95">
        <f t="shared" si="41"/>
        <v>0</v>
      </c>
      <c r="Z287" s="95">
        <f t="shared" si="44"/>
        <v>25.54</v>
      </c>
      <c r="AA287" s="96">
        <v>0.05</v>
      </c>
      <c r="AB287" s="79"/>
      <c r="AC287" s="79"/>
      <c r="AD287" s="79"/>
      <c r="AE287" s="96">
        <v>0</v>
      </c>
      <c r="AF287" s="94">
        <f t="shared" si="45"/>
        <v>70.569999999999993</v>
      </c>
      <c r="AG287" s="95">
        <v>0</v>
      </c>
      <c r="AH287" s="95">
        <f t="shared" si="38"/>
        <v>0</v>
      </c>
      <c r="AI287" s="95">
        <v>70.569999999999993</v>
      </c>
      <c r="AJ287" s="98">
        <f t="shared" si="39"/>
        <v>45.029999999999994</v>
      </c>
      <c r="AK287" s="98">
        <f t="shared" si="40"/>
        <v>70.569999999999993</v>
      </c>
      <c r="AL287" s="57">
        <f>AK287-V287</f>
        <v>45.029999999999994</v>
      </c>
    </row>
    <row r="288" spans="1:38">
      <c r="A288" s="90" t="s">
        <v>309</v>
      </c>
      <c r="B288" s="91" t="s">
        <v>38</v>
      </c>
      <c r="C288" s="91" t="s">
        <v>39</v>
      </c>
      <c r="D288" s="91" t="s">
        <v>40</v>
      </c>
      <c r="E288" s="91" t="s">
        <v>237</v>
      </c>
      <c r="F288" s="91" t="s">
        <v>44</v>
      </c>
      <c r="G288" s="91" t="s">
        <v>44</v>
      </c>
      <c r="H288" s="91" t="s">
        <v>34</v>
      </c>
      <c r="I288" s="91" t="s">
        <v>214</v>
      </c>
      <c r="J288" s="91" t="s">
        <v>241</v>
      </c>
      <c r="K288" s="91" t="s">
        <v>190</v>
      </c>
      <c r="L288" s="91"/>
      <c r="M288" s="91" t="s">
        <v>159</v>
      </c>
      <c r="N288" s="91" t="s">
        <v>37</v>
      </c>
      <c r="O288" s="107">
        <v>0</v>
      </c>
      <c r="P288" s="108"/>
      <c r="Q288" s="109" t="s">
        <v>244</v>
      </c>
      <c r="R288" s="103">
        <v>0</v>
      </c>
      <c r="S288" s="104">
        <v>5310141.67</v>
      </c>
      <c r="T288" s="104">
        <v>6400000</v>
      </c>
      <c r="U288" s="104"/>
      <c r="V288" s="104">
        <v>6410256.4100000001</v>
      </c>
      <c r="W288" s="104">
        <v>384615.38490566035</v>
      </c>
      <c r="X288" s="22">
        <f t="shared" si="35"/>
        <v>2705506.41</v>
      </c>
      <c r="Y288" s="95">
        <f t="shared" si="41"/>
        <v>-10256.410000000149</v>
      </c>
      <c r="Z288" s="104">
        <v>3704750</v>
      </c>
      <c r="AA288" s="107">
        <v>0.05</v>
      </c>
      <c r="AB288" s="104">
        <f>Z288*AA288</f>
        <v>185237.5</v>
      </c>
      <c r="AC288" s="104"/>
      <c r="AD288" s="104"/>
      <c r="AE288" s="106">
        <v>0</v>
      </c>
      <c r="AF288" s="103">
        <f>Z288</f>
        <v>3704750</v>
      </c>
      <c r="AG288" s="104">
        <v>0</v>
      </c>
      <c r="AH288" s="104"/>
      <c r="AI288" s="110"/>
      <c r="AJ288" s="110"/>
      <c r="AK288" s="110"/>
    </row>
    <row r="289" spans="1:38">
      <c r="A289" s="90" t="s">
        <v>309</v>
      </c>
      <c r="B289" s="91" t="s">
        <v>38</v>
      </c>
      <c r="C289" s="91" t="s">
        <v>39</v>
      </c>
      <c r="D289" s="91" t="s">
        <v>40</v>
      </c>
      <c r="E289" s="91" t="s">
        <v>44</v>
      </c>
      <c r="F289" s="91" t="s">
        <v>44</v>
      </c>
      <c r="G289" s="91" t="s">
        <v>44</v>
      </c>
      <c r="H289" s="91" t="s">
        <v>160</v>
      </c>
      <c r="I289" s="91" t="s">
        <v>246</v>
      </c>
      <c r="J289" s="91" t="s">
        <v>241</v>
      </c>
      <c r="K289" s="91" t="s">
        <v>190</v>
      </c>
      <c r="L289" s="91"/>
      <c r="M289" s="91" t="s">
        <v>43</v>
      </c>
      <c r="N289" s="91" t="s">
        <v>37</v>
      </c>
      <c r="O289" s="107">
        <v>0</v>
      </c>
      <c r="P289" s="108"/>
      <c r="Q289" s="109" t="s">
        <v>235</v>
      </c>
      <c r="R289" s="103">
        <v>0</v>
      </c>
      <c r="S289" s="104">
        <v>74371.509999999995</v>
      </c>
      <c r="T289" s="104">
        <v>74371.509999999995</v>
      </c>
      <c r="U289" s="104"/>
      <c r="V289" s="104">
        <v>0</v>
      </c>
      <c r="W289" s="104"/>
      <c r="X289" s="22">
        <f t="shared" si="35"/>
        <v>0</v>
      </c>
      <c r="Y289" s="95">
        <f t="shared" si="41"/>
        <v>74371.509999999995</v>
      </c>
      <c r="Z289" s="104">
        <v>74371.509999999995</v>
      </c>
      <c r="AA289" s="107">
        <v>0</v>
      </c>
      <c r="AB289" s="104">
        <f t="shared" ref="AB289:AB292" si="46">Z289*AA289</f>
        <v>0</v>
      </c>
      <c r="AC289" s="104"/>
      <c r="AD289" s="104"/>
      <c r="AE289" s="106">
        <v>0</v>
      </c>
      <c r="AF289" s="103">
        <f>Z289</f>
        <v>74371.509999999995</v>
      </c>
      <c r="AG289" s="104">
        <v>0</v>
      </c>
      <c r="AH289" s="104"/>
      <c r="AI289" s="110"/>
      <c r="AJ289" s="110"/>
      <c r="AK289" s="110"/>
    </row>
    <row r="290" spans="1:38">
      <c r="A290" s="90" t="s">
        <v>309</v>
      </c>
      <c r="B290" s="91" t="s">
        <v>38</v>
      </c>
      <c r="C290" s="91" t="s">
        <v>51</v>
      </c>
      <c r="D290" s="91" t="s">
        <v>52</v>
      </c>
      <c r="E290" s="91" t="s">
        <v>150</v>
      </c>
      <c r="F290" s="91" t="s">
        <v>150</v>
      </c>
      <c r="G290" s="91" t="s">
        <v>150</v>
      </c>
      <c r="H290" s="91" t="s">
        <v>34</v>
      </c>
      <c r="I290" s="91" t="s">
        <v>214</v>
      </c>
      <c r="J290" s="91" t="s">
        <v>241</v>
      </c>
      <c r="K290" s="91" t="s">
        <v>190</v>
      </c>
      <c r="L290" s="91"/>
      <c r="M290" s="91" t="s">
        <v>159</v>
      </c>
      <c r="N290" s="91" t="s">
        <v>37</v>
      </c>
      <c r="O290" s="107">
        <v>0</v>
      </c>
      <c r="P290" s="108"/>
      <c r="Q290" s="109"/>
      <c r="R290" s="103">
        <v>0</v>
      </c>
      <c r="S290" s="104">
        <v>95400</v>
      </c>
      <c r="T290" s="104">
        <v>95400</v>
      </c>
      <c r="U290" s="104"/>
      <c r="V290" s="104">
        <f>T290</f>
        <v>95400</v>
      </c>
      <c r="W290" s="104"/>
      <c r="X290" s="22">
        <f t="shared" si="35"/>
        <v>0</v>
      </c>
      <c r="Y290" s="95">
        <f t="shared" si="41"/>
        <v>0</v>
      </c>
      <c r="Z290" s="104">
        <v>95400</v>
      </c>
      <c r="AA290" s="107">
        <v>0.05</v>
      </c>
      <c r="AB290" s="104">
        <f t="shared" si="46"/>
        <v>4770</v>
      </c>
      <c r="AC290" s="104"/>
      <c r="AD290" s="104"/>
      <c r="AE290" s="106">
        <v>0</v>
      </c>
      <c r="AF290" s="103">
        <f>Z290</f>
        <v>95400</v>
      </c>
      <c r="AG290" s="104">
        <v>0</v>
      </c>
      <c r="AH290" s="104"/>
      <c r="AI290" s="110"/>
      <c r="AJ290" s="110"/>
      <c r="AK290" s="110"/>
    </row>
    <row r="291" spans="1:38" ht="15">
      <c r="A291" s="90" t="s">
        <v>309</v>
      </c>
      <c r="B291" s="111" t="s">
        <v>28</v>
      </c>
      <c r="C291" s="111" t="s">
        <v>39</v>
      </c>
      <c r="D291" s="111" t="s">
        <v>165</v>
      </c>
      <c r="E291" s="111" t="s">
        <v>171</v>
      </c>
      <c r="F291" s="111" t="s">
        <v>320</v>
      </c>
      <c r="G291" s="99" t="s">
        <v>33</v>
      </c>
      <c r="H291" s="111" t="s">
        <v>167</v>
      </c>
      <c r="I291" s="111" t="s">
        <v>312</v>
      </c>
      <c r="J291" s="91" t="s">
        <v>241</v>
      </c>
      <c r="K291" s="111" t="s">
        <v>190</v>
      </c>
      <c r="L291" s="111"/>
      <c r="M291" s="111" t="s">
        <v>169</v>
      </c>
      <c r="N291" s="111" t="s">
        <v>289</v>
      </c>
      <c r="O291" s="112">
        <v>0.99</v>
      </c>
      <c r="P291" s="113" t="s">
        <v>190</v>
      </c>
      <c r="Q291" s="111" t="s">
        <v>236</v>
      </c>
      <c r="R291" s="114">
        <v>0</v>
      </c>
      <c r="S291" s="115">
        <v>15060000</v>
      </c>
      <c r="T291" s="115">
        <v>15060000</v>
      </c>
      <c r="U291" s="116">
        <f t="shared" ref="U291" si="47">R291+S291-T291</f>
        <v>0</v>
      </c>
      <c r="V291" s="116">
        <f t="shared" ref="V291" si="48">IF(N291="折扣",T291*O291,IF(N291="返现",T291,T291/(1+O291)))</f>
        <v>14909400</v>
      </c>
      <c r="W291" s="115"/>
      <c r="X291" s="22">
        <f t="shared" si="35"/>
        <v>0</v>
      </c>
      <c r="Y291" s="117">
        <f t="shared" si="41"/>
        <v>150600</v>
      </c>
      <c r="Z291" s="115">
        <v>15060000</v>
      </c>
      <c r="AA291" s="118">
        <v>0</v>
      </c>
      <c r="AB291" s="115">
        <f t="shared" si="46"/>
        <v>0</v>
      </c>
      <c r="AC291" s="114"/>
      <c r="AD291" s="114"/>
      <c r="AE291" s="118">
        <v>0</v>
      </c>
      <c r="AF291" s="115">
        <f>Z291</f>
        <v>15060000</v>
      </c>
      <c r="AG291" s="119"/>
      <c r="AH291" s="119"/>
      <c r="AI291" s="119"/>
      <c r="AJ291" s="119"/>
      <c r="AK291" s="119"/>
    </row>
    <row r="292" spans="1:38" ht="15">
      <c r="A292" s="90" t="s">
        <v>309</v>
      </c>
      <c r="B292" s="91" t="s">
        <v>38</v>
      </c>
      <c r="C292" s="91" t="s">
        <v>39</v>
      </c>
      <c r="D292" s="91" t="s">
        <v>40</v>
      </c>
      <c r="E292" s="91" t="s">
        <v>237</v>
      </c>
      <c r="F292" s="91" t="s">
        <v>44</v>
      </c>
      <c r="G292" s="91" t="s">
        <v>44</v>
      </c>
      <c r="H292" s="91" t="s">
        <v>34</v>
      </c>
      <c r="I292" s="91" t="s">
        <v>214</v>
      </c>
      <c r="J292" s="91" t="s">
        <v>241</v>
      </c>
      <c r="K292" s="91" t="s">
        <v>190</v>
      </c>
      <c r="L292" s="91"/>
      <c r="M292" s="91" t="s">
        <v>159</v>
      </c>
      <c r="N292" s="45" t="s">
        <v>321</v>
      </c>
      <c r="O292" s="120">
        <v>0.01</v>
      </c>
      <c r="P292" s="108"/>
      <c r="Q292" s="109" t="s">
        <v>307</v>
      </c>
      <c r="R292" s="103">
        <v>0</v>
      </c>
      <c r="S292" s="121"/>
      <c r="T292" s="104">
        <v>25409.77</v>
      </c>
      <c r="U292" s="104"/>
      <c r="V292" s="104">
        <f>T292*(1+AE292)/(1+O292+AE292)</f>
        <v>25218.719097744364</v>
      </c>
      <c r="W292" s="104"/>
      <c r="X292" s="22">
        <f t="shared" si="35"/>
        <v>0</v>
      </c>
      <c r="Y292" s="104"/>
      <c r="Z292" s="104">
        <v>25409.77</v>
      </c>
      <c r="AA292" s="107">
        <v>0.05</v>
      </c>
      <c r="AB292" s="104">
        <f t="shared" si="46"/>
        <v>1270.4885000000002</v>
      </c>
      <c r="AC292" s="121"/>
      <c r="AD292" s="121"/>
      <c r="AE292" s="106">
        <v>0.32</v>
      </c>
      <c r="AF292" s="103">
        <f>Z292</f>
        <v>25409.77</v>
      </c>
      <c r="AG292" s="104">
        <v>0</v>
      </c>
      <c r="AH292" s="121"/>
      <c r="AI292" s="121"/>
      <c r="AJ292" s="121"/>
      <c r="AK292" s="121"/>
    </row>
    <row r="293" spans="1:38">
      <c r="A293" s="90" t="s">
        <v>309</v>
      </c>
      <c r="B293" s="99" t="s">
        <v>28</v>
      </c>
      <c r="C293" s="99" t="s">
        <v>85</v>
      </c>
      <c r="D293" s="99" t="s">
        <v>111</v>
      </c>
      <c r="E293" s="99" t="s">
        <v>323</v>
      </c>
      <c r="F293" s="99" t="s">
        <v>322</v>
      </c>
      <c r="G293" s="99" t="s">
        <v>33</v>
      </c>
      <c r="H293" s="99" t="s">
        <v>34</v>
      </c>
      <c r="I293" s="91" t="s">
        <v>214</v>
      </c>
      <c r="J293" s="91" t="s">
        <v>241</v>
      </c>
      <c r="K293" s="99" t="s">
        <v>82</v>
      </c>
      <c r="L293" s="100"/>
      <c r="M293" s="70" t="s">
        <v>83</v>
      </c>
      <c r="N293" s="70" t="s">
        <v>50</v>
      </c>
      <c r="O293" s="101">
        <v>0.13</v>
      </c>
      <c r="P293" s="79"/>
      <c r="Q293" s="91"/>
      <c r="R293" s="94">
        <v>20.72999999999638</v>
      </c>
      <c r="S293" s="79"/>
      <c r="T293" s="95">
        <v>0</v>
      </c>
      <c r="U293" s="95">
        <f t="shared" ref="U293:U294" si="49">R293+S293-T293</f>
        <v>20.72999999999638</v>
      </c>
      <c r="V293" s="95">
        <f t="shared" ref="V293:V294" si="50">IF(N293="折扣",T293*O293,IF(N293="返现",T293,T293*(1+AE293)/(1+O293+AE293)))</f>
        <v>0</v>
      </c>
      <c r="W293" s="77"/>
      <c r="X293" s="22">
        <f t="shared" ref="X293:X294" si="51">IF(V293-Z293&lt;0,0,IF(N293="返现",MAX(V293-Y293-Z293,0),MAX(V293-Z293,0)))</f>
        <v>0</v>
      </c>
      <c r="Y293" s="95">
        <f t="shared" ref="Y293:Y294" si="52">IF(N293="返现",V293*O293,T293-V293)</f>
        <v>0</v>
      </c>
      <c r="Z293" s="95">
        <f t="shared" ref="Z293:Z294" si="53">T293</f>
        <v>0</v>
      </c>
      <c r="AA293" s="96">
        <v>0.05</v>
      </c>
      <c r="AB293" s="79"/>
      <c r="AC293" s="79"/>
      <c r="AD293" s="79"/>
      <c r="AE293" s="96">
        <v>0.42</v>
      </c>
      <c r="AF293" s="94">
        <f t="shared" ref="AF293:AF294" si="54">AI293/(1+AE293)</f>
        <v>0</v>
      </c>
      <c r="AG293" s="95"/>
      <c r="AH293" s="95">
        <f t="shared" ref="AH293:AH294" si="55">S293*AE293</f>
        <v>0</v>
      </c>
      <c r="AI293" s="95">
        <v>0</v>
      </c>
      <c r="AJ293" s="98">
        <f t="shared" ref="AJ293:AJ294" si="56">AG293+AH293+AI293-T293</f>
        <v>0</v>
      </c>
      <c r="AK293" s="98">
        <f t="shared" ref="AK293:AK294" si="57">IF(N293="折扣",AI293*O293,IF(N293="返现",AI293/(1+AE293),AI293/(1+O293+AE293)))</f>
        <v>0</v>
      </c>
    </row>
    <row r="294" spans="1:38">
      <c r="A294" s="90" t="s">
        <v>309</v>
      </c>
      <c r="B294" s="99" t="s">
        <v>28</v>
      </c>
      <c r="C294" s="99" t="s">
        <v>85</v>
      </c>
      <c r="D294" s="99" t="s">
        <v>86</v>
      </c>
      <c r="E294" s="99" t="s">
        <v>325</v>
      </c>
      <c r="F294" s="99" t="s">
        <v>324</v>
      </c>
      <c r="G294" s="99" t="s">
        <v>33</v>
      </c>
      <c r="H294" s="99" t="s">
        <v>34</v>
      </c>
      <c r="I294" s="91" t="s">
        <v>214</v>
      </c>
      <c r="J294" s="91" t="s">
        <v>241</v>
      </c>
      <c r="K294" s="99" t="s">
        <v>82</v>
      </c>
      <c r="L294" s="100"/>
      <c r="M294" s="70" t="s">
        <v>83</v>
      </c>
      <c r="N294" s="70" t="s">
        <v>50</v>
      </c>
      <c r="O294" s="101">
        <v>0.03</v>
      </c>
      <c r="P294" s="79"/>
      <c r="Q294" s="91"/>
      <c r="R294" s="94">
        <v>22.61</v>
      </c>
      <c r="S294" s="79"/>
      <c r="T294" s="95">
        <v>0</v>
      </c>
      <c r="U294" s="95">
        <f t="shared" si="49"/>
        <v>22.61</v>
      </c>
      <c r="V294" s="95">
        <f t="shared" si="50"/>
        <v>0</v>
      </c>
      <c r="W294" s="77"/>
      <c r="X294" s="22">
        <f t="shared" si="51"/>
        <v>0</v>
      </c>
      <c r="Y294" s="95">
        <f t="shared" si="52"/>
        <v>0</v>
      </c>
      <c r="Z294" s="95">
        <f t="shared" si="53"/>
        <v>0</v>
      </c>
      <c r="AA294" s="96">
        <v>0.05</v>
      </c>
      <c r="AB294" s="79"/>
      <c r="AC294" s="79"/>
      <c r="AD294" s="79"/>
      <c r="AE294" s="96">
        <v>0.42</v>
      </c>
      <c r="AF294" s="94">
        <f t="shared" si="54"/>
        <v>0</v>
      </c>
      <c r="AG294" s="95"/>
      <c r="AH294" s="95">
        <f t="shared" si="55"/>
        <v>0</v>
      </c>
      <c r="AI294" s="95">
        <v>0</v>
      </c>
      <c r="AJ294" s="98">
        <f t="shared" si="56"/>
        <v>0</v>
      </c>
      <c r="AK294" s="98">
        <f t="shared" si="57"/>
        <v>0</v>
      </c>
    </row>
    <row r="295" spans="1:38">
      <c r="A295" s="90" t="s">
        <v>309</v>
      </c>
      <c r="B295" s="99" t="s">
        <v>28</v>
      </c>
      <c r="C295" s="99" t="s">
        <v>85</v>
      </c>
      <c r="D295" s="99" t="s">
        <v>86</v>
      </c>
      <c r="E295" s="99" t="s">
        <v>327</v>
      </c>
      <c r="F295" s="99" t="s">
        <v>326</v>
      </c>
      <c r="G295" s="99" t="s">
        <v>33</v>
      </c>
      <c r="H295" s="99" t="s">
        <v>34</v>
      </c>
      <c r="I295" s="91" t="s">
        <v>214</v>
      </c>
      <c r="J295" s="91" t="s">
        <v>241</v>
      </c>
      <c r="K295" s="99" t="s">
        <v>82</v>
      </c>
      <c r="L295" s="100"/>
      <c r="M295" s="70" t="s">
        <v>83</v>
      </c>
      <c r="N295" s="70" t="s">
        <v>50</v>
      </c>
      <c r="O295" s="101">
        <v>0.13</v>
      </c>
      <c r="P295" s="79"/>
      <c r="Q295" s="91"/>
      <c r="R295" s="94">
        <v>29.53</v>
      </c>
      <c r="S295" s="79"/>
      <c r="T295" s="95">
        <v>0</v>
      </c>
      <c r="U295" s="95">
        <f t="shared" ref="U295:U296" si="58">R295+S295-T295</f>
        <v>29.53</v>
      </c>
      <c r="V295" s="95">
        <f t="shared" ref="V295:V296" si="59">IF(N295="折扣",T295*O295,IF(N295="返现",T295,T295*(1+AE295)/(1+O295+AE295)))</f>
        <v>0</v>
      </c>
      <c r="W295" s="77"/>
      <c r="X295" s="22">
        <f t="shared" ref="X295:X296" si="60">IF(V295-Z295&lt;0,0,IF(N295="返现",MAX(V295-Y295-Z295,0),MAX(V295-Z295,0)))</f>
        <v>0</v>
      </c>
      <c r="Y295" s="95">
        <f t="shared" ref="Y295:Y296" si="61">IF(N295="返现",V295*O295,T295-V295)</f>
        <v>0</v>
      </c>
      <c r="Z295" s="95">
        <f t="shared" ref="Z295:Z296" si="62">T295</f>
        <v>0</v>
      </c>
      <c r="AA295" s="96">
        <v>0.05</v>
      </c>
      <c r="AB295" s="79"/>
      <c r="AC295" s="79"/>
      <c r="AD295" s="79"/>
      <c r="AE295" s="96">
        <v>0.42</v>
      </c>
      <c r="AF295" s="94">
        <f t="shared" ref="AF295:AF296" si="63">AI295/(1+AE295)</f>
        <v>0</v>
      </c>
      <c r="AG295" s="95"/>
      <c r="AH295" s="95">
        <f t="shared" ref="AH295:AH296" si="64">S295*AE295</f>
        <v>0</v>
      </c>
      <c r="AI295" s="95">
        <v>0</v>
      </c>
      <c r="AJ295" s="98">
        <f t="shared" ref="AJ295:AJ296" si="65">AG295+AH295+AI295-T295</f>
        <v>0</v>
      </c>
      <c r="AK295" s="98">
        <f t="shared" ref="AK295:AK296" si="66">IF(N295="折扣",AI295*O295,IF(N295="返现",AI295/(1+AE295),AI295/(1+O295+AE295)))</f>
        <v>0</v>
      </c>
    </row>
    <row r="296" spans="1:38">
      <c r="A296" s="90" t="s">
        <v>309</v>
      </c>
      <c r="B296" s="99" t="s">
        <v>28</v>
      </c>
      <c r="C296" s="99" t="s">
        <v>85</v>
      </c>
      <c r="D296" s="99" t="s">
        <v>86</v>
      </c>
      <c r="E296" s="99" t="s">
        <v>329</v>
      </c>
      <c r="F296" s="99" t="s">
        <v>328</v>
      </c>
      <c r="G296" s="99" t="s">
        <v>33</v>
      </c>
      <c r="H296" s="99" t="s">
        <v>34</v>
      </c>
      <c r="I296" s="91" t="s">
        <v>214</v>
      </c>
      <c r="J296" s="91" t="s">
        <v>241</v>
      </c>
      <c r="K296" s="99" t="s">
        <v>82</v>
      </c>
      <c r="L296" s="100"/>
      <c r="M296" s="70" t="s">
        <v>83</v>
      </c>
      <c r="N296" s="70" t="s">
        <v>50</v>
      </c>
      <c r="O296" s="101">
        <v>0.21</v>
      </c>
      <c r="P296" s="79"/>
      <c r="Q296" s="91"/>
      <c r="R296" s="20">
        <v>1.9061971830988114</v>
      </c>
      <c r="S296" s="79"/>
      <c r="T296" s="95">
        <v>0</v>
      </c>
      <c r="U296" s="95">
        <f t="shared" si="58"/>
        <v>1.9061971830988114</v>
      </c>
      <c r="V296" s="95">
        <f t="shared" si="59"/>
        <v>0</v>
      </c>
      <c r="W296" s="77"/>
      <c r="X296" s="22">
        <f t="shared" si="60"/>
        <v>0</v>
      </c>
      <c r="Y296" s="95">
        <f t="shared" si="61"/>
        <v>0</v>
      </c>
      <c r="Z296" s="95">
        <f t="shared" si="62"/>
        <v>0</v>
      </c>
      <c r="AA296" s="96">
        <v>0.05</v>
      </c>
      <c r="AB296" s="79"/>
      <c r="AC296" s="79"/>
      <c r="AD296" s="79"/>
      <c r="AE296" s="96">
        <v>0.42</v>
      </c>
      <c r="AF296" s="94">
        <f t="shared" si="63"/>
        <v>0</v>
      </c>
      <c r="AG296" s="95"/>
      <c r="AH296" s="95">
        <f t="shared" si="64"/>
        <v>0</v>
      </c>
      <c r="AI296" s="95">
        <v>0</v>
      </c>
      <c r="AJ296" s="98">
        <f t="shared" si="65"/>
        <v>0</v>
      </c>
      <c r="AK296" s="98">
        <f t="shared" si="66"/>
        <v>0</v>
      </c>
    </row>
    <row r="297" spans="1:38">
      <c r="A297" s="90" t="s">
        <v>309</v>
      </c>
      <c r="B297" s="99" t="s">
        <v>28</v>
      </c>
      <c r="C297" s="99" t="s">
        <v>85</v>
      </c>
      <c r="D297" s="99" t="s">
        <v>86</v>
      </c>
      <c r="E297" s="99" t="s">
        <v>331</v>
      </c>
      <c r="F297" s="99" t="s">
        <v>330</v>
      </c>
      <c r="G297" s="99" t="s">
        <v>33</v>
      </c>
      <c r="H297" s="99" t="s">
        <v>34</v>
      </c>
      <c r="I297" s="91" t="s">
        <v>214</v>
      </c>
      <c r="J297" s="91" t="s">
        <v>241</v>
      </c>
      <c r="K297" s="99" t="s">
        <v>82</v>
      </c>
      <c r="L297" s="100"/>
      <c r="M297" s="70" t="s">
        <v>83</v>
      </c>
      <c r="N297" s="70" t="s">
        <v>50</v>
      </c>
      <c r="O297" s="101">
        <v>0.03</v>
      </c>
      <c r="P297" s="79"/>
      <c r="Q297" s="91"/>
      <c r="R297" s="20">
        <v>62.533943663001999</v>
      </c>
      <c r="S297" s="79"/>
      <c r="T297" s="95">
        <v>0</v>
      </c>
      <c r="U297" s="95">
        <f t="shared" ref="U297:U352" si="67">R297+S297-T297</f>
        <v>62.533943663001999</v>
      </c>
      <c r="V297" s="95">
        <f t="shared" ref="V297" si="68">IF(N297="折扣",T297*O297,IF(N297="返现",T297,T297*(1+AE297)/(1+O297+AE297)))</f>
        <v>0</v>
      </c>
      <c r="W297" s="77"/>
      <c r="X297" s="22">
        <f t="shared" ref="X297:X360" si="69">IF(V297-Z297&lt;0,0,IF(N297="返现",MAX(V297-Y297-Z297,0),MAX(V297-Z297,0)))</f>
        <v>0</v>
      </c>
      <c r="Y297" s="95">
        <f t="shared" ref="Y297" si="70">IF(N297="返现",V297*O297,T297-V297)</f>
        <v>0</v>
      </c>
      <c r="Z297" s="95">
        <f t="shared" ref="Z297:Z352" si="71">T297</f>
        <v>0</v>
      </c>
      <c r="AA297" s="96">
        <v>0.05</v>
      </c>
      <c r="AB297" s="79"/>
      <c r="AC297" s="79"/>
      <c r="AD297" s="79"/>
      <c r="AE297" s="96">
        <v>0.42</v>
      </c>
      <c r="AF297" s="94">
        <f t="shared" ref="AF297:AF352" si="72">AI297/(1+AE297)</f>
        <v>0</v>
      </c>
      <c r="AG297" s="95"/>
      <c r="AH297" s="95">
        <f t="shared" ref="AH297:AH352" si="73">S297*AE297</f>
        <v>0</v>
      </c>
      <c r="AI297" s="95">
        <v>0</v>
      </c>
      <c r="AJ297" s="98">
        <f t="shared" ref="AJ297" si="74">AG297+AH297+AI297-T297</f>
        <v>0</v>
      </c>
      <c r="AK297" s="98">
        <f t="shared" ref="AK297" si="75">IF(N297="折扣",AI297*O297,IF(N297="返现",AI297/(1+AE297),AI297/(1+O297+AE297)))</f>
        <v>0</v>
      </c>
    </row>
    <row r="298" spans="1:38">
      <c r="A298" s="90" t="s">
        <v>332</v>
      </c>
      <c r="B298" s="91" t="s">
        <v>28</v>
      </c>
      <c r="C298" s="91" t="s">
        <v>39</v>
      </c>
      <c r="D298" s="91" t="s">
        <v>40</v>
      </c>
      <c r="E298" s="91" t="s">
        <v>333</v>
      </c>
      <c r="F298" s="91" t="s">
        <v>334</v>
      </c>
      <c r="G298" s="91" t="s">
        <v>33</v>
      </c>
      <c r="H298" s="91" t="s">
        <v>34</v>
      </c>
      <c r="I298" s="91" t="s">
        <v>353</v>
      </c>
      <c r="J298" s="91" t="s">
        <v>361</v>
      </c>
      <c r="K298" s="91" t="s">
        <v>335</v>
      </c>
      <c r="L298" s="91"/>
      <c r="M298" s="70" t="s">
        <v>43</v>
      </c>
      <c r="N298" s="70" t="s">
        <v>37</v>
      </c>
      <c r="O298" s="71">
        <v>3.8399999999999997E-2</v>
      </c>
      <c r="P298" s="70"/>
      <c r="Q298" s="91"/>
      <c r="R298" s="95">
        <v>0</v>
      </c>
      <c r="S298" s="122">
        <v>1000000</v>
      </c>
      <c r="T298" s="94">
        <v>8686.14</v>
      </c>
      <c r="U298" s="94">
        <f t="shared" si="67"/>
        <v>991313.86</v>
      </c>
      <c r="V298" s="94">
        <f t="shared" ref="V298:V352" si="76">IF(N298="返现",T298,T298*(1+AE298)/(1+O298+AE298))</f>
        <v>8433.1456310679605</v>
      </c>
      <c r="W298" s="95"/>
      <c r="X298" s="22">
        <f t="shared" si="69"/>
        <v>0</v>
      </c>
      <c r="Y298" s="103">
        <f>IF(N298="返现",V298*O298,T298-V298)</f>
        <v>252.99436893203892</v>
      </c>
      <c r="Z298" s="94">
        <f t="shared" si="71"/>
        <v>8686.14</v>
      </c>
      <c r="AA298" s="96">
        <v>0.05</v>
      </c>
      <c r="AB298" s="95"/>
      <c r="AC298" s="110"/>
      <c r="AD298" s="110"/>
      <c r="AE298" s="71">
        <v>0.28000000000000003</v>
      </c>
      <c r="AF298" s="94">
        <f t="shared" si="72"/>
        <v>6786.0468749999991</v>
      </c>
      <c r="AG298" s="95">
        <v>0</v>
      </c>
      <c r="AH298" s="94">
        <f t="shared" si="73"/>
        <v>280000</v>
      </c>
      <c r="AI298" s="94">
        <v>8686.14</v>
      </c>
      <c r="AJ298" s="94">
        <f t="shared" ref="AJ298:AJ352" si="77">AG298+AH298-AI298+T298</f>
        <v>280000</v>
      </c>
      <c r="AK298" s="94">
        <f>IF(N298="返现",AI298/(1+AE298),AI298/(1+O298+AE298))</f>
        <v>6588.3950242718438</v>
      </c>
      <c r="AL298" s="57">
        <f t="shared" ref="AL298:AL302" si="78">AK298-V298</f>
        <v>-1844.7506067961167</v>
      </c>
    </row>
    <row r="299" spans="1:38">
      <c r="A299" s="90" t="s">
        <v>332</v>
      </c>
      <c r="B299" s="91" t="s">
        <v>28</v>
      </c>
      <c r="C299" s="91" t="s">
        <v>39</v>
      </c>
      <c r="D299" s="91" t="s">
        <v>40</v>
      </c>
      <c r="E299" s="91" t="s">
        <v>336</v>
      </c>
      <c r="F299" s="91" t="s">
        <v>337</v>
      </c>
      <c r="G299" s="91" t="s">
        <v>33</v>
      </c>
      <c r="H299" s="91" t="s">
        <v>34</v>
      </c>
      <c r="I299" s="91" t="s">
        <v>353</v>
      </c>
      <c r="J299" s="91" t="s">
        <v>361</v>
      </c>
      <c r="K299" s="91" t="s">
        <v>338</v>
      </c>
      <c r="L299" s="91"/>
      <c r="M299" s="70" t="s">
        <v>83</v>
      </c>
      <c r="N299" s="70" t="s">
        <v>365</v>
      </c>
      <c r="O299" s="71">
        <v>4.1399999999999999E-2</v>
      </c>
      <c r="P299" s="70"/>
      <c r="Q299" s="91"/>
      <c r="R299" s="95">
        <v>0</v>
      </c>
      <c r="S299" s="122">
        <v>300000</v>
      </c>
      <c r="T299" s="94">
        <v>19305.93</v>
      </c>
      <c r="U299" s="94">
        <f t="shared" si="67"/>
        <v>280694.07</v>
      </c>
      <c r="V299" s="94">
        <f t="shared" si="76"/>
        <v>18743.621359223296</v>
      </c>
      <c r="W299" s="95"/>
      <c r="X299" s="22">
        <f t="shared" si="69"/>
        <v>0</v>
      </c>
      <c r="Y299" s="103">
        <f t="shared" ref="Y299:Y352" si="79">IF(N299="返现",V299*O299,T299-V299)</f>
        <v>562.30864077670412</v>
      </c>
      <c r="Z299" s="94">
        <f t="shared" si="71"/>
        <v>19305.93</v>
      </c>
      <c r="AA299" s="96">
        <v>0.05</v>
      </c>
      <c r="AB299" s="95"/>
      <c r="AC299" s="110"/>
      <c r="AD299" s="110"/>
      <c r="AE299" s="71">
        <v>0.38</v>
      </c>
      <c r="AF299" s="94">
        <f t="shared" si="72"/>
        <v>13989.804347826088</v>
      </c>
      <c r="AG299" s="95">
        <v>0</v>
      </c>
      <c r="AH299" s="94">
        <f t="shared" si="73"/>
        <v>114000</v>
      </c>
      <c r="AI299" s="94">
        <v>19305.93</v>
      </c>
      <c r="AJ299" s="94">
        <f t="shared" si="77"/>
        <v>114000</v>
      </c>
      <c r="AK299" s="94">
        <f t="shared" ref="AK299:AK352" si="80">IF(N299="返现",AI299/(1+AE299),AI299/(1+O299+AE299))</f>
        <v>13582.334318277752</v>
      </c>
      <c r="AL299" s="57">
        <f t="shared" si="78"/>
        <v>-5161.2870409455445</v>
      </c>
    </row>
    <row r="300" spans="1:38">
      <c r="A300" s="90" t="s">
        <v>332</v>
      </c>
      <c r="B300" s="91" t="s">
        <v>38</v>
      </c>
      <c r="C300" s="91" t="s">
        <v>39</v>
      </c>
      <c r="D300" s="91" t="s">
        <v>40</v>
      </c>
      <c r="E300" s="91" t="s">
        <v>44</v>
      </c>
      <c r="F300" s="91" t="s">
        <v>44</v>
      </c>
      <c r="G300" s="91" t="s">
        <v>44</v>
      </c>
      <c r="H300" s="91" t="s">
        <v>34</v>
      </c>
      <c r="I300" s="91" t="s">
        <v>353</v>
      </c>
      <c r="J300" s="91" t="s">
        <v>361</v>
      </c>
      <c r="K300" s="91" t="s">
        <v>44</v>
      </c>
      <c r="L300" s="91"/>
      <c r="M300" s="70" t="s">
        <v>43</v>
      </c>
      <c r="N300" s="70" t="s">
        <v>37</v>
      </c>
      <c r="O300" s="71">
        <v>0</v>
      </c>
      <c r="P300" s="70"/>
      <c r="Q300" s="91" t="s">
        <v>339</v>
      </c>
      <c r="R300" s="95">
        <v>1041675.8100000005</v>
      </c>
      <c r="S300" s="122">
        <v>1033830.44</v>
      </c>
      <c r="T300" s="94">
        <v>1139390.1900000039</v>
      </c>
      <c r="U300" s="94">
        <f t="shared" si="67"/>
        <v>936116.05999999656</v>
      </c>
      <c r="V300" s="94">
        <v>1733830.44</v>
      </c>
      <c r="W300" s="95">
        <f>509872+104029.83</f>
        <v>613901.82999999996</v>
      </c>
      <c r="X300" s="22">
        <f t="shared" si="69"/>
        <v>800000</v>
      </c>
      <c r="Y300" s="103">
        <f t="shared" si="79"/>
        <v>-594440.24999999604</v>
      </c>
      <c r="Z300" s="94">
        <v>933830.44</v>
      </c>
      <c r="AA300" s="96">
        <v>0.05</v>
      </c>
      <c r="AB300" s="95"/>
      <c r="AC300" s="110"/>
      <c r="AD300" s="110"/>
      <c r="AE300" s="71">
        <v>0.3</v>
      </c>
      <c r="AF300" s="94">
        <f t="shared" si="72"/>
        <v>1292600.8923076906</v>
      </c>
      <c r="AG300" s="95">
        <v>1361206.5079999994</v>
      </c>
      <c r="AH300" s="94">
        <f t="shared" si="73"/>
        <v>310149.13199999998</v>
      </c>
      <c r="AI300" s="94">
        <v>1680381.1599999978</v>
      </c>
      <c r="AJ300" s="94">
        <f t="shared" si="77"/>
        <v>1130364.6700000055</v>
      </c>
      <c r="AK300" s="94">
        <f>V300</f>
        <v>1733830.44</v>
      </c>
      <c r="AL300" s="57">
        <f t="shared" si="78"/>
        <v>0</v>
      </c>
    </row>
    <row r="301" spans="1:38">
      <c r="A301" s="90" t="s">
        <v>332</v>
      </c>
      <c r="B301" s="91" t="s">
        <v>38</v>
      </c>
      <c r="C301" s="91" t="s">
        <v>39</v>
      </c>
      <c r="D301" s="91" t="s">
        <v>40</v>
      </c>
      <c r="E301" s="91" t="s">
        <v>286</v>
      </c>
      <c r="F301" s="91" t="s">
        <v>286</v>
      </c>
      <c r="G301" s="91" t="s">
        <v>286</v>
      </c>
      <c r="H301" s="91" t="s">
        <v>34</v>
      </c>
      <c r="I301" s="91" t="s">
        <v>353</v>
      </c>
      <c r="J301" s="91" t="s">
        <v>361</v>
      </c>
      <c r="K301" s="91" t="s">
        <v>44</v>
      </c>
      <c r="L301" s="91"/>
      <c r="M301" s="91" t="s">
        <v>83</v>
      </c>
      <c r="N301" s="91" t="s">
        <v>37</v>
      </c>
      <c r="O301" s="92">
        <v>0</v>
      </c>
      <c r="P301" s="70"/>
      <c r="Q301" s="91"/>
      <c r="R301" s="95">
        <v>16133.519999999902</v>
      </c>
      <c r="S301" s="95"/>
      <c r="T301" s="94">
        <v>16133.519999999999</v>
      </c>
      <c r="U301" s="94">
        <f t="shared" si="67"/>
        <v>-9.6406438387930393E-11</v>
      </c>
      <c r="V301" s="94">
        <f t="shared" si="76"/>
        <v>16133.519999999997</v>
      </c>
      <c r="W301" s="95"/>
      <c r="X301" s="22">
        <f t="shared" si="69"/>
        <v>0</v>
      </c>
      <c r="Y301" s="103">
        <f t="shared" si="79"/>
        <v>1.8189894035458565E-12</v>
      </c>
      <c r="Z301" s="94">
        <f t="shared" si="71"/>
        <v>16133.519999999999</v>
      </c>
      <c r="AA301" s="96">
        <v>0.05</v>
      </c>
      <c r="AB301" s="95"/>
      <c r="AC301" s="110"/>
      <c r="AD301" s="110"/>
      <c r="AE301" s="92">
        <v>0.24</v>
      </c>
      <c r="AF301" s="94">
        <f t="shared" si="72"/>
        <v>13118.129032258064</v>
      </c>
      <c r="AG301" s="95">
        <v>96000</v>
      </c>
      <c r="AH301" s="94">
        <f t="shared" si="73"/>
        <v>0</v>
      </c>
      <c r="AI301" s="94">
        <v>16266.48</v>
      </c>
      <c r="AJ301" s="94">
        <f t="shared" si="77"/>
        <v>95867.040000000008</v>
      </c>
      <c r="AK301" s="94">
        <f t="shared" si="80"/>
        <v>13118.129032258064</v>
      </c>
      <c r="AL301" s="57">
        <f t="shared" si="78"/>
        <v>-3015.3909677419324</v>
      </c>
    </row>
    <row r="302" spans="1:38">
      <c r="A302" s="90" t="s">
        <v>332</v>
      </c>
      <c r="B302" s="91" t="s">
        <v>38</v>
      </c>
      <c r="C302" s="91" t="s">
        <v>39</v>
      </c>
      <c r="D302" s="91" t="s">
        <v>40</v>
      </c>
      <c r="E302" s="91" t="s">
        <v>288</v>
      </c>
      <c r="F302" s="91" t="s">
        <v>288</v>
      </c>
      <c r="G302" s="91" t="s">
        <v>288</v>
      </c>
      <c r="H302" s="91" t="s">
        <v>34</v>
      </c>
      <c r="I302" s="91" t="s">
        <v>353</v>
      </c>
      <c r="J302" s="91" t="s">
        <v>361</v>
      </c>
      <c r="K302" s="91" t="s">
        <v>44</v>
      </c>
      <c r="L302" s="91"/>
      <c r="M302" s="91" t="s">
        <v>43</v>
      </c>
      <c r="N302" s="91" t="s">
        <v>289</v>
      </c>
      <c r="O302" s="92">
        <v>0.98</v>
      </c>
      <c r="P302" s="70"/>
      <c r="Q302" s="91" t="s">
        <v>244</v>
      </c>
      <c r="R302" s="95">
        <v>149995.81000000003</v>
      </c>
      <c r="S302" s="95"/>
      <c r="T302" s="94">
        <v>149995.46</v>
      </c>
      <c r="U302" s="94">
        <f t="shared" si="67"/>
        <v>0.3500000000349246</v>
      </c>
      <c r="V302" s="94">
        <v>949457.32</v>
      </c>
      <c r="W302" s="95"/>
      <c r="X302" s="22">
        <f t="shared" si="69"/>
        <v>799457.32</v>
      </c>
      <c r="Y302" s="103">
        <f t="shared" si="79"/>
        <v>-799461.86</v>
      </c>
      <c r="Z302" s="94">
        <v>150000</v>
      </c>
      <c r="AA302" s="96">
        <v>0.05</v>
      </c>
      <c r="AB302" s="95"/>
      <c r="AC302" s="110"/>
      <c r="AD302" s="110"/>
      <c r="AE302" s="92">
        <v>0.3</v>
      </c>
      <c r="AF302" s="94">
        <f t="shared" si="72"/>
        <v>166941.44615384616</v>
      </c>
      <c r="AG302" s="95">
        <v>112979.09</v>
      </c>
      <c r="AH302" s="94">
        <f t="shared" si="73"/>
        <v>0</v>
      </c>
      <c r="AI302" s="94">
        <v>217023.88000000003</v>
      </c>
      <c r="AJ302" s="94">
        <f t="shared" si="77"/>
        <v>45950.669999999955</v>
      </c>
      <c r="AK302" s="94">
        <v>949457.32</v>
      </c>
      <c r="AL302" s="57">
        <f t="shared" si="78"/>
        <v>0</v>
      </c>
    </row>
    <row r="303" spans="1:38">
      <c r="A303" s="90" t="s">
        <v>332</v>
      </c>
      <c r="B303" s="91" t="s">
        <v>28</v>
      </c>
      <c r="C303" s="91" t="s">
        <v>151</v>
      </c>
      <c r="D303" s="91" t="s">
        <v>152</v>
      </c>
      <c r="E303" s="91" t="s">
        <v>153</v>
      </c>
      <c r="F303" s="91" t="s">
        <v>283</v>
      </c>
      <c r="G303" s="91" t="s">
        <v>33</v>
      </c>
      <c r="H303" s="91" t="s">
        <v>34</v>
      </c>
      <c r="I303" s="91" t="s">
        <v>353</v>
      </c>
      <c r="J303" s="91" t="s">
        <v>361</v>
      </c>
      <c r="K303" s="91" t="s">
        <v>155</v>
      </c>
      <c r="L303" s="91"/>
      <c r="M303" s="91" t="s">
        <v>36</v>
      </c>
      <c r="N303" s="91" t="s">
        <v>37</v>
      </c>
      <c r="O303" s="92">
        <v>0</v>
      </c>
      <c r="P303" s="70"/>
      <c r="Q303" s="91"/>
      <c r="R303" s="95">
        <v>2956.69</v>
      </c>
      <c r="S303" s="95"/>
      <c r="T303" s="94">
        <v>0</v>
      </c>
      <c r="U303" s="94">
        <f t="shared" si="67"/>
        <v>2956.69</v>
      </c>
      <c r="V303" s="94">
        <f t="shared" si="76"/>
        <v>0</v>
      </c>
      <c r="W303" s="95"/>
      <c r="X303" s="22">
        <f t="shared" si="69"/>
        <v>0</v>
      </c>
      <c r="Y303" s="103">
        <f t="shared" si="79"/>
        <v>0</v>
      </c>
      <c r="Z303" s="94">
        <f t="shared" si="71"/>
        <v>0</v>
      </c>
      <c r="AA303" s="96">
        <v>0.05</v>
      </c>
      <c r="AB303" s="95"/>
      <c r="AC303" s="110"/>
      <c r="AD303" s="110"/>
      <c r="AE303" s="92">
        <v>0.42</v>
      </c>
      <c r="AF303" s="94">
        <f t="shared" si="72"/>
        <v>0</v>
      </c>
      <c r="AG303" s="95">
        <v>0</v>
      </c>
      <c r="AH303" s="94">
        <f t="shared" si="73"/>
        <v>0</v>
      </c>
      <c r="AI303" s="94">
        <v>0</v>
      </c>
      <c r="AJ303" s="94">
        <f t="shared" si="77"/>
        <v>0</v>
      </c>
      <c r="AK303" s="94">
        <f t="shared" si="80"/>
        <v>0</v>
      </c>
    </row>
    <row r="304" spans="1:38">
      <c r="A304" s="90" t="s">
        <v>332</v>
      </c>
      <c r="B304" s="91" t="s">
        <v>28</v>
      </c>
      <c r="C304" s="91" t="s">
        <v>57</v>
      </c>
      <c r="D304" s="91" t="s">
        <v>58</v>
      </c>
      <c r="E304" s="91" t="s">
        <v>69</v>
      </c>
      <c r="F304" s="91" t="s">
        <v>70</v>
      </c>
      <c r="G304" s="91" t="s">
        <v>33</v>
      </c>
      <c r="H304" s="91" t="s">
        <v>34</v>
      </c>
      <c r="I304" s="91" t="s">
        <v>353</v>
      </c>
      <c r="J304" s="91" t="s">
        <v>361</v>
      </c>
      <c r="K304" s="91" t="s">
        <v>69</v>
      </c>
      <c r="L304" s="91"/>
      <c r="M304" s="91" t="s">
        <v>43</v>
      </c>
      <c r="N304" s="91" t="s">
        <v>37</v>
      </c>
      <c r="O304" s="92">
        <v>0</v>
      </c>
      <c r="P304" s="70"/>
      <c r="Q304" s="91"/>
      <c r="R304" s="95">
        <v>70023.360000000001</v>
      </c>
      <c r="S304" s="95"/>
      <c r="T304" s="94">
        <v>0.15</v>
      </c>
      <c r="U304" s="94">
        <f t="shared" si="67"/>
        <v>70023.210000000006</v>
      </c>
      <c r="V304" s="94">
        <f t="shared" si="76"/>
        <v>0.15</v>
      </c>
      <c r="W304" s="95"/>
      <c r="X304" s="22">
        <f t="shared" si="69"/>
        <v>0</v>
      </c>
      <c r="Y304" s="103">
        <f t="shared" si="79"/>
        <v>0</v>
      </c>
      <c r="Z304" s="94">
        <f t="shared" si="71"/>
        <v>0.15</v>
      </c>
      <c r="AA304" s="96">
        <v>0.05</v>
      </c>
      <c r="AB304" s="95"/>
      <c r="AC304" s="110"/>
      <c r="AD304" s="110"/>
      <c r="AE304" s="92">
        <v>0</v>
      </c>
      <c r="AF304" s="94">
        <f t="shared" si="72"/>
        <v>0.15</v>
      </c>
      <c r="AG304" s="95">
        <v>0</v>
      </c>
      <c r="AH304" s="94">
        <f t="shared" si="73"/>
        <v>0</v>
      </c>
      <c r="AI304" s="94">
        <v>0.15</v>
      </c>
      <c r="AJ304" s="94">
        <f t="shared" si="77"/>
        <v>0</v>
      </c>
      <c r="AK304" s="94">
        <f t="shared" si="80"/>
        <v>0.15</v>
      </c>
      <c r="AL304" s="57">
        <f>AK304-V304</f>
        <v>0</v>
      </c>
    </row>
    <row r="305" spans="1:38">
      <c r="A305" s="90" t="s">
        <v>332</v>
      </c>
      <c r="B305" s="91" t="s">
        <v>28</v>
      </c>
      <c r="C305" s="91" t="s">
        <v>46</v>
      </c>
      <c r="D305" s="91" t="s">
        <v>62</v>
      </c>
      <c r="E305" s="91" t="s">
        <v>63</v>
      </c>
      <c r="F305" s="91" t="s">
        <v>64</v>
      </c>
      <c r="G305" s="91" t="s">
        <v>33</v>
      </c>
      <c r="H305" s="91" t="s">
        <v>34</v>
      </c>
      <c r="I305" s="91" t="s">
        <v>353</v>
      </c>
      <c r="J305" s="91" t="s">
        <v>361</v>
      </c>
      <c r="K305" s="91" t="s">
        <v>63</v>
      </c>
      <c r="L305" s="91"/>
      <c r="M305" s="91" t="s">
        <v>36</v>
      </c>
      <c r="N305" s="91" t="s">
        <v>37</v>
      </c>
      <c r="O305" s="92">
        <v>0</v>
      </c>
      <c r="P305" s="70"/>
      <c r="Q305" s="91"/>
      <c r="R305" s="95">
        <v>7741.65</v>
      </c>
      <c r="S305" s="95"/>
      <c r="T305" s="94">
        <v>0</v>
      </c>
      <c r="U305" s="94">
        <f t="shared" si="67"/>
        <v>7741.65</v>
      </c>
      <c r="V305" s="94">
        <f t="shared" si="76"/>
        <v>0</v>
      </c>
      <c r="W305" s="95"/>
      <c r="X305" s="22">
        <f t="shared" si="69"/>
        <v>0</v>
      </c>
      <c r="Y305" s="103">
        <f t="shared" si="79"/>
        <v>0</v>
      </c>
      <c r="Z305" s="94">
        <f t="shared" si="71"/>
        <v>0</v>
      </c>
      <c r="AA305" s="96">
        <v>0.05</v>
      </c>
      <c r="AB305" s="95"/>
      <c r="AC305" s="110"/>
      <c r="AD305" s="110"/>
      <c r="AE305" s="92">
        <v>0.42</v>
      </c>
      <c r="AF305" s="94">
        <f t="shared" si="72"/>
        <v>0</v>
      </c>
      <c r="AG305" s="95">
        <v>0</v>
      </c>
      <c r="AH305" s="94">
        <f t="shared" si="73"/>
        <v>0</v>
      </c>
      <c r="AI305" s="94">
        <v>0</v>
      </c>
      <c r="AJ305" s="94">
        <f t="shared" si="77"/>
        <v>0</v>
      </c>
      <c r="AK305" s="94">
        <f t="shared" si="80"/>
        <v>0</v>
      </c>
    </row>
    <row r="306" spans="1:38">
      <c r="A306" s="90" t="s">
        <v>332</v>
      </c>
      <c r="B306" s="91" t="s">
        <v>28</v>
      </c>
      <c r="C306" s="91" t="s">
        <v>46</v>
      </c>
      <c r="D306" s="91" t="s">
        <v>47</v>
      </c>
      <c r="E306" s="91" t="s">
        <v>48</v>
      </c>
      <c r="F306" s="91" t="s">
        <v>49</v>
      </c>
      <c r="G306" s="91" t="s">
        <v>33</v>
      </c>
      <c r="H306" s="91" t="s">
        <v>34</v>
      </c>
      <c r="I306" s="91" t="s">
        <v>353</v>
      </c>
      <c r="J306" s="91" t="s">
        <v>361</v>
      </c>
      <c r="K306" s="91" t="s">
        <v>48</v>
      </c>
      <c r="L306" s="91"/>
      <c r="M306" s="91" t="s">
        <v>43</v>
      </c>
      <c r="N306" s="91" t="s">
        <v>37</v>
      </c>
      <c r="O306" s="92">
        <v>0</v>
      </c>
      <c r="P306" s="70"/>
      <c r="Q306" s="91"/>
      <c r="R306" s="95">
        <v>7.0399999999990497</v>
      </c>
      <c r="S306" s="95"/>
      <c r="T306" s="94">
        <v>0</v>
      </c>
      <c r="U306" s="94">
        <f t="shared" si="67"/>
        <v>7.0399999999990497</v>
      </c>
      <c r="V306" s="94">
        <f t="shared" si="76"/>
        <v>0</v>
      </c>
      <c r="W306" s="95"/>
      <c r="X306" s="22">
        <f t="shared" si="69"/>
        <v>0</v>
      </c>
      <c r="Y306" s="103">
        <f t="shared" si="79"/>
        <v>0</v>
      </c>
      <c r="Z306" s="94">
        <f t="shared" si="71"/>
        <v>0</v>
      </c>
      <c r="AA306" s="96">
        <v>0.05</v>
      </c>
      <c r="AB306" s="95"/>
      <c r="AC306" s="110"/>
      <c r="AD306" s="110"/>
      <c r="AE306" s="92">
        <v>0</v>
      </c>
      <c r="AF306" s="94">
        <f t="shared" si="72"/>
        <v>0</v>
      </c>
      <c r="AG306" s="95">
        <v>0</v>
      </c>
      <c r="AH306" s="94">
        <f t="shared" si="73"/>
        <v>0</v>
      </c>
      <c r="AI306" s="94">
        <v>0</v>
      </c>
      <c r="AJ306" s="94">
        <f t="shared" si="77"/>
        <v>0</v>
      </c>
      <c r="AK306" s="94">
        <f t="shared" si="80"/>
        <v>0</v>
      </c>
    </row>
    <row r="307" spans="1:38">
      <c r="A307" s="90" t="s">
        <v>332</v>
      </c>
      <c r="B307" s="91" t="s">
        <v>28</v>
      </c>
      <c r="C307" s="91" t="s">
        <v>46</v>
      </c>
      <c r="D307" s="91" t="s">
        <v>47</v>
      </c>
      <c r="E307" s="91" t="s">
        <v>60</v>
      </c>
      <c r="F307" s="91" t="s">
        <v>61</v>
      </c>
      <c r="G307" s="91" t="s">
        <v>33</v>
      </c>
      <c r="H307" s="91" t="s">
        <v>34</v>
      </c>
      <c r="I307" s="91" t="s">
        <v>353</v>
      </c>
      <c r="J307" s="91" t="s">
        <v>361</v>
      </c>
      <c r="K307" s="91" t="s">
        <v>60</v>
      </c>
      <c r="L307" s="91"/>
      <c r="M307" s="91" t="s">
        <v>43</v>
      </c>
      <c r="N307" s="91" t="s">
        <v>50</v>
      </c>
      <c r="O307" s="92">
        <v>0.02</v>
      </c>
      <c r="P307" s="70"/>
      <c r="Q307" s="91"/>
      <c r="R307" s="95">
        <v>106099.63</v>
      </c>
      <c r="S307" s="95"/>
      <c r="T307" s="94">
        <v>0</v>
      </c>
      <c r="U307" s="94">
        <f t="shared" si="67"/>
        <v>106099.63</v>
      </c>
      <c r="V307" s="94">
        <f t="shared" si="76"/>
        <v>0</v>
      </c>
      <c r="W307" s="95"/>
      <c r="X307" s="22">
        <f t="shared" si="69"/>
        <v>0</v>
      </c>
      <c r="Y307" s="103">
        <f t="shared" si="79"/>
        <v>0</v>
      </c>
      <c r="Z307" s="94">
        <f t="shared" si="71"/>
        <v>0</v>
      </c>
      <c r="AA307" s="96">
        <v>0.05</v>
      </c>
      <c r="AB307" s="95"/>
      <c r="AC307" s="110"/>
      <c r="AD307" s="110"/>
      <c r="AE307" s="92">
        <v>0.42</v>
      </c>
      <c r="AF307" s="94">
        <f t="shared" si="72"/>
        <v>0</v>
      </c>
      <c r="AG307" s="95">
        <v>0</v>
      </c>
      <c r="AH307" s="94">
        <f t="shared" si="73"/>
        <v>0</v>
      </c>
      <c r="AI307" s="94">
        <v>0</v>
      </c>
      <c r="AJ307" s="94">
        <f t="shared" si="77"/>
        <v>0</v>
      </c>
      <c r="AK307" s="94">
        <f t="shared" si="80"/>
        <v>0</v>
      </c>
    </row>
    <row r="308" spans="1:38">
      <c r="A308" s="90" t="s">
        <v>332</v>
      </c>
      <c r="B308" s="91" t="s">
        <v>28</v>
      </c>
      <c r="C308" s="91" t="s">
        <v>29</v>
      </c>
      <c r="D308" s="91" t="s">
        <v>79</v>
      </c>
      <c r="E308" s="91" t="s">
        <v>80</v>
      </c>
      <c r="F308" s="91" t="s">
        <v>81</v>
      </c>
      <c r="G308" s="91" t="s">
        <v>33</v>
      </c>
      <c r="H308" s="91" t="s">
        <v>34</v>
      </c>
      <c r="I308" s="91" t="s">
        <v>353</v>
      </c>
      <c r="J308" s="91" t="s">
        <v>361</v>
      </c>
      <c r="K308" s="91" t="s">
        <v>82</v>
      </c>
      <c r="L308" s="91"/>
      <c r="M308" s="91" t="s">
        <v>83</v>
      </c>
      <c r="N308" s="91" t="s">
        <v>50</v>
      </c>
      <c r="O308" s="92">
        <v>0.18</v>
      </c>
      <c r="P308" s="70"/>
      <c r="Q308" s="91"/>
      <c r="R308" s="95">
        <v>131941.95000000001</v>
      </c>
      <c r="S308" s="95"/>
      <c r="T308" s="94">
        <v>73058.180000000008</v>
      </c>
      <c r="U308" s="94">
        <f t="shared" si="67"/>
        <v>58883.770000000004</v>
      </c>
      <c r="V308" s="94">
        <f t="shared" si="76"/>
        <v>64839.134750000005</v>
      </c>
      <c r="W308" s="95"/>
      <c r="X308" s="22">
        <f t="shared" si="69"/>
        <v>0</v>
      </c>
      <c r="Y308" s="103">
        <f t="shared" si="79"/>
        <v>8219.0452500000029</v>
      </c>
      <c r="Z308" s="94">
        <f t="shared" si="71"/>
        <v>73058.180000000008</v>
      </c>
      <c r="AA308" s="96">
        <v>0.05</v>
      </c>
      <c r="AB308" s="95"/>
      <c r="AC308" s="110"/>
      <c r="AD308" s="110"/>
      <c r="AE308" s="10">
        <v>0.42</v>
      </c>
      <c r="AF308" s="94">
        <f t="shared" si="72"/>
        <v>73059.457746478889</v>
      </c>
      <c r="AG308" s="95">
        <v>0</v>
      </c>
      <c r="AH308" s="94">
        <f t="shared" si="73"/>
        <v>0</v>
      </c>
      <c r="AI308" s="94">
        <v>103744.43000000001</v>
      </c>
      <c r="AJ308" s="94">
        <f t="shared" si="77"/>
        <v>-30686.25</v>
      </c>
      <c r="AK308" s="94">
        <f t="shared" si="80"/>
        <v>64840.26875000001</v>
      </c>
      <c r="AL308" s="57">
        <f>AK308-V308</f>
        <v>1.1340000000054715</v>
      </c>
    </row>
    <row r="309" spans="1:38">
      <c r="A309" s="90" t="s">
        <v>332</v>
      </c>
      <c r="B309" s="91" t="s">
        <v>28</v>
      </c>
      <c r="C309" s="91" t="s">
        <v>29</v>
      </c>
      <c r="D309" s="91" t="s">
        <v>30</v>
      </c>
      <c r="E309" s="91" t="s">
        <v>31</v>
      </c>
      <c r="F309" s="91" t="s">
        <v>32</v>
      </c>
      <c r="G309" s="91" t="s">
        <v>33</v>
      </c>
      <c r="H309" s="91" t="s">
        <v>34</v>
      </c>
      <c r="I309" s="91" t="s">
        <v>353</v>
      </c>
      <c r="J309" s="91" t="s">
        <v>361</v>
      </c>
      <c r="K309" s="91" t="s">
        <v>31</v>
      </c>
      <c r="L309" s="91"/>
      <c r="M309" s="91" t="s">
        <v>43</v>
      </c>
      <c r="N309" s="91" t="s">
        <v>50</v>
      </c>
      <c r="O309" s="92">
        <v>0.03</v>
      </c>
      <c r="P309" s="70"/>
      <c r="Q309" s="91"/>
      <c r="R309" s="95">
        <v>15901.84</v>
      </c>
      <c r="S309" s="95"/>
      <c r="T309" s="94">
        <v>0</v>
      </c>
      <c r="U309" s="94">
        <f t="shared" si="67"/>
        <v>15901.84</v>
      </c>
      <c r="V309" s="94">
        <f t="shared" si="76"/>
        <v>0</v>
      </c>
      <c r="W309" s="95"/>
      <c r="X309" s="22">
        <f t="shared" si="69"/>
        <v>0</v>
      </c>
      <c r="Y309" s="103">
        <f t="shared" si="79"/>
        <v>0</v>
      </c>
      <c r="Z309" s="94">
        <f t="shared" si="71"/>
        <v>0</v>
      </c>
      <c r="AA309" s="96">
        <v>0.05</v>
      </c>
      <c r="AB309" s="95"/>
      <c r="AC309" s="110"/>
      <c r="AD309" s="110"/>
      <c r="AE309" s="92">
        <v>7.0000000000000007E-2</v>
      </c>
      <c r="AF309" s="94">
        <f t="shared" si="72"/>
        <v>0</v>
      </c>
      <c r="AG309" s="95">
        <v>0</v>
      </c>
      <c r="AH309" s="94">
        <f t="shared" si="73"/>
        <v>0</v>
      </c>
      <c r="AI309" s="94">
        <v>0</v>
      </c>
      <c r="AJ309" s="94">
        <f t="shared" si="77"/>
        <v>0</v>
      </c>
      <c r="AK309" s="94">
        <f t="shared" si="80"/>
        <v>0</v>
      </c>
    </row>
    <row r="310" spans="1:38">
      <c r="A310" s="90" t="s">
        <v>332</v>
      </c>
      <c r="B310" s="91" t="s">
        <v>28</v>
      </c>
      <c r="C310" s="91" t="s">
        <v>29</v>
      </c>
      <c r="D310" s="91" t="s">
        <v>30</v>
      </c>
      <c r="E310" s="91" t="s">
        <v>31</v>
      </c>
      <c r="F310" s="91" t="s">
        <v>32</v>
      </c>
      <c r="G310" s="91" t="s">
        <v>33</v>
      </c>
      <c r="H310" s="91" t="s">
        <v>34</v>
      </c>
      <c r="I310" s="91" t="s">
        <v>353</v>
      </c>
      <c r="J310" s="91" t="s">
        <v>361</v>
      </c>
      <c r="K310" s="91" t="s">
        <v>31</v>
      </c>
      <c r="L310" s="91"/>
      <c r="M310" s="91" t="s">
        <v>36</v>
      </c>
      <c r="N310" s="91" t="s">
        <v>50</v>
      </c>
      <c r="O310" s="92">
        <v>0.03</v>
      </c>
      <c r="P310" s="70"/>
      <c r="Q310" s="91"/>
      <c r="R310" s="95">
        <v>2375.20999999992</v>
      </c>
      <c r="S310" s="95"/>
      <c r="T310" s="94">
        <v>0</v>
      </c>
      <c r="U310" s="94">
        <f t="shared" si="67"/>
        <v>2375.20999999992</v>
      </c>
      <c r="V310" s="94">
        <f t="shared" si="76"/>
        <v>0</v>
      </c>
      <c r="W310" s="95"/>
      <c r="X310" s="22">
        <f t="shared" si="69"/>
        <v>0</v>
      </c>
      <c r="Y310" s="103">
        <f t="shared" si="79"/>
        <v>0</v>
      </c>
      <c r="Z310" s="94">
        <f t="shared" si="71"/>
        <v>0</v>
      </c>
      <c r="AA310" s="96">
        <v>0.05</v>
      </c>
      <c r="AB310" s="95"/>
      <c r="AC310" s="110"/>
      <c r="AD310" s="110"/>
      <c r="AE310" s="92">
        <v>7.0000000000000007E-2</v>
      </c>
      <c r="AF310" s="94">
        <f t="shared" si="72"/>
        <v>0</v>
      </c>
      <c r="AG310" s="95">
        <v>0</v>
      </c>
      <c r="AH310" s="94">
        <f t="shared" si="73"/>
        <v>0</v>
      </c>
      <c r="AI310" s="94">
        <v>0</v>
      </c>
      <c r="AJ310" s="94">
        <f t="shared" si="77"/>
        <v>0</v>
      </c>
      <c r="AK310" s="94">
        <f t="shared" si="80"/>
        <v>0</v>
      </c>
    </row>
    <row r="311" spans="1:38">
      <c r="A311" s="90" t="s">
        <v>332</v>
      </c>
      <c r="B311" s="91" t="s">
        <v>28</v>
      </c>
      <c r="C311" s="91" t="s">
        <v>39</v>
      </c>
      <c r="D311" s="91" t="s">
        <v>74</v>
      </c>
      <c r="E311" s="91" t="s">
        <v>75</v>
      </c>
      <c r="F311" s="91" t="s">
        <v>76</v>
      </c>
      <c r="G311" s="91" t="s">
        <v>33</v>
      </c>
      <c r="H311" s="91" t="s">
        <v>34</v>
      </c>
      <c r="I311" s="91" t="s">
        <v>353</v>
      </c>
      <c r="J311" s="91" t="s">
        <v>361</v>
      </c>
      <c r="K311" s="91" t="s">
        <v>77</v>
      </c>
      <c r="L311" s="91"/>
      <c r="M311" s="91" t="s">
        <v>36</v>
      </c>
      <c r="N311" s="91" t="s">
        <v>50</v>
      </c>
      <c r="O311" s="92">
        <v>0.05</v>
      </c>
      <c r="P311" s="70"/>
      <c r="Q311" s="91"/>
      <c r="R311" s="95">
        <v>1766.24</v>
      </c>
      <c r="S311" s="95"/>
      <c r="T311" s="94">
        <v>0</v>
      </c>
      <c r="U311" s="94">
        <f t="shared" si="67"/>
        <v>1766.24</v>
      </c>
      <c r="V311" s="94">
        <f t="shared" si="76"/>
        <v>0</v>
      </c>
      <c r="W311" s="95"/>
      <c r="X311" s="22">
        <f t="shared" si="69"/>
        <v>0</v>
      </c>
      <c r="Y311" s="103">
        <f t="shared" si="79"/>
        <v>0</v>
      </c>
      <c r="Z311" s="94">
        <f t="shared" si="71"/>
        <v>0</v>
      </c>
      <c r="AA311" s="96">
        <v>0.05</v>
      </c>
      <c r="AB311" s="95"/>
      <c r="AC311" s="110"/>
      <c r="AD311" s="110"/>
      <c r="AE311" s="92">
        <v>0.42</v>
      </c>
      <c r="AF311" s="94">
        <f t="shared" si="72"/>
        <v>0</v>
      </c>
      <c r="AG311" s="95">
        <v>0</v>
      </c>
      <c r="AH311" s="94">
        <f t="shared" si="73"/>
        <v>0</v>
      </c>
      <c r="AI311" s="94">
        <v>0</v>
      </c>
      <c r="AJ311" s="94">
        <f t="shared" si="77"/>
        <v>0</v>
      </c>
      <c r="AK311" s="94">
        <f t="shared" si="80"/>
        <v>0</v>
      </c>
    </row>
    <row r="312" spans="1:38">
      <c r="A312" s="90" t="s">
        <v>332</v>
      </c>
      <c r="B312" s="91" t="s">
        <v>28</v>
      </c>
      <c r="C312" s="91" t="s">
        <v>85</v>
      </c>
      <c r="D312" s="91" t="s">
        <v>86</v>
      </c>
      <c r="E312" s="91" t="s">
        <v>87</v>
      </c>
      <c r="F312" s="91" t="s">
        <v>88</v>
      </c>
      <c r="G312" s="91" t="s">
        <v>33</v>
      </c>
      <c r="H312" s="91" t="s">
        <v>34</v>
      </c>
      <c r="I312" s="91" t="s">
        <v>353</v>
      </c>
      <c r="J312" s="91" t="s">
        <v>361</v>
      </c>
      <c r="K312" s="91" t="s">
        <v>82</v>
      </c>
      <c r="L312" s="91"/>
      <c r="M312" s="91" t="s">
        <v>83</v>
      </c>
      <c r="N312" s="91" t="s">
        <v>50</v>
      </c>
      <c r="O312" s="92">
        <v>0.18</v>
      </c>
      <c r="P312" s="70"/>
      <c r="Q312" s="91"/>
      <c r="R312" s="95">
        <v>8102.9149295775096</v>
      </c>
      <c r="S312" s="95"/>
      <c r="T312" s="94">
        <v>0</v>
      </c>
      <c r="U312" s="94">
        <f t="shared" si="67"/>
        <v>8102.9149295775096</v>
      </c>
      <c r="V312" s="94">
        <f t="shared" si="76"/>
        <v>0</v>
      </c>
      <c r="W312" s="95"/>
      <c r="X312" s="22">
        <f t="shared" si="69"/>
        <v>0</v>
      </c>
      <c r="Y312" s="103">
        <f t="shared" si="79"/>
        <v>0</v>
      </c>
      <c r="Z312" s="94">
        <f t="shared" si="71"/>
        <v>0</v>
      </c>
      <c r="AA312" s="96">
        <v>0.05</v>
      </c>
      <c r="AB312" s="95"/>
      <c r="AC312" s="110"/>
      <c r="AD312" s="110"/>
      <c r="AE312" s="92">
        <v>0.42</v>
      </c>
      <c r="AF312" s="94">
        <f t="shared" si="72"/>
        <v>0</v>
      </c>
      <c r="AG312" s="95">
        <v>0</v>
      </c>
      <c r="AH312" s="94">
        <f t="shared" si="73"/>
        <v>0</v>
      </c>
      <c r="AI312" s="94">
        <v>0</v>
      </c>
      <c r="AJ312" s="94">
        <f t="shared" si="77"/>
        <v>0</v>
      </c>
      <c r="AK312" s="94">
        <f t="shared" si="80"/>
        <v>0</v>
      </c>
    </row>
    <row r="313" spans="1:38">
      <c r="A313" s="90" t="s">
        <v>332</v>
      </c>
      <c r="B313" s="91" t="s">
        <v>28</v>
      </c>
      <c r="C313" s="91" t="s">
        <v>85</v>
      </c>
      <c r="D313" s="91" t="s">
        <v>86</v>
      </c>
      <c r="E313" s="91" t="s">
        <v>109</v>
      </c>
      <c r="F313" s="91" t="s">
        <v>110</v>
      </c>
      <c r="G313" s="91" t="s">
        <v>33</v>
      </c>
      <c r="H313" s="91" t="s">
        <v>34</v>
      </c>
      <c r="I313" s="91" t="s">
        <v>353</v>
      </c>
      <c r="J313" s="91" t="s">
        <v>361</v>
      </c>
      <c r="K313" s="91" t="s">
        <v>82</v>
      </c>
      <c r="L313" s="91"/>
      <c r="M313" s="91" t="s">
        <v>83</v>
      </c>
      <c r="N313" s="91" t="s">
        <v>50</v>
      </c>
      <c r="O313" s="92">
        <v>0.18</v>
      </c>
      <c r="P313" s="70"/>
      <c r="Q313" s="91"/>
      <c r="R313" s="95">
        <v>2063.5353521120301</v>
      </c>
      <c r="S313" s="95"/>
      <c r="T313" s="94">
        <v>0</v>
      </c>
      <c r="U313" s="94">
        <f t="shared" si="67"/>
        <v>2063.5353521120301</v>
      </c>
      <c r="V313" s="94">
        <f t="shared" si="76"/>
        <v>0</v>
      </c>
      <c r="W313" s="95"/>
      <c r="X313" s="22">
        <f t="shared" si="69"/>
        <v>0</v>
      </c>
      <c r="Y313" s="103">
        <f t="shared" si="79"/>
        <v>0</v>
      </c>
      <c r="Z313" s="94">
        <f t="shared" si="71"/>
        <v>0</v>
      </c>
      <c r="AA313" s="96">
        <v>0.05</v>
      </c>
      <c r="AB313" s="95"/>
      <c r="AC313" s="110"/>
      <c r="AD313" s="110"/>
      <c r="AE313" s="92">
        <v>0.42</v>
      </c>
      <c r="AF313" s="94">
        <f t="shared" si="72"/>
        <v>0</v>
      </c>
      <c r="AG313" s="95">
        <v>0</v>
      </c>
      <c r="AH313" s="94">
        <f t="shared" si="73"/>
        <v>0</v>
      </c>
      <c r="AI313" s="94">
        <v>0</v>
      </c>
      <c r="AJ313" s="94">
        <f t="shared" si="77"/>
        <v>0</v>
      </c>
      <c r="AK313" s="94">
        <f t="shared" si="80"/>
        <v>0</v>
      </c>
    </row>
    <row r="314" spans="1:38">
      <c r="A314" s="90" t="s">
        <v>332</v>
      </c>
      <c r="B314" s="91" t="s">
        <v>28</v>
      </c>
      <c r="C314" s="91" t="s">
        <v>85</v>
      </c>
      <c r="D314" s="91" t="s">
        <v>86</v>
      </c>
      <c r="E314" s="91" t="s">
        <v>89</v>
      </c>
      <c r="F314" s="91" t="s">
        <v>90</v>
      </c>
      <c r="G314" s="91" t="s">
        <v>33</v>
      </c>
      <c r="H314" s="91" t="s">
        <v>34</v>
      </c>
      <c r="I314" s="91" t="s">
        <v>353</v>
      </c>
      <c r="J314" s="91" t="s">
        <v>361</v>
      </c>
      <c r="K314" s="91" t="s">
        <v>82</v>
      </c>
      <c r="L314" s="91"/>
      <c r="M314" s="91" t="s">
        <v>83</v>
      </c>
      <c r="N314" s="91" t="s">
        <v>50</v>
      </c>
      <c r="O314" s="92">
        <v>0.03</v>
      </c>
      <c r="P314" s="70"/>
      <c r="Q314" s="91"/>
      <c r="R314" s="95">
        <v>655.37999999978604</v>
      </c>
      <c r="S314" s="95"/>
      <c r="T314" s="94">
        <v>0</v>
      </c>
      <c r="U314" s="94">
        <f t="shared" si="67"/>
        <v>655.37999999978604</v>
      </c>
      <c r="V314" s="94">
        <f t="shared" si="76"/>
        <v>0</v>
      </c>
      <c r="W314" s="95"/>
      <c r="X314" s="22">
        <f t="shared" si="69"/>
        <v>0</v>
      </c>
      <c r="Y314" s="103">
        <f t="shared" si="79"/>
        <v>0</v>
      </c>
      <c r="Z314" s="94">
        <f t="shared" si="71"/>
        <v>0</v>
      </c>
      <c r="AA314" s="96">
        <v>0.05</v>
      </c>
      <c r="AB314" s="95"/>
      <c r="AC314" s="110"/>
      <c r="AD314" s="110"/>
      <c r="AE314" s="92">
        <v>0.42</v>
      </c>
      <c r="AF314" s="94">
        <f t="shared" si="72"/>
        <v>0</v>
      </c>
      <c r="AG314" s="95">
        <v>0</v>
      </c>
      <c r="AH314" s="94">
        <f t="shared" si="73"/>
        <v>0</v>
      </c>
      <c r="AI314" s="94">
        <v>0</v>
      </c>
      <c r="AJ314" s="94">
        <f t="shared" si="77"/>
        <v>0</v>
      </c>
      <c r="AK314" s="94">
        <f t="shared" si="80"/>
        <v>0</v>
      </c>
    </row>
    <row r="315" spans="1:38">
      <c r="A315" s="90" t="s">
        <v>332</v>
      </c>
      <c r="B315" s="91" t="s">
        <v>28</v>
      </c>
      <c r="C315" s="91" t="s">
        <v>85</v>
      </c>
      <c r="D315" s="91" t="s">
        <v>86</v>
      </c>
      <c r="E315" s="91" t="s">
        <v>91</v>
      </c>
      <c r="F315" s="91" t="s">
        <v>92</v>
      </c>
      <c r="G315" s="91" t="s">
        <v>33</v>
      </c>
      <c r="H315" s="91" t="s">
        <v>34</v>
      </c>
      <c r="I315" s="91" t="s">
        <v>353</v>
      </c>
      <c r="J315" s="91" t="s">
        <v>361</v>
      </c>
      <c r="K315" s="91" t="s">
        <v>82</v>
      </c>
      <c r="L315" s="91"/>
      <c r="M315" s="91" t="s">
        <v>83</v>
      </c>
      <c r="N315" s="91" t="s">
        <v>50</v>
      </c>
      <c r="O315" s="92">
        <v>0.22</v>
      </c>
      <c r="P315" s="70"/>
      <c r="Q315" s="91"/>
      <c r="R315" s="95">
        <v>354.84000000002561</v>
      </c>
      <c r="S315" s="95"/>
      <c r="T315" s="94">
        <v>0</v>
      </c>
      <c r="U315" s="94">
        <f t="shared" si="67"/>
        <v>354.84000000002561</v>
      </c>
      <c r="V315" s="94">
        <f t="shared" si="76"/>
        <v>0</v>
      </c>
      <c r="W315" s="95"/>
      <c r="X315" s="22">
        <f t="shared" si="69"/>
        <v>0</v>
      </c>
      <c r="Y315" s="103">
        <f t="shared" si="79"/>
        <v>0</v>
      </c>
      <c r="Z315" s="94">
        <f t="shared" si="71"/>
        <v>0</v>
      </c>
      <c r="AA315" s="96">
        <v>0.05</v>
      </c>
      <c r="AB315" s="95"/>
      <c r="AC315" s="110"/>
      <c r="AD315" s="110"/>
      <c r="AE315" s="92">
        <v>0.42</v>
      </c>
      <c r="AF315" s="94">
        <f t="shared" si="72"/>
        <v>0</v>
      </c>
      <c r="AG315" s="95">
        <v>0</v>
      </c>
      <c r="AH315" s="94">
        <f t="shared" si="73"/>
        <v>0</v>
      </c>
      <c r="AI315" s="94">
        <v>0</v>
      </c>
      <c r="AJ315" s="94">
        <f t="shared" si="77"/>
        <v>0</v>
      </c>
      <c r="AK315" s="94">
        <f t="shared" si="80"/>
        <v>0</v>
      </c>
    </row>
    <row r="316" spans="1:38">
      <c r="A316" s="90" t="s">
        <v>332</v>
      </c>
      <c r="B316" s="91" t="s">
        <v>28</v>
      </c>
      <c r="C316" s="91" t="s">
        <v>85</v>
      </c>
      <c r="D316" s="91" t="s">
        <v>86</v>
      </c>
      <c r="E316" s="91" t="s">
        <v>96</v>
      </c>
      <c r="F316" s="91" t="s">
        <v>97</v>
      </c>
      <c r="G316" s="91" t="s">
        <v>33</v>
      </c>
      <c r="H316" s="91" t="s">
        <v>34</v>
      </c>
      <c r="I316" s="91" t="s">
        <v>353</v>
      </c>
      <c r="J316" s="91" t="s">
        <v>361</v>
      </c>
      <c r="K316" s="91" t="s">
        <v>82</v>
      </c>
      <c r="L316" s="91"/>
      <c r="M316" s="91" t="s">
        <v>83</v>
      </c>
      <c r="N316" s="91" t="s">
        <v>50</v>
      </c>
      <c r="O316" s="92">
        <v>0.04</v>
      </c>
      <c r="P316" s="70"/>
      <c r="Q316" s="91"/>
      <c r="R316" s="95">
        <v>227.30774647876399</v>
      </c>
      <c r="S316" s="95"/>
      <c r="T316" s="94">
        <v>0</v>
      </c>
      <c r="U316" s="94">
        <f t="shared" si="67"/>
        <v>227.30774647876399</v>
      </c>
      <c r="V316" s="94">
        <f t="shared" si="76"/>
        <v>0</v>
      </c>
      <c r="W316" s="95"/>
      <c r="X316" s="22">
        <f t="shared" si="69"/>
        <v>0</v>
      </c>
      <c r="Y316" s="103">
        <f t="shared" si="79"/>
        <v>0</v>
      </c>
      <c r="Z316" s="94">
        <f t="shared" si="71"/>
        <v>0</v>
      </c>
      <c r="AA316" s="96">
        <v>0.05</v>
      </c>
      <c r="AB316" s="95"/>
      <c r="AC316" s="110"/>
      <c r="AD316" s="110"/>
      <c r="AE316" s="92">
        <v>0.42</v>
      </c>
      <c r="AF316" s="94">
        <f t="shared" si="72"/>
        <v>0</v>
      </c>
      <c r="AG316" s="95">
        <v>0</v>
      </c>
      <c r="AH316" s="94">
        <f t="shared" si="73"/>
        <v>0</v>
      </c>
      <c r="AI316" s="94">
        <v>0</v>
      </c>
      <c r="AJ316" s="94">
        <f t="shared" si="77"/>
        <v>0</v>
      </c>
      <c r="AK316" s="94">
        <f t="shared" si="80"/>
        <v>0</v>
      </c>
    </row>
    <row r="317" spans="1:38">
      <c r="A317" s="90" t="s">
        <v>332</v>
      </c>
      <c r="B317" s="91" t="s">
        <v>28</v>
      </c>
      <c r="C317" s="91" t="s">
        <v>85</v>
      </c>
      <c r="D317" s="91" t="s">
        <v>86</v>
      </c>
      <c r="E317" s="91" t="s">
        <v>80</v>
      </c>
      <c r="F317" s="91" t="s">
        <v>98</v>
      </c>
      <c r="G317" s="91" t="s">
        <v>33</v>
      </c>
      <c r="H317" s="91" t="s">
        <v>34</v>
      </c>
      <c r="I317" s="91" t="s">
        <v>353</v>
      </c>
      <c r="J317" s="91" t="s">
        <v>361</v>
      </c>
      <c r="K317" s="91" t="s">
        <v>82</v>
      </c>
      <c r="L317" s="91"/>
      <c r="M317" s="91" t="s">
        <v>83</v>
      </c>
      <c r="N317" s="91" t="s">
        <v>50</v>
      </c>
      <c r="O317" s="92">
        <v>0.23</v>
      </c>
      <c r="P317" s="70"/>
      <c r="Q317" s="91"/>
      <c r="R317" s="95">
        <v>152.264929577999</v>
      </c>
      <c r="S317" s="95"/>
      <c r="T317" s="94">
        <v>0</v>
      </c>
      <c r="U317" s="94">
        <f t="shared" si="67"/>
        <v>152.264929577999</v>
      </c>
      <c r="V317" s="94">
        <f t="shared" si="76"/>
        <v>0</v>
      </c>
      <c r="W317" s="95"/>
      <c r="X317" s="22">
        <f t="shared" si="69"/>
        <v>0</v>
      </c>
      <c r="Y317" s="103">
        <f t="shared" si="79"/>
        <v>0</v>
      </c>
      <c r="Z317" s="94">
        <f t="shared" si="71"/>
        <v>0</v>
      </c>
      <c r="AA317" s="96">
        <v>0.05</v>
      </c>
      <c r="AB317" s="95"/>
      <c r="AC317" s="110"/>
      <c r="AD317" s="110"/>
      <c r="AE317" s="92">
        <v>0.42</v>
      </c>
      <c r="AF317" s="94">
        <f t="shared" si="72"/>
        <v>0</v>
      </c>
      <c r="AG317" s="95">
        <v>0</v>
      </c>
      <c r="AH317" s="94">
        <f t="shared" si="73"/>
        <v>0</v>
      </c>
      <c r="AI317" s="94">
        <v>0</v>
      </c>
      <c r="AJ317" s="94">
        <f t="shared" si="77"/>
        <v>0</v>
      </c>
      <c r="AK317" s="94">
        <f t="shared" si="80"/>
        <v>0</v>
      </c>
    </row>
    <row r="318" spans="1:38">
      <c r="A318" s="90" t="s">
        <v>332</v>
      </c>
      <c r="B318" s="91" t="s">
        <v>28</v>
      </c>
      <c r="C318" s="91" t="s">
        <v>85</v>
      </c>
      <c r="D318" s="91" t="s">
        <v>86</v>
      </c>
      <c r="E318" s="91" t="s">
        <v>99</v>
      </c>
      <c r="F318" s="91" t="s">
        <v>100</v>
      </c>
      <c r="G318" s="91" t="s">
        <v>33</v>
      </c>
      <c r="H318" s="91" t="s">
        <v>34</v>
      </c>
      <c r="I318" s="91" t="s">
        <v>353</v>
      </c>
      <c r="J318" s="91" t="s">
        <v>361</v>
      </c>
      <c r="K318" s="91" t="s">
        <v>82</v>
      </c>
      <c r="L318" s="91"/>
      <c r="M318" s="91" t="s">
        <v>83</v>
      </c>
      <c r="N318" s="91" t="s">
        <v>50</v>
      </c>
      <c r="O318" s="92">
        <v>0.13</v>
      </c>
      <c r="P318" s="70"/>
      <c r="Q318" s="91"/>
      <c r="R318" s="95">
        <v>-30329.470000000056</v>
      </c>
      <c r="S318" s="95"/>
      <c r="T318" s="94">
        <v>0</v>
      </c>
      <c r="U318" s="94">
        <f t="shared" si="67"/>
        <v>-30329.470000000056</v>
      </c>
      <c r="V318" s="94">
        <f t="shared" si="76"/>
        <v>0</v>
      </c>
      <c r="W318" s="95"/>
      <c r="X318" s="22">
        <f t="shared" si="69"/>
        <v>0</v>
      </c>
      <c r="Y318" s="103">
        <f t="shared" si="79"/>
        <v>0</v>
      </c>
      <c r="Z318" s="94">
        <f t="shared" si="71"/>
        <v>0</v>
      </c>
      <c r="AA318" s="96">
        <v>0.05</v>
      </c>
      <c r="AB318" s="95"/>
      <c r="AC318" s="110"/>
      <c r="AD318" s="110"/>
      <c r="AE318" s="92">
        <v>0.42</v>
      </c>
      <c r="AF318" s="94">
        <f t="shared" si="72"/>
        <v>0</v>
      </c>
      <c r="AG318" s="95">
        <v>0</v>
      </c>
      <c r="AH318" s="94">
        <f t="shared" si="73"/>
        <v>0</v>
      </c>
      <c r="AI318" s="94">
        <v>0</v>
      </c>
      <c r="AJ318" s="94">
        <f t="shared" si="77"/>
        <v>0</v>
      </c>
      <c r="AK318" s="94">
        <f t="shared" si="80"/>
        <v>0</v>
      </c>
    </row>
    <row r="319" spans="1:38">
      <c r="A319" s="90" t="s">
        <v>332</v>
      </c>
      <c r="B319" s="91" t="s">
        <v>28</v>
      </c>
      <c r="C319" s="91" t="s">
        <v>85</v>
      </c>
      <c r="D319" s="91" t="s">
        <v>86</v>
      </c>
      <c r="E319" s="91" t="s">
        <v>101</v>
      </c>
      <c r="F319" s="91" t="s">
        <v>102</v>
      </c>
      <c r="G319" s="91" t="s">
        <v>33</v>
      </c>
      <c r="H319" s="91" t="s">
        <v>34</v>
      </c>
      <c r="I319" s="91" t="s">
        <v>353</v>
      </c>
      <c r="J319" s="91" t="s">
        <v>361</v>
      </c>
      <c r="K319" s="91" t="s">
        <v>82</v>
      </c>
      <c r="L319" s="91"/>
      <c r="M319" s="91" t="s">
        <v>83</v>
      </c>
      <c r="N319" s="91" t="s">
        <v>50</v>
      </c>
      <c r="O319" s="92">
        <v>0.03</v>
      </c>
      <c r="P319" s="70"/>
      <c r="Q319" s="91"/>
      <c r="R319" s="95">
        <v>425.555211267598</v>
      </c>
      <c r="S319" s="95"/>
      <c r="T319" s="94">
        <v>0</v>
      </c>
      <c r="U319" s="94">
        <f t="shared" si="67"/>
        <v>425.555211267598</v>
      </c>
      <c r="V319" s="94">
        <f t="shared" si="76"/>
        <v>0</v>
      </c>
      <c r="W319" s="95"/>
      <c r="X319" s="22">
        <f t="shared" si="69"/>
        <v>0</v>
      </c>
      <c r="Y319" s="103">
        <f t="shared" si="79"/>
        <v>0</v>
      </c>
      <c r="Z319" s="94">
        <f t="shared" si="71"/>
        <v>0</v>
      </c>
      <c r="AA319" s="96">
        <v>0.05</v>
      </c>
      <c r="AB319" s="95"/>
      <c r="AC319" s="110"/>
      <c r="AD319" s="110"/>
      <c r="AE319" s="92">
        <v>0.42</v>
      </c>
      <c r="AF319" s="94">
        <f t="shared" si="72"/>
        <v>0</v>
      </c>
      <c r="AG319" s="95">
        <v>0</v>
      </c>
      <c r="AH319" s="94">
        <f t="shared" si="73"/>
        <v>0</v>
      </c>
      <c r="AI319" s="94">
        <v>0</v>
      </c>
      <c r="AJ319" s="94">
        <f t="shared" si="77"/>
        <v>0</v>
      </c>
      <c r="AK319" s="94">
        <f t="shared" si="80"/>
        <v>0</v>
      </c>
    </row>
    <row r="320" spans="1:38">
      <c r="A320" s="90" t="s">
        <v>332</v>
      </c>
      <c r="B320" s="91" t="s">
        <v>28</v>
      </c>
      <c r="C320" s="91" t="s">
        <v>85</v>
      </c>
      <c r="D320" s="91" t="s">
        <v>86</v>
      </c>
      <c r="E320" s="91" t="s">
        <v>103</v>
      </c>
      <c r="F320" s="91" t="s">
        <v>104</v>
      </c>
      <c r="G320" s="91" t="s">
        <v>33</v>
      </c>
      <c r="H320" s="91" t="s">
        <v>34</v>
      </c>
      <c r="I320" s="91" t="s">
        <v>353</v>
      </c>
      <c r="J320" s="91" t="s">
        <v>361</v>
      </c>
      <c r="K320" s="91" t="s">
        <v>82</v>
      </c>
      <c r="L320" s="91"/>
      <c r="M320" s="91" t="s">
        <v>83</v>
      </c>
      <c r="N320" s="91" t="s">
        <v>50</v>
      </c>
      <c r="O320" s="92">
        <v>0.22</v>
      </c>
      <c r="P320" s="70"/>
      <c r="Q320" s="91"/>
      <c r="R320" s="95">
        <v>1402.38690140774</v>
      </c>
      <c r="S320" s="95"/>
      <c r="T320" s="94">
        <v>0</v>
      </c>
      <c r="U320" s="94">
        <f t="shared" si="67"/>
        <v>1402.38690140774</v>
      </c>
      <c r="V320" s="94">
        <f t="shared" si="76"/>
        <v>0</v>
      </c>
      <c r="W320" s="95"/>
      <c r="X320" s="22">
        <f t="shared" si="69"/>
        <v>0</v>
      </c>
      <c r="Y320" s="103">
        <f t="shared" si="79"/>
        <v>0</v>
      </c>
      <c r="Z320" s="94">
        <f t="shared" si="71"/>
        <v>0</v>
      </c>
      <c r="AA320" s="96">
        <v>0.05</v>
      </c>
      <c r="AB320" s="95"/>
      <c r="AC320" s="110"/>
      <c r="AD320" s="110"/>
      <c r="AE320" s="92">
        <v>0.42</v>
      </c>
      <c r="AF320" s="94">
        <f t="shared" si="72"/>
        <v>0</v>
      </c>
      <c r="AG320" s="95">
        <v>0</v>
      </c>
      <c r="AH320" s="94">
        <f t="shared" si="73"/>
        <v>0</v>
      </c>
      <c r="AI320" s="94">
        <v>0</v>
      </c>
      <c r="AJ320" s="94">
        <f t="shared" si="77"/>
        <v>0</v>
      </c>
      <c r="AK320" s="94">
        <f t="shared" si="80"/>
        <v>0</v>
      </c>
    </row>
    <row r="321" spans="1:37">
      <c r="A321" s="90" t="s">
        <v>332</v>
      </c>
      <c r="B321" s="91" t="s">
        <v>28</v>
      </c>
      <c r="C321" s="91" t="s">
        <v>85</v>
      </c>
      <c r="D321" s="91" t="s">
        <v>86</v>
      </c>
      <c r="E321" s="91" t="s">
        <v>105</v>
      </c>
      <c r="F321" s="91" t="s">
        <v>106</v>
      </c>
      <c r="G321" s="91" t="s">
        <v>33</v>
      </c>
      <c r="H321" s="91" t="s">
        <v>34</v>
      </c>
      <c r="I321" s="91" t="s">
        <v>353</v>
      </c>
      <c r="J321" s="91" t="s">
        <v>361</v>
      </c>
      <c r="K321" s="91" t="s">
        <v>82</v>
      </c>
      <c r="L321" s="91"/>
      <c r="M321" s="91" t="s">
        <v>83</v>
      </c>
      <c r="N321" s="91" t="s">
        <v>50</v>
      </c>
      <c r="O321" s="92">
        <v>0.23</v>
      </c>
      <c r="P321" s="70"/>
      <c r="Q321" s="91"/>
      <c r="R321" s="95">
        <v>12961.68</v>
      </c>
      <c r="S321" s="95"/>
      <c r="T321" s="94">
        <v>0</v>
      </c>
      <c r="U321" s="94">
        <f t="shared" si="67"/>
        <v>12961.68</v>
      </c>
      <c r="V321" s="94">
        <f t="shared" si="76"/>
        <v>0</v>
      </c>
      <c r="W321" s="95"/>
      <c r="X321" s="22">
        <f t="shared" si="69"/>
        <v>0</v>
      </c>
      <c r="Y321" s="103">
        <f t="shared" si="79"/>
        <v>0</v>
      </c>
      <c r="Z321" s="94">
        <f t="shared" si="71"/>
        <v>0</v>
      </c>
      <c r="AA321" s="96">
        <v>0.05</v>
      </c>
      <c r="AB321" s="95"/>
      <c r="AC321" s="110"/>
      <c r="AD321" s="110"/>
      <c r="AE321" s="92">
        <v>0.42</v>
      </c>
      <c r="AF321" s="94">
        <f t="shared" si="72"/>
        <v>0</v>
      </c>
      <c r="AG321" s="95">
        <v>0</v>
      </c>
      <c r="AH321" s="94">
        <f t="shared" si="73"/>
        <v>0</v>
      </c>
      <c r="AI321" s="94">
        <v>0</v>
      </c>
      <c r="AJ321" s="94">
        <f t="shared" si="77"/>
        <v>0</v>
      </c>
      <c r="AK321" s="94">
        <f t="shared" si="80"/>
        <v>0</v>
      </c>
    </row>
    <row r="322" spans="1:37">
      <c r="A322" s="90" t="s">
        <v>332</v>
      </c>
      <c r="B322" s="91" t="s">
        <v>28</v>
      </c>
      <c r="C322" s="91" t="s">
        <v>85</v>
      </c>
      <c r="D322" s="91" t="s">
        <v>86</v>
      </c>
      <c r="E322" s="91" t="s">
        <v>107</v>
      </c>
      <c r="F322" s="91" t="s">
        <v>108</v>
      </c>
      <c r="G322" s="91" t="s">
        <v>33</v>
      </c>
      <c r="H322" s="91" t="s">
        <v>34</v>
      </c>
      <c r="I322" s="91" t="s">
        <v>353</v>
      </c>
      <c r="J322" s="91" t="s">
        <v>361</v>
      </c>
      <c r="K322" s="91" t="s">
        <v>82</v>
      </c>
      <c r="L322" s="91"/>
      <c r="M322" s="91" t="s">
        <v>83</v>
      </c>
      <c r="N322" s="91" t="s">
        <v>50</v>
      </c>
      <c r="O322" s="92">
        <v>0.13</v>
      </c>
      <c r="P322" s="70"/>
      <c r="Q322" s="91"/>
      <c r="R322" s="95">
        <v>143.460985915328</v>
      </c>
      <c r="S322" s="95"/>
      <c r="T322" s="94">
        <v>0</v>
      </c>
      <c r="U322" s="94">
        <f t="shared" si="67"/>
        <v>143.460985915328</v>
      </c>
      <c r="V322" s="94">
        <f t="shared" si="76"/>
        <v>0</v>
      </c>
      <c r="W322" s="95"/>
      <c r="X322" s="22">
        <f t="shared" si="69"/>
        <v>0</v>
      </c>
      <c r="Y322" s="103">
        <f t="shared" si="79"/>
        <v>0</v>
      </c>
      <c r="Z322" s="94">
        <f t="shared" si="71"/>
        <v>0</v>
      </c>
      <c r="AA322" s="96">
        <v>0.05</v>
      </c>
      <c r="AB322" s="95"/>
      <c r="AC322" s="110"/>
      <c r="AD322" s="110"/>
      <c r="AE322" s="92">
        <v>0.42</v>
      </c>
      <c r="AF322" s="94">
        <f t="shared" si="72"/>
        <v>0</v>
      </c>
      <c r="AG322" s="95">
        <v>0</v>
      </c>
      <c r="AH322" s="94">
        <f t="shared" si="73"/>
        <v>0</v>
      </c>
      <c r="AI322" s="94">
        <v>0</v>
      </c>
      <c r="AJ322" s="94">
        <f t="shared" si="77"/>
        <v>0</v>
      </c>
      <c r="AK322" s="94">
        <f t="shared" si="80"/>
        <v>0</v>
      </c>
    </row>
    <row r="323" spans="1:37">
      <c r="A323" s="90" t="s">
        <v>332</v>
      </c>
      <c r="B323" s="91" t="s">
        <v>28</v>
      </c>
      <c r="C323" s="91" t="s">
        <v>85</v>
      </c>
      <c r="D323" s="91" t="s">
        <v>111</v>
      </c>
      <c r="E323" s="91" t="s">
        <v>112</v>
      </c>
      <c r="F323" s="91" t="s">
        <v>113</v>
      </c>
      <c r="G323" s="91" t="s">
        <v>33</v>
      </c>
      <c r="H323" s="91" t="s">
        <v>34</v>
      </c>
      <c r="I323" s="91" t="s">
        <v>353</v>
      </c>
      <c r="J323" s="91" t="s">
        <v>361</v>
      </c>
      <c r="K323" s="91" t="s">
        <v>82</v>
      </c>
      <c r="L323" s="91"/>
      <c r="M323" s="91" t="s">
        <v>83</v>
      </c>
      <c r="N323" s="91" t="s">
        <v>50</v>
      </c>
      <c r="O323" s="92">
        <v>0.18</v>
      </c>
      <c r="P323" s="70"/>
      <c r="Q323" s="91"/>
      <c r="R323" s="95">
        <v>42851.614929578005</v>
      </c>
      <c r="S323" s="95"/>
      <c r="T323" s="94">
        <v>0</v>
      </c>
      <c r="U323" s="94">
        <f t="shared" si="67"/>
        <v>42851.614929578005</v>
      </c>
      <c r="V323" s="94">
        <f t="shared" si="76"/>
        <v>0</v>
      </c>
      <c r="W323" s="95"/>
      <c r="X323" s="22">
        <f t="shared" si="69"/>
        <v>0</v>
      </c>
      <c r="Y323" s="103">
        <f t="shared" si="79"/>
        <v>0</v>
      </c>
      <c r="Z323" s="94">
        <f t="shared" si="71"/>
        <v>0</v>
      </c>
      <c r="AA323" s="96">
        <v>0.05</v>
      </c>
      <c r="AB323" s="95"/>
      <c r="AC323" s="110"/>
      <c r="AD323" s="110"/>
      <c r="AE323" s="92">
        <v>0.42</v>
      </c>
      <c r="AF323" s="94">
        <f t="shared" si="72"/>
        <v>0</v>
      </c>
      <c r="AG323" s="95">
        <v>29942.36</v>
      </c>
      <c r="AH323" s="94">
        <f t="shared" si="73"/>
        <v>0</v>
      </c>
      <c r="AI323" s="94">
        <v>0</v>
      </c>
      <c r="AJ323" s="94">
        <f t="shared" si="77"/>
        <v>29942.36</v>
      </c>
      <c r="AK323" s="94">
        <f t="shared" si="80"/>
        <v>0</v>
      </c>
    </row>
    <row r="324" spans="1:37">
      <c r="A324" s="90" t="s">
        <v>332</v>
      </c>
      <c r="B324" s="91" t="s">
        <v>28</v>
      </c>
      <c r="C324" s="91" t="s">
        <v>85</v>
      </c>
      <c r="D324" s="91" t="s">
        <v>111</v>
      </c>
      <c r="E324" s="91" t="s">
        <v>82</v>
      </c>
      <c r="F324" s="91" t="s">
        <v>114</v>
      </c>
      <c r="G324" s="91" t="s">
        <v>33</v>
      </c>
      <c r="H324" s="91" t="s">
        <v>34</v>
      </c>
      <c r="I324" s="91" t="s">
        <v>353</v>
      </c>
      <c r="J324" s="91" t="s">
        <v>361</v>
      </c>
      <c r="K324" s="91" t="s">
        <v>82</v>
      </c>
      <c r="L324" s="91"/>
      <c r="M324" s="91" t="s">
        <v>83</v>
      </c>
      <c r="N324" s="91" t="s">
        <v>50</v>
      </c>
      <c r="O324" s="92">
        <v>0.08</v>
      </c>
      <c r="P324" s="70"/>
      <c r="Q324" s="91"/>
      <c r="R324" s="95">
        <v>29897.39</v>
      </c>
      <c r="S324" s="95"/>
      <c r="T324" s="94">
        <v>0</v>
      </c>
      <c r="U324" s="94">
        <f t="shared" si="67"/>
        <v>29897.39</v>
      </c>
      <c r="V324" s="94">
        <f t="shared" si="76"/>
        <v>0</v>
      </c>
      <c r="W324" s="95"/>
      <c r="X324" s="22">
        <f t="shared" si="69"/>
        <v>0</v>
      </c>
      <c r="Y324" s="103">
        <f t="shared" si="79"/>
        <v>0</v>
      </c>
      <c r="Z324" s="94">
        <f t="shared" si="71"/>
        <v>0</v>
      </c>
      <c r="AA324" s="96">
        <v>0.05</v>
      </c>
      <c r="AB324" s="95"/>
      <c r="AC324" s="110"/>
      <c r="AD324" s="110"/>
      <c r="AE324" s="92">
        <v>0.42</v>
      </c>
      <c r="AF324" s="94">
        <f t="shared" si="72"/>
        <v>0</v>
      </c>
      <c r="AG324" s="95">
        <v>0</v>
      </c>
      <c r="AH324" s="94">
        <f t="shared" si="73"/>
        <v>0</v>
      </c>
      <c r="AI324" s="94">
        <v>0</v>
      </c>
      <c r="AJ324" s="94">
        <f t="shared" si="77"/>
        <v>0</v>
      </c>
      <c r="AK324" s="94">
        <f t="shared" si="80"/>
        <v>0</v>
      </c>
    </row>
    <row r="325" spans="1:37">
      <c r="A325" s="90" t="s">
        <v>332</v>
      </c>
      <c r="B325" s="91" t="s">
        <v>28</v>
      </c>
      <c r="C325" s="91" t="s">
        <v>85</v>
      </c>
      <c r="D325" s="91" t="s">
        <v>111</v>
      </c>
      <c r="E325" s="91" t="s">
        <v>115</v>
      </c>
      <c r="F325" s="91" t="s">
        <v>116</v>
      </c>
      <c r="G325" s="91" t="s">
        <v>33</v>
      </c>
      <c r="H325" s="91" t="s">
        <v>34</v>
      </c>
      <c r="I325" s="91" t="s">
        <v>353</v>
      </c>
      <c r="J325" s="91" t="s">
        <v>361</v>
      </c>
      <c r="K325" s="91" t="s">
        <v>82</v>
      </c>
      <c r="L325" s="91"/>
      <c r="M325" s="91" t="s">
        <v>83</v>
      </c>
      <c r="N325" s="91" t="s">
        <v>50</v>
      </c>
      <c r="O325" s="92">
        <v>0.08</v>
      </c>
      <c r="P325" s="70"/>
      <c r="Q325" s="91"/>
      <c r="R325" s="95">
        <v>20014.111126760599</v>
      </c>
      <c r="S325" s="95"/>
      <c r="T325" s="94">
        <v>0</v>
      </c>
      <c r="U325" s="94">
        <f t="shared" si="67"/>
        <v>20014.111126760599</v>
      </c>
      <c r="V325" s="94">
        <f t="shared" si="76"/>
        <v>0</v>
      </c>
      <c r="W325" s="95"/>
      <c r="X325" s="22">
        <f t="shared" si="69"/>
        <v>0</v>
      </c>
      <c r="Y325" s="103">
        <f t="shared" si="79"/>
        <v>0</v>
      </c>
      <c r="Z325" s="94">
        <f t="shared" si="71"/>
        <v>0</v>
      </c>
      <c r="AA325" s="96">
        <v>0.05</v>
      </c>
      <c r="AB325" s="95"/>
      <c r="AC325" s="110"/>
      <c r="AD325" s="110"/>
      <c r="AE325" s="92">
        <v>0.42</v>
      </c>
      <c r="AF325" s="94">
        <f t="shared" si="72"/>
        <v>0</v>
      </c>
      <c r="AG325" s="95">
        <v>0</v>
      </c>
      <c r="AH325" s="94">
        <f t="shared" si="73"/>
        <v>0</v>
      </c>
      <c r="AI325" s="94">
        <v>0</v>
      </c>
      <c r="AJ325" s="94">
        <f t="shared" si="77"/>
        <v>0</v>
      </c>
      <c r="AK325" s="94">
        <f t="shared" si="80"/>
        <v>0</v>
      </c>
    </row>
    <row r="326" spans="1:37">
      <c r="A326" s="90" t="s">
        <v>332</v>
      </c>
      <c r="B326" s="91" t="s">
        <v>28</v>
      </c>
      <c r="C326" s="91" t="s">
        <v>85</v>
      </c>
      <c r="D326" s="91" t="s">
        <v>111</v>
      </c>
      <c r="E326" s="91" t="s">
        <v>117</v>
      </c>
      <c r="F326" s="91" t="s">
        <v>118</v>
      </c>
      <c r="G326" s="91" t="s">
        <v>33</v>
      </c>
      <c r="H326" s="91" t="s">
        <v>34</v>
      </c>
      <c r="I326" s="91" t="s">
        <v>353</v>
      </c>
      <c r="J326" s="91" t="s">
        <v>361</v>
      </c>
      <c r="K326" s="91" t="s">
        <v>82</v>
      </c>
      <c r="L326" s="91"/>
      <c r="M326" s="91" t="s">
        <v>83</v>
      </c>
      <c r="N326" s="91" t="s">
        <v>50</v>
      </c>
      <c r="O326" s="92">
        <v>0.04</v>
      </c>
      <c r="P326" s="70"/>
      <c r="Q326" s="91"/>
      <c r="R326" s="95">
        <v>322.47394365991897</v>
      </c>
      <c r="S326" s="95"/>
      <c r="T326" s="94">
        <v>0</v>
      </c>
      <c r="U326" s="94">
        <f t="shared" si="67"/>
        <v>322.47394365991897</v>
      </c>
      <c r="V326" s="94">
        <f t="shared" si="76"/>
        <v>0</v>
      </c>
      <c r="W326" s="95"/>
      <c r="X326" s="22">
        <f t="shared" si="69"/>
        <v>0</v>
      </c>
      <c r="Y326" s="103">
        <f t="shared" si="79"/>
        <v>0</v>
      </c>
      <c r="Z326" s="94">
        <f t="shared" si="71"/>
        <v>0</v>
      </c>
      <c r="AA326" s="96">
        <v>0.05</v>
      </c>
      <c r="AB326" s="95"/>
      <c r="AC326" s="110"/>
      <c r="AD326" s="110"/>
      <c r="AE326" s="92">
        <v>0.42</v>
      </c>
      <c r="AF326" s="94">
        <f t="shared" si="72"/>
        <v>0</v>
      </c>
      <c r="AG326" s="95">
        <v>0</v>
      </c>
      <c r="AH326" s="94">
        <f t="shared" si="73"/>
        <v>0</v>
      </c>
      <c r="AI326" s="94">
        <v>0</v>
      </c>
      <c r="AJ326" s="94">
        <f t="shared" si="77"/>
        <v>0</v>
      </c>
      <c r="AK326" s="94">
        <f t="shared" si="80"/>
        <v>0</v>
      </c>
    </row>
    <row r="327" spans="1:37">
      <c r="A327" s="90" t="s">
        <v>332</v>
      </c>
      <c r="B327" s="91" t="s">
        <v>28</v>
      </c>
      <c r="C327" s="91" t="s">
        <v>85</v>
      </c>
      <c r="D327" s="91" t="s">
        <v>111</v>
      </c>
      <c r="E327" s="91" t="s">
        <v>119</v>
      </c>
      <c r="F327" s="91" t="s">
        <v>120</v>
      </c>
      <c r="G327" s="91" t="s">
        <v>33</v>
      </c>
      <c r="H327" s="91" t="s">
        <v>34</v>
      </c>
      <c r="I327" s="91" t="s">
        <v>353</v>
      </c>
      <c r="J327" s="91" t="s">
        <v>361</v>
      </c>
      <c r="K327" s="91" t="s">
        <v>82</v>
      </c>
      <c r="L327" s="91"/>
      <c r="M327" s="91" t="s">
        <v>83</v>
      </c>
      <c r="N327" s="91" t="s">
        <v>50</v>
      </c>
      <c r="O327" s="92">
        <v>0.23</v>
      </c>
      <c r="P327" s="70"/>
      <c r="Q327" s="91"/>
      <c r="R327" s="95">
        <v>196.54507042269699</v>
      </c>
      <c r="S327" s="95"/>
      <c r="T327" s="94">
        <v>0</v>
      </c>
      <c r="U327" s="94">
        <f t="shared" si="67"/>
        <v>196.54507042269699</v>
      </c>
      <c r="V327" s="94">
        <f t="shared" si="76"/>
        <v>0</v>
      </c>
      <c r="W327" s="95"/>
      <c r="X327" s="22">
        <f t="shared" si="69"/>
        <v>0</v>
      </c>
      <c r="Y327" s="103">
        <f t="shared" si="79"/>
        <v>0</v>
      </c>
      <c r="Z327" s="94">
        <f t="shared" si="71"/>
        <v>0</v>
      </c>
      <c r="AA327" s="96">
        <v>0.05</v>
      </c>
      <c r="AB327" s="95"/>
      <c r="AC327" s="110"/>
      <c r="AD327" s="110"/>
      <c r="AE327" s="92">
        <v>0.42</v>
      </c>
      <c r="AF327" s="94">
        <f t="shared" si="72"/>
        <v>0</v>
      </c>
      <c r="AG327" s="95">
        <v>0</v>
      </c>
      <c r="AH327" s="94">
        <f t="shared" si="73"/>
        <v>0</v>
      </c>
      <c r="AI327" s="94">
        <v>0</v>
      </c>
      <c r="AJ327" s="94">
        <f t="shared" si="77"/>
        <v>0</v>
      </c>
      <c r="AK327" s="94">
        <f t="shared" si="80"/>
        <v>0</v>
      </c>
    </row>
    <row r="328" spans="1:37">
      <c r="A328" s="90" t="s">
        <v>332</v>
      </c>
      <c r="B328" s="91" t="s">
        <v>28</v>
      </c>
      <c r="C328" s="91" t="s">
        <v>85</v>
      </c>
      <c r="D328" s="91" t="s">
        <v>111</v>
      </c>
      <c r="E328" s="91" t="s">
        <v>121</v>
      </c>
      <c r="F328" s="91" t="s">
        <v>122</v>
      </c>
      <c r="G328" s="91" t="s">
        <v>33</v>
      </c>
      <c r="H328" s="91" t="s">
        <v>34</v>
      </c>
      <c r="I328" s="91" t="s">
        <v>353</v>
      </c>
      <c r="J328" s="91" t="s">
        <v>361</v>
      </c>
      <c r="K328" s="91" t="s">
        <v>82</v>
      </c>
      <c r="L328" s="91"/>
      <c r="M328" s="91" t="s">
        <v>83</v>
      </c>
      <c r="N328" s="91" t="s">
        <v>50</v>
      </c>
      <c r="O328" s="92">
        <v>0.03</v>
      </c>
      <c r="P328" s="70"/>
      <c r="Q328" s="91"/>
      <c r="R328" s="95">
        <v>1513.0032394366101</v>
      </c>
      <c r="S328" s="95"/>
      <c r="T328" s="94">
        <v>0</v>
      </c>
      <c r="U328" s="94">
        <f t="shared" si="67"/>
        <v>1513.0032394366101</v>
      </c>
      <c r="V328" s="94">
        <f t="shared" si="76"/>
        <v>0</v>
      </c>
      <c r="W328" s="95"/>
      <c r="X328" s="22">
        <f t="shared" si="69"/>
        <v>0</v>
      </c>
      <c r="Y328" s="103">
        <f t="shared" si="79"/>
        <v>0</v>
      </c>
      <c r="Z328" s="94">
        <f t="shared" si="71"/>
        <v>0</v>
      </c>
      <c r="AA328" s="96">
        <v>0.05</v>
      </c>
      <c r="AB328" s="95"/>
      <c r="AC328" s="110"/>
      <c r="AD328" s="110"/>
      <c r="AE328" s="92">
        <v>0.42</v>
      </c>
      <c r="AF328" s="94">
        <f t="shared" si="72"/>
        <v>0</v>
      </c>
      <c r="AG328" s="95">
        <v>0</v>
      </c>
      <c r="AH328" s="94">
        <f t="shared" si="73"/>
        <v>0</v>
      </c>
      <c r="AI328" s="94">
        <v>0</v>
      </c>
      <c r="AJ328" s="94">
        <f t="shared" si="77"/>
        <v>0</v>
      </c>
      <c r="AK328" s="94">
        <f t="shared" si="80"/>
        <v>0</v>
      </c>
    </row>
    <row r="329" spans="1:37">
      <c r="A329" s="90" t="s">
        <v>332</v>
      </c>
      <c r="B329" s="91" t="s">
        <v>28</v>
      </c>
      <c r="C329" s="91" t="s">
        <v>85</v>
      </c>
      <c r="D329" s="91" t="s">
        <v>111</v>
      </c>
      <c r="E329" s="91" t="s">
        <v>123</v>
      </c>
      <c r="F329" s="91" t="s">
        <v>124</v>
      </c>
      <c r="G329" s="91" t="s">
        <v>33</v>
      </c>
      <c r="H329" s="91" t="s">
        <v>34</v>
      </c>
      <c r="I329" s="91" t="s">
        <v>353</v>
      </c>
      <c r="J329" s="91" t="s">
        <v>361</v>
      </c>
      <c r="K329" s="91" t="s">
        <v>82</v>
      </c>
      <c r="L329" s="91"/>
      <c r="M329" s="91" t="s">
        <v>83</v>
      </c>
      <c r="N329" s="91" t="s">
        <v>50</v>
      </c>
      <c r="O329" s="92">
        <v>0.03</v>
      </c>
      <c r="P329" s="70"/>
      <c r="Q329" s="91"/>
      <c r="R329" s="95">
        <v>6504.6216901406997</v>
      </c>
      <c r="S329" s="95"/>
      <c r="T329" s="94">
        <v>0</v>
      </c>
      <c r="U329" s="94">
        <f t="shared" si="67"/>
        <v>6504.6216901406997</v>
      </c>
      <c r="V329" s="94">
        <f t="shared" si="76"/>
        <v>0</v>
      </c>
      <c r="W329" s="95"/>
      <c r="X329" s="22">
        <f t="shared" si="69"/>
        <v>0</v>
      </c>
      <c r="Y329" s="103">
        <f t="shared" si="79"/>
        <v>0</v>
      </c>
      <c r="Z329" s="94">
        <f t="shared" si="71"/>
        <v>0</v>
      </c>
      <c r="AA329" s="96">
        <v>0.05</v>
      </c>
      <c r="AB329" s="95"/>
      <c r="AC329" s="110"/>
      <c r="AD329" s="110"/>
      <c r="AE329" s="92">
        <v>0</v>
      </c>
      <c r="AF329" s="94">
        <f t="shared" si="72"/>
        <v>0</v>
      </c>
      <c r="AG329" s="95">
        <v>0</v>
      </c>
      <c r="AH329" s="94">
        <f t="shared" si="73"/>
        <v>0</v>
      </c>
      <c r="AI329" s="94">
        <v>0</v>
      </c>
      <c r="AJ329" s="94">
        <f t="shared" si="77"/>
        <v>0</v>
      </c>
      <c r="AK329" s="94">
        <f t="shared" si="80"/>
        <v>0</v>
      </c>
    </row>
    <row r="330" spans="1:37">
      <c r="A330" s="90" t="s">
        <v>332</v>
      </c>
      <c r="B330" s="91" t="s">
        <v>28</v>
      </c>
      <c r="C330" s="91" t="s">
        <v>85</v>
      </c>
      <c r="D330" s="91" t="s">
        <v>111</v>
      </c>
      <c r="E330" s="91" t="s">
        <v>125</v>
      </c>
      <c r="F330" s="91" t="s">
        <v>126</v>
      </c>
      <c r="G330" s="91" t="s">
        <v>33</v>
      </c>
      <c r="H330" s="91" t="s">
        <v>34</v>
      </c>
      <c r="I330" s="91" t="s">
        <v>353</v>
      </c>
      <c r="J330" s="91" t="s">
        <v>361</v>
      </c>
      <c r="K330" s="91" t="s">
        <v>82</v>
      </c>
      <c r="L330" s="91"/>
      <c r="M330" s="91" t="s">
        <v>83</v>
      </c>
      <c r="N330" s="91" t="s">
        <v>50</v>
      </c>
      <c r="O330" s="92">
        <v>0.18</v>
      </c>
      <c r="P330" s="70"/>
      <c r="Q330" s="91"/>
      <c r="R330" s="95">
        <v>44820.261970721403</v>
      </c>
      <c r="S330" s="95"/>
      <c r="T330" s="94">
        <v>0</v>
      </c>
      <c r="U330" s="94">
        <f t="shared" si="67"/>
        <v>44820.261970721403</v>
      </c>
      <c r="V330" s="94">
        <f t="shared" si="76"/>
        <v>0</v>
      </c>
      <c r="W330" s="95"/>
      <c r="X330" s="22">
        <f t="shared" si="69"/>
        <v>0</v>
      </c>
      <c r="Y330" s="103">
        <f t="shared" si="79"/>
        <v>0</v>
      </c>
      <c r="Z330" s="94">
        <f t="shared" si="71"/>
        <v>0</v>
      </c>
      <c r="AA330" s="96">
        <v>0.05</v>
      </c>
      <c r="AB330" s="95"/>
      <c r="AC330" s="110"/>
      <c r="AD330" s="110"/>
      <c r="AE330" s="92">
        <v>0.42</v>
      </c>
      <c r="AF330" s="94">
        <f t="shared" si="72"/>
        <v>0</v>
      </c>
      <c r="AG330" s="95">
        <v>0</v>
      </c>
      <c r="AH330" s="94">
        <f t="shared" si="73"/>
        <v>0</v>
      </c>
      <c r="AI330" s="94">
        <v>0</v>
      </c>
      <c r="AJ330" s="94">
        <f t="shared" si="77"/>
        <v>0</v>
      </c>
      <c r="AK330" s="94">
        <f t="shared" si="80"/>
        <v>0</v>
      </c>
    </row>
    <row r="331" spans="1:37">
      <c r="A331" s="90" t="s">
        <v>332</v>
      </c>
      <c r="B331" s="91" t="s">
        <v>28</v>
      </c>
      <c r="C331" s="91" t="s">
        <v>85</v>
      </c>
      <c r="D331" s="91" t="s">
        <v>111</v>
      </c>
      <c r="E331" s="91" t="s">
        <v>127</v>
      </c>
      <c r="F331" s="91" t="s">
        <v>128</v>
      </c>
      <c r="G331" s="91" t="s">
        <v>33</v>
      </c>
      <c r="H331" s="91" t="s">
        <v>34</v>
      </c>
      <c r="I331" s="91" t="s">
        <v>353</v>
      </c>
      <c r="J331" s="91" t="s">
        <v>361</v>
      </c>
      <c r="K331" s="91" t="s">
        <v>82</v>
      </c>
      <c r="L331" s="91"/>
      <c r="M331" s="91" t="s">
        <v>83</v>
      </c>
      <c r="N331" s="91" t="s">
        <v>50</v>
      </c>
      <c r="O331" s="92">
        <v>0.23</v>
      </c>
      <c r="P331" s="70"/>
      <c r="Q331" s="91"/>
      <c r="R331" s="95">
        <v>132154.611549297</v>
      </c>
      <c r="S331" s="95"/>
      <c r="T331" s="94">
        <v>0</v>
      </c>
      <c r="U331" s="94">
        <f t="shared" si="67"/>
        <v>132154.611549297</v>
      </c>
      <c r="V331" s="94">
        <f t="shared" si="76"/>
        <v>0</v>
      </c>
      <c r="W331" s="95"/>
      <c r="X331" s="22">
        <f t="shared" si="69"/>
        <v>0</v>
      </c>
      <c r="Y331" s="103">
        <f t="shared" si="79"/>
        <v>0</v>
      </c>
      <c r="Z331" s="94">
        <f t="shared" si="71"/>
        <v>0</v>
      </c>
      <c r="AA331" s="96">
        <v>0.05</v>
      </c>
      <c r="AB331" s="95"/>
      <c r="AC331" s="110"/>
      <c r="AD331" s="110"/>
      <c r="AE331" s="92">
        <v>0.42</v>
      </c>
      <c r="AF331" s="94">
        <f t="shared" si="72"/>
        <v>0</v>
      </c>
      <c r="AG331" s="95">
        <v>0</v>
      </c>
      <c r="AH331" s="94">
        <f t="shared" si="73"/>
        <v>0</v>
      </c>
      <c r="AI331" s="94">
        <v>0</v>
      </c>
      <c r="AJ331" s="94">
        <f t="shared" si="77"/>
        <v>0</v>
      </c>
      <c r="AK331" s="94">
        <f t="shared" si="80"/>
        <v>0</v>
      </c>
    </row>
    <row r="332" spans="1:37">
      <c r="A332" s="90" t="s">
        <v>332</v>
      </c>
      <c r="B332" s="91" t="s">
        <v>28</v>
      </c>
      <c r="C332" s="91" t="s">
        <v>85</v>
      </c>
      <c r="D332" s="91" t="s">
        <v>111</v>
      </c>
      <c r="E332" s="91" t="s">
        <v>129</v>
      </c>
      <c r="F332" s="91" t="s">
        <v>130</v>
      </c>
      <c r="G332" s="91" t="s">
        <v>33</v>
      </c>
      <c r="H332" s="91" t="s">
        <v>34</v>
      </c>
      <c r="I332" s="91" t="s">
        <v>353</v>
      </c>
      <c r="J332" s="91" t="s">
        <v>361</v>
      </c>
      <c r="K332" s="91" t="s">
        <v>82</v>
      </c>
      <c r="L332" s="91"/>
      <c r="M332" s="91" t="s">
        <v>83</v>
      </c>
      <c r="N332" s="91" t="s">
        <v>50</v>
      </c>
      <c r="O332" s="92">
        <v>0.03</v>
      </c>
      <c r="P332" s="70"/>
      <c r="Q332" s="91"/>
      <c r="R332" s="95">
        <v>14157.309295774696</v>
      </c>
      <c r="S332" s="95"/>
      <c r="T332" s="94">
        <v>0</v>
      </c>
      <c r="U332" s="94">
        <f t="shared" si="67"/>
        <v>14157.309295774696</v>
      </c>
      <c r="V332" s="94">
        <f t="shared" si="76"/>
        <v>0</v>
      </c>
      <c r="W332" s="95"/>
      <c r="X332" s="22">
        <f t="shared" si="69"/>
        <v>0</v>
      </c>
      <c r="Y332" s="103">
        <f t="shared" si="79"/>
        <v>0</v>
      </c>
      <c r="Z332" s="94">
        <f t="shared" si="71"/>
        <v>0</v>
      </c>
      <c r="AA332" s="96">
        <v>0.05</v>
      </c>
      <c r="AB332" s="95"/>
      <c r="AC332" s="110"/>
      <c r="AD332" s="110"/>
      <c r="AE332" s="92">
        <v>0.42</v>
      </c>
      <c r="AF332" s="94">
        <f t="shared" si="72"/>
        <v>0</v>
      </c>
      <c r="AG332" s="95">
        <v>0</v>
      </c>
      <c r="AH332" s="94">
        <f t="shared" si="73"/>
        <v>0</v>
      </c>
      <c r="AI332" s="94">
        <v>0</v>
      </c>
      <c r="AJ332" s="94">
        <f t="shared" si="77"/>
        <v>0</v>
      </c>
      <c r="AK332" s="94">
        <f t="shared" si="80"/>
        <v>0</v>
      </c>
    </row>
    <row r="333" spans="1:37">
      <c r="A333" s="90" t="s">
        <v>332</v>
      </c>
      <c r="B333" s="91" t="s">
        <v>28</v>
      </c>
      <c r="C333" s="91" t="s">
        <v>85</v>
      </c>
      <c r="D333" s="91" t="s">
        <v>111</v>
      </c>
      <c r="E333" s="91" t="s">
        <v>131</v>
      </c>
      <c r="F333" s="91" t="s">
        <v>132</v>
      </c>
      <c r="G333" s="91" t="s">
        <v>33</v>
      </c>
      <c r="H333" s="91" t="s">
        <v>34</v>
      </c>
      <c r="I333" s="91" t="s">
        <v>353</v>
      </c>
      <c r="J333" s="91" t="s">
        <v>361</v>
      </c>
      <c r="K333" s="91" t="s">
        <v>82</v>
      </c>
      <c r="L333" s="91"/>
      <c r="M333" s="91" t="s">
        <v>83</v>
      </c>
      <c r="N333" s="91" t="s">
        <v>50</v>
      </c>
      <c r="O333" s="92">
        <v>0.03</v>
      </c>
      <c r="P333" s="70"/>
      <c r="Q333" s="91"/>
      <c r="R333" s="95">
        <v>480.55873239384499</v>
      </c>
      <c r="S333" s="95"/>
      <c r="T333" s="94">
        <v>0</v>
      </c>
      <c r="U333" s="94">
        <f t="shared" si="67"/>
        <v>480.55873239384499</v>
      </c>
      <c r="V333" s="94">
        <f t="shared" si="76"/>
        <v>0</v>
      </c>
      <c r="W333" s="95"/>
      <c r="X333" s="22">
        <f t="shared" si="69"/>
        <v>0</v>
      </c>
      <c r="Y333" s="103">
        <f t="shared" si="79"/>
        <v>0</v>
      </c>
      <c r="Z333" s="94">
        <f t="shared" si="71"/>
        <v>0</v>
      </c>
      <c r="AA333" s="96">
        <v>0.05</v>
      </c>
      <c r="AB333" s="95"/>
      <c r="AC333" s="110"/>
      <c r="AD333" s="110"/>
      <c r="AE333" s="92">
        <v>0.42</v>
      </c>
      <c r="AF333" s="94">
        <f t="shared" si="72"/>
        <v>0</v>
      </c>
      <c r="AG333" s="95">
        <v>0</v>
      </c>
      <c r="AH333" s="94">
        <f t="shared" si="73"/>
        <v>0</v>
      </c>
      <c r="AI333" s="94">
        <v>0</v>
      </c>
      <c r="AJ333" s="94">
        <f t="shared" si="77"/>
        <v>0</v>
      </c>
      <c r="AK333" s="94">
        <f t="shared" si="80"/>
        <v>0</v>
      </c>
    </row>
    <row r="334" spans="1:37">
      <c r="A334" s="90" t="s">
        <v>332</v>
      </c>
      <c r="B334" s="91" t="s">
        <v>28</v>
      </c>
      <c r="C334" s="91" t="s">
        <v>85</v>
      </c>
      <c r="D334" s="91" t="s">
        <v>111</v>
      </c>
      <c r="E334" s="91" t="s">
        <v>133</v>
      </c>
      <c r="F334" s="91" t="s">
        <v>134</v>
      </c>
      <c r="G334" s="91" t="s">
        <v>33</v>
      </c>
      <c r="H334" s="91" t="s">
        <v>34</v>
      </c>
      <c r="I334" s="91" t="s">
        <v>353</v>
      </c>
      <c r="J334" s="91" t="s">
        <v>361</v>
      </c>
      <c r="K334" s="91" t="s">
        <v>82</v>
      </c>
      <c r="L334" s="91"/>
      <c r="M334" s="91" t="s">
        <v>83</v>
      </c>
      <c r="N334" s="91" t="s">
        <v>50</v>
      </c>
      <c r="O334" s="92">
        <v>0.23</v>
      </c>
      <c r="P334" s="70"/>
      <c r="Q334" s="91"/>
      <c r="R334" s="95">
        <v>88.72</v>
      </c>
      <c r="S334" s="95"/>
      <c r="T334" s="94">
        <v>0</v>
      </c>
      <c r="U334" s="94">
        <f t="shared" si="67"/>
        <v>88.72</v>
      </c>
      <c r="V334" s="94">
        <f t="shared" si="76"/>
        <v>0</v>
      </c>
      <c r="W334" s="95"/>
      <c r="X334" s="22">
        <f t="shared" si="69"/>
        <v>0</v>
      </c>
      <c r="Y334" s="103">
        <f t="shared" si="79"/>
        <v>0</v>
      </c>
      <c r="Z334" s="94">
        <f t="shared" si="71"/>
        <v>0</v>
      </c>
      <c r="AA334" s="96">
        <v>0.05</v>
      </c>
      <c r="AB334" s="95"/>
      <c r="AC334" s="110"/>
      <c r="AD334" s="110"/>
      <c r="AE334" s="92">
        <v>0.42</v>
      </c>
      <c r="AF334" s="94">
        <f t="shared" si="72"/>
        <v>0</v>
      </c>
      <c r="AG334" s="95">
        <v>0</v>
      </c>
      <c r="AH334" s="94">
        <f t="shared" si="73"/>
        <v>0</v>
      </c>
      <c r="AI334" s="94">
        <v>0</v>
      </c>
      <c r="AJ334" s="94">
        <f t="shared" si="77"/>
        <v>0</v>
      </c>
      <c r="AK334" s="94">
        <f t="shared" si="80"/>
        <v>0</v>
      </c>
    </row>
    <row r="335" spans="1:37">
      <c r="A335" s="90" t="s">
        <v>332</v>
      </c>
      <c r="B335" s="91" t="s">
        <v>28</v>
      </c>
      <c r="C335" s="91" t="s">
        <v>85</v>
      </c>
      <c r="D335" s="91" t="s">
        <v>111</v>
      </c>
      <c r="E335" s="91" t="s">
        <v>135</v>
      </c>
      <c r="F335" s="91" t="s">
        <v>136</v>
      </c>
      <c r="G335" s="91" t="s">
        <v>33</v>
      </c>
      <c r="H335" s="91" t="s">
        <v>34</v>
      </c>
      <c r="I335" s="91" t="s">
        <v>353</v>
      </c>
      <c r="J335" s="91" t="s">
        <v>361</v>
      </c>
      <c r="K335" s="91" t="s">
        <v>82</v>
      </c>
      <c r="L335" s="91"/>
      <c r="M335" s="91" t="s">
        <v>83</v>
      </c>
      <c r="N335" s="91" t="s">
        <v>50</v>
      </c>
      <c r="O335" s="92">
        <v>0.18</v>
      </c>
      <c r="P335" s="70"/>
      <c r="Q335" s="91"/>
      <c r="R335" s="95">
        <v>147.29985915508601</v>
      </c>
      <c r="S335" s="95"/>
      <c r="T335" s="94">
        <v>0</v>
      </c>
      <c r="U335" s="94">
        <f t="shared" si="67"/>
        <v>147.29985915508601</v>
      </c>
      <c r="V335" s="94">
        <f t="shared" si="76"/>
        <v>0</v>
      </c>
      <c r="W335" s="95"/>
      <c r="X335" s="22">
        <f t="shared" si="69"/>
        <v>0</v>
      </c>
      <c r="Y335" s="103">
        <f t="shared" si="79"/>
        <v>0</v>
      </c>
      <c r="Z335" s="94">
        <f t="shared" si="71"/>
        <v>0</v>
      </c>
      <c r="AA335" s="96">
        <v>0.05</v>
      </c>
      <c r="AB335" s="95"/>
      <c r="AC335" s="110"/>
      <c r="AD335" s="110"/>
      <c r="AE335" s="92">
        <v>0.42</v>
      </c>
      <c r="AF335" s="94">
        <f t="shared" si="72"/>
        <v>0</v>
      </c>
      <c r="AG335" s="95">
        <v>0</v>
      </c>
      <c r="AH335" s="94">
        <f t="shared" si="73"/>
        <v>0</v>
      </c>
      <c r="AI335" s="94">
        <v>0</v>
      </c>
      <c r="AJ335" s="94">
        <f t="shared" si="77"/>
        <v>0</v>
      </c>
      <c r="AK335" s="94">
        <f t="shared" si="80"/>
        <v>0</v>
      </c>
    </row>
    <row r="336" spans="1:37">
      <c r="A336" s="90" t="s">
        <v>332</v>
      </c>
      <c r="B336" s="91" t="s">
        <v>28</v>
      </c>
      <c r="C336" s="91" t="s">
        <v>85</v>
      </c>
      <c r="D336" s="91" t="s">
        <v>111</v>
      </c>
      <c r="E336" s="91" t="s">
        <v>137</v>
      </c>
      <c r="F336" s="91" t="s">
        <v>138</v>
      </c>
      <c r="G336" s="91" t="s">
        <v>33</v>
      </c>
      <c r="H336" s="91" t="s">
        <v>34</v>
      </c>
      <c r="I336" s="91" t="s">
        <v>353</v>
      </c>
      <c r="J336" s="91" t="s">
        <v>361</v>
      </c>
      <c r="K336" s="91" t="s">
        <v>82</v>
      </c>
      <c r="L336" s="91"/>
      <c r="M336" s="91" t="s">
        <v>83</v>
      </c>
      <c r="N336" s="91" t="s">
        <v>50</v>
      </c>
      <c r="O336" s="92">
        <v>0.18</v>
      </c>
      <c r="P336" s="70"/>
      <c r="Q336" s="91"/>
      <c r="R336" s="95">
        <v>4215.2245070423196</v>
      </c>
      <c r="S336" s="95"/>
      <c r="T336" s="94">
        <v>0</v>
      </c>
      <c r="U336" s="94">
        <f t="shared" si="67"/>
        <v>4215.2245070423196</v>
      </c>
      <c r="V336" s="94">
        <f t="shared" si="76"/>
        <v>0</v>
      </c>
      <c r="W336" s="95"/>
      <c r="X336" s="22">
        <f t="shared" si="69"/>
        <v>0</v>
      </c>
      <c r="Y336" s="103">
        <f t="shared" si="79"/>
        <v>0</v>
      </c>
      <c r="Z336" s="94">
        <f t="shared" si="71"/>
        <v>0</v>
      </c>
      <c r="AA336" s="96">
        <v>0.05</v>
      </c>
      <c r="AB336" s="95"/>
      <c r="AC336" s="110"/>
      <c r="AD336" s="110"/>
      <c r="AE336" s="92">
        <v>0.42</v>
      </c>
      <c r="AF336" s="94">
        <f t="shared" si="72"/>
        <v>0</v>
      </c>
      <c r="AG336" s="95">
        <v>0</v>
      </c>
      <c r="AH336" s="94">
        <f t="shared" si="73"/>
        <v>0</v>
      </c>
      <c r="AI336" s="94">
        <v>0</v>
      </c>
      <c r="AJ336" s="94">
        <f t="shared" si="77"/>
        <v>0</v>
      </c>
      <c r="AK336" s="94">
        <f t="shared" si="80"/>
        <v>0</v>
      </c>
    </row>
    <row r="337" spans="1:38">
      <c r="A337" s="90" t="s">
        <v>332</v>
      </c>
      <c r="B337" s="91" t="s">
        <v>28</v>
      </c>
      <c r="C337" s="91" t="s">
        <v>85</v>
      </c>
      <c r="D337" s="91" t="s">
        <v>111</v>
      </c>
      <c r="E337" s="91" t="s">
        <v>139</v>
      </c>
      <c r="F337" s="91" t="s">
        <v>140</v>
      </c>
      <c r="G337" s="91" t="s">
        <v>33</v>
      </c>
      <c r="H337" s="91" t="s">
        <v>34</v>
      </c>
      <c r="I337" s="91" t="s">
        <v>353</v>
      </c>
      <c r="J337" s="91" t="s">
        <v>361</v>
      </c>
      <c r="K337" s="91" t="s">
        <v>82</v>
      </c>
      <c r="L337" s="91"/>
      <c r="M337" s="91" t="s">
        <v>83</v>
      </c>
      <c r="N337" s="91" t="s">
        <v>50</v>
      </c>
      <c r="O337" s="92">
        <v>0.23</v>
      </c>
      <c r="P337" s="70"/>
      <c r="Q337" s="91"/>
      <c r="R337" s="95">
        <v>127.3395774647</v>
      </c>
      <c r="S337" s="95"/>
      <c r="T337" s="94">
        <v>0</v>
      </c>
      <c r="U337" s="94">
        <f t="shared" si="67"/>
        <v>127.3395774647</v>
      </c>
      <c r="V337" s="94">
        <f t="shared" si="76"/>
        <v>0</v>
      </c>
      <c r="W337" s="95"/>
      <c r="X337" s="22">
        <f t="shared" si="69"/>
        <v>0</v>
      </c>
      <c r="Y337" s="103">
        <f t="shared" si="79"/>
        <v>0</v>
      </c>
      <c r="Z337" s="94">
        <f t="shared" si="71"/>
        <v>0</v>
      </c>
      <c r="AA337" s="96">
        <v>0.05</v>
      </c>
      <c r="AB337" s="95"/>
      <c r="AC337" s="110"/>
      <c r="AD337" s="110"/>
      <c r="AE337" s="92">
        <v>0.42</v>
      </c>
      <c r="AF337" s="94">
        <f t="shared" si="72"/>
        <v>0</v>
      </c>
      <c r="AG337" s="95">
        <v>0</v>
      </c>
      <c r="AH337" s="94">
        <f t="shared" si="73"/>
        <v>0</v>
      </c>
      <c r="AI337" s="94">
        <v>0</v>
      </c>
      <c r="AJ337" s="94">
        <f t="shared" si="77"/>
        <v>0</v>
      </c>
      <c r="AK337" s="94">
        <f t="shared" si="80"/>
        <v>0</v>
      </c>
    </row>
    <row r="338" spans="1:38">
      <c r="A338" s="90" t="s">
        <v>332</v>
      </c>
      <c r="B338" s="91" t="s">
        <v>28</v>
      </c>
      <c r="C338" s="91" t="s">
        <v>85</v>
      </c>
      <c r="D338" s="91" t="s">
        <v>111</v>
      </c>
      <c r="E338" s="91" t="s">
        <v>141</v>
      </c>
      <c r="F338" s="91" t="s">
        <v>142</v>
      </c>
      <c r="G338" s="91" t="s">
        <v>33</v>
      </c>
      <c r="H338" s="91" t="s">
        <v>34</v>
      </c>
      <c r="I338" s="91" t="s">
        <v>353</v>
      </c>
      <c r="J338" s="91" t="s">
        <v>361</v>
      </c>
      <c r="K338" s="91" t="s">
        <v>82</v>
      </c>
      <c r="L338" s="91"/>
      <c r="M338" s="91" t="s">
        <v>83</v>
      </c>
      <c r="N338" s="91" t="s">
        <v>50</v>
      </c>
      <c r="O338" s="92">
        <v>0.23</v>
      </c>
      <c r="P338" s="70"/>
      <c r="Q338" s="91"/>
      <c r="R338" s="95">
        <v>172.66352112698951</v>
      </c>
      <c r="S338" s="95"/>
      <c r="T338" s="94">
        <v>0</v>
      </c>
      <c r="U338" s="94">
        <f t="shared" si="67"/>
        <v>172.66352112698951</v>
      </c>
      <c r="V338" s="94">
        <f t="shared" si="76"/>
        <v>0</v>
      </c>
      <c r="W338" s="95"/>
      <c r="X338" s="22">
        <f t="shared" si="69"/>
        <v>0</v>
      </c>
      <c r="Y338" s="103">
        <f t="shared" si="79"/>
        <v>0</v>
      </c>
      <c r="Z338" s="94">
        <f t="shared" si="71"/>
        <v>0</v>
      </c>
      <c r="AA338" s="96">
        <v>0.05</v>
      </c>
      <c r="AB338" s="95"/>
      <c r="AC338" s="110"/>
      <c r="AD338" s="110"/>
      <c r="AE338" s="92">
        <v>0.42</v>
      </c>
      <c r="AF338" s="94">
        <f t="shared" si="72"/>
        <v>0</v>
      </c>
      <c r="AG338" s="95">
        <v>0</v>
      </c>
      <c r="AH338" s="94">
        <f t="shared" si="73"/>
        <v>0</v>
      </c>
      <c r="AI338" s="94">
        <v>0</v>
      </c>
      <c r="AJ338" s="94">
        <f t="shared" si="77"/>
        <v>0</v>
      </c>
      <c r="AK338" s="94">
        <f t="shared" si="80"/>
        <v>0</v>
      </c>
    </row>
    <row r="339" spans="1:38">
      <c r="A339" s="90" t="s">
        <v>332</v>
      </c>
      <c r="B339" s="91" t="s">
        <v>28</v>
      </c>
      <c r="C339" s="91" t="s">
        <v>85</v>
      </c>
      <c r="D339" s="91" t="s">
        <v>111</v>
      </c>
      <c r="E339" s="91" t="s">
        <v>143</v>
      </c>
      <c r="F339" s="91" t="s">
        <v>144</v>
      </c>
      <c r="G339" s="91" t="s">
        <v>33</v>
      </c>
      <c r="H339" s="91" t="s">
        <v>34</v>
      </c>
      <c r="I339" s="91" t="s">
        <v>353</v>
      </c>
      <c r="J339" s="91" t="s">
        <v>361</v>
      </c>
      <c r="K339" s="91" t="s">
        <v>82</v>
      </c>
      <c r="L339" s="91"/>
      <c r="M339" s="91" t="s">
        <v>83</v>
      </c>
      <c r="N339" s="91" t="s">
        <v>50</v>
      </c>
      <c r="O339" s="92">
        <v>0.08</v>
      </c>
      <c r="P339" s="70"/>
      <c r="Q339" s="91"/>
      <c r="R339" s="95">
        <v>11055.15</v>
      </c>
      <c r="S339" s="95"/>
      <c r="T339" s="94">
        <v>0</v>
      </c>
      <c r="U339" s="94">
        <f t="shared" si="67"/>
        <v>11055.15</v>
      </c>
      <c r="V339" s="94">
        <f t="shared" si="76"/>
        <v>0</v>
      </c>
      <c r="W339" s="95"/>
      <c r="X339" s="22">
        <f t="shared" si="69"/>
        <v>0</v>
      </c>
      <c r="Y339" s="103">
        <f t="shared" si="79"/>
        <v>0</v>
      </c>
      <c r="Z339" s="94">
        <f t="shared" si="71"/>
        <v>0</v>
      </c>
      <c r="AA339" s="96">
        <v>0.05</v>
      </c>
      <c r="AB339" s="95"/>
      <c r="AC339" s="110"/>
      <c r="AD339" s="110"/>
      <c r="AE339" s="92">
        <v>0.42</v>
      </c>
      <c r="AF339" s="94">
        <f t="shared" si="72"/>
        <v>0</v>
      </c>
      <c r="AG339" s="95">
        <v>0</v>
      </c>
      <c r="AH339" s="94">
        <f t="shared" si="73"/>
        <v>0</v>
      </c>
      <c r="AI339" s="94">
        <v>0</v>
      </c>
      <c r="AJ339" s="94">
        <f t="shared" si="77"/>
        <v>0</v>
      </c>
      <c r="AK339" s="94">
        <f t="shared" si="80"/>
        <v>0</v>
      </c>
    </row>
    <row r="340" spans="1:38">
      <c r="A340" s="90" t="s">
        <v>332</v>
      </c>
      <c r="B340" s="91" t="s">
        <v>38</v>
      </c>
      <c r="C340" s="91" t="s">
        <v>57</v>
      </c>
      <c r="D340" s="91" t="s">
        <v>58</v>
      </c>
      <c r="E340" s="91" t="s">
        <v>284</v>
      </c>
      <c r="F340" s="91" t="s">
        <v>78</v>
      </c>
      <c r="G340" s="91" t="s">
        <v>78</v>
      </c>
      <c r="H340" s="91" t="s">
        <v>34</v>
      </c>
      <c r="I340" s="91" t="s">
        <v>353</v>
      </c>
      <c r="J340" s="91" t="s">
        <v>361</v>
      </c>
      <c r="K340" s="91" t="s">
        <v>78</v>
      </c>
      <c r="L340" s="91"/>
      <c r="M340" s="91" t="s">
        <v>43</v>
      </c>
      <c r="N340" s="91" t="s">
        <v>50</v>
      </c>
      <c r="O340" s="92">
        <v>5.5E-2</v>
      </c>
      <c r="P340" s="70"/>
      <c r="Q340" s="91"/>
      <c r="R340" s="95">
        <v>151918.79</v>
      </c>
      <c r="S340" s="95"/>
      <c r="T340" s="94">
        <v>8739.8799999999992</v>
      </c>
      <c r="U340" s="94">
        <f t="shared" si="67"/>
        <v>143178.91</v>
      </c>
      <c r="V340" s="94">
        <f t="shared" si="76"/>
        <v>8337.6261087866114</v>
      </c>
      <c r="W340" s="95"/>
      <c r="X340" s="22">
        <f t="shared" si="69"/>
        <v>0</v>
      </c>
      <c r="Y340" s="103">
        <f t="shared" si="79"/>
        <v>402.25389121338776</v>
      </c>
      <c r="Z340" s="94">
        <f t="shared" si="71"/>
        <v>8739.8799999999992</v>
      </c>
      <c r="AA340" s="96">
        <v>0.05</v>
      </c>
      <c r="AB340" s="95"/>
      <c r="AC340" s="110"/>
      <c r="AD340" s="110"/>
      <c r="AE340" s="92">
        <v>0.14000000000000001</v>
      </c>
      <c r="AF340" s="94">
        <f t="shared" si="72"/>
        <v>8739.9035087719276</v>
      </c>
      <c r="AG340" s="95">
        <v>1101.5899999999992</v>
      </c>
      <c r="AH340" s="94">
        <f t="shared" si="73"/>
        <v>0</v>
      </c>
      <c r="AI340" s="94">
        <v>9963.489999999998</v>
      </c>
      <c r="AJ340" s="94">
        <f t="shared" si="77"/>
        <v>-122.01999999999862</v>
      </c>
      <c r="AK340" s="94">
        <f t="shared" si="80"/>
        <v>8337.6485355648529</v>
      </c>
      <c r="AL340" s="57">
        <f>AK340-V340</f>
        <v>2.2426778241424472E-2</v>
      </c>
    </row>
    <row r="341" spans="1:38">
      <c r="A341" s="90" t="s">
        <v>332</v>
      </c>
      <c r="B341" s="91" t="s">
        <v>38</v>
      </c>
      <c r="C341" s="91" t="s">
        <v>46</v>
      </c>
      <c r="D341" s="91" t="s">
        <v>71</v>
      </c>
      <c r="E341" s="91" t="s">
        <v>72</v>
      </c>
      <c r="F341" s="91" t="s">
        <v>72</v>
      </c>
      <c r="G341" s="91" t="s">
        <v>72</v>
      </c>
      <c r="H341" s="91" t="s">
        <v>34</v>
      </c>
      <c r="I341" s="91" t="s">
        <v>353</v>
      </c>
      <c r="J341" s="91" t="s">
        <v>361</v>
      </c>
      <c r="K341" s="91" t="s">
        <v>73</v>
      </c>
      <c r="L341" s="91"/>
      <c r="M341" s="91" t="s">
        <v>43</v>
      </c>
      <c r="N341" s="91" t="s">
        <v>50</v>
      </c>
      <c r="O341" s="92">
        <v>0.11</v>
      </c>
      <c r="P341" s="70"/>
      <c r="Q341" s="91"/>
      <c r="R341" s="95">
        <v>205.52</v>
      </c>
      <c r="S341" s="95"/>
      <c r="T341" s="94">
        <v>0</v>
      </c>
      <c r="U341" s="94">
        <f t="shared" si="67"/>
        <v>205.52</v>
      </c>
      <c r="V341" s="94">
        <f t="shared" si="76"/>
        <v>0</v>
      </c>
      <c r="W341" s="95"/>
      <c r="X341" s="22">
        <f t="shared" si="69"/>
        <v>0</v>
      </c>
      <c r="Y341" s="103">
        <f t="shared" si="79"/>
        <v>0</v>
      </c>
      <c r="Z341" s="94">
        <f t="shared" si="71"/>
        <v>0</v>
      </c>
      <c r="AA341" s="96">
        <v>0.05</v>
      </c>
      <c r="AB341" s="95"/>
      <c r="AC341" s="110"/>
      <c r="AD341" s="110"/>
      <c r="AE341" s="92">
        <v>0.22</v>
      </c>
      <c r="AF341" s="94">
        <f t="shared" si="72"/>
        <v>0</v>
      </c>
      <c r="AG341" s="95">
        <v>0</v>
      </c>
      <c r="AH341" s="94">
        <f t="shared" si="73"/>
        <v>0</v>
      </c>
      <c r="AI341" s="94">
        <v>0</v>
      </c>
      <c r="AJ341" s="94">
        <f t="shared" si="77"/>
        <v>0</v>
      </c>
      <c r="AK341" s="94">
        <f t="shared" si="80"/>
        <v>0</v>
      </c>
    </row>
    <row r="342" spans="1:38">
      <c r="A342" s="90" t="s">
        <v>332</v>
      </c>
      <c r="B342" s="91" t="s">
        <v>38</v>
      </c>
      <c r="C342" s="91" t="s">
        <v>29</v>
      </c>
      <c r="D342" s="91" t="s">
        <v>145</v>
      </c>
      <c r="E342" s="91" t="s">
        <v>146</v>
      </c>
      <c r="F342" s="91" t="s">
        <v>146</v>
      </c>
      <c r="G342" s="91" t="s">
        <v>146</v>
      </c>
      <c r="H342" s="91" t="s">
        <v>34</v>
      </c>
      <c r="I342" s="91" t="s">
        <v>353</v>
      </c>
      <c r="J342" s="91" t="s">
        <v>361</v>
      </c>
      <c r="K342" s="91" t="s">
        <v>146</v>
      </c>
      <c r="L342" s="91"/>
      <c r="M342" s="91" t="s">
        <v>83</v>
      </c>
      <c r="N342" s="91" t="s">
        <v>50</v>
      </c>
      <c r="O342" s="92">
        <v>0.05</v>
      </c>
      <c r="P342" s="70"/>
      <c r="Q342" s="91"/>
      <c r="R342" s="95">
        <v>15503.97</v>
      </c>
      <c r="S342" s="95"/>
      <c r="T342" s="94">
        <v>0</v>
      </c>
      <c r="U342" s="94">
        <f t="shared" si="67"/>
        <v>15503.97</v>
      </c>
      <c r="V342" s="94">
        <f t="shared" si="76"/>
        <v>0</v>
      </c>
      <c r="W342" s="95"/>
      <c r="X342" s="22">
        <f t="shared" si="69"/>
        <v>0</v>
      </c>
      <c r="Y342" s="103">
        <f t="shared" si="79"/>
        <v>0</v>
      </c>
      <c r="Z342" s="94">
        <f t="shared" si="71"/>
        <v>0</v>
      </c>
      <c r="AA342" s="96">
        <v>0.05</v>
      </c>
      <c r="AB342" s="95"/>
      <c r="AC342" s="110"/>
      <c r="AD342" s="110"/>
      <c r="AE342" s="92">
        <v>0.36</v>
      </c>
      <c r="AF342" s="94">
        <f t="shared" si="72"/>
        <v>0</v>
      </c>
      <c r="AG342" s="95">
        <v>0</v>
      </c>
      <c r="AH342" s="94">
        <f t="shared" si="73"/>
        <v>0</v>
      </c>
      <c r="AI342" s="94">
        <v>0</v>
      </c>
      <c r="AJ342" s="94">
        <f t="shared" si="77"/>
        <v>0</v>
      </c>
      <c r="AK342" s="94">
        <f t="shared" si="80"/>
        <v>0</v>
      </c>
    </row>
    <row r="343" spans="1:38">
      <c r="A343" s="90" t="s">
        <v>332</v>
      </c>
      <c r="B343" s="91" t="s">
        <v>38</v>
      </c>
      <c r="C343" s="91" t="s">
        <v>39</v>
      </c>
      <c r="D343" s="91" t="s">
        <v>40</v>
      </c>
      <c r="E343" s="91" t="s">
        <v>44</v>
      </c>
      <c r="F343" s="91" t="s">
        <v>44</v>
      </c>
      <c r="G343" s="91" t="s">
        <v>44</v>
      </c>
      <c r="H343" s="91" t="s">
        <v>34</v>
      </c>
      <c r="I343" s="91" t="s">
        <v>353</v>
      </c>
      <c r="J343" s="91" t="s">
        <v>361</v>
      </c>
      <c r="K343" s="91" t="s">
        <v>44</v>
      </c>
      <c r="L343" s="91"/>
      <c r="M343" s="91" t="s">
        <v>43</v>
      </c>
      <c r="N343" s="91" t="s">
        <v>50</v>
      </c>
      <c r="O343" s="92">
        <v>0.01</v>
      </c>
      <c r="P343" s="70"/>
      <c r="Q343" s="91"/>
      <c r="R343" s="95">
        <v>2302.4499999960517</v>
      </c>
      <c r="S343" s="95"/>
      <c r="T343" s="95">
        <v>2302.4499999960517</v>
      </c>
      <c r="U343" s="94">
        <f t="shared" si="67"/>
        <v>0</v>
      </c>
      <c r="V343" s="94">
        <f t="shared" si="76"/>
        <v>2285.1383458607429</v>
      </c>
      <c r="W343" s="95"/>
      <c r="X343" s="22">
        <f t="shared" si="69"/>
        <v>0</v>
      </c>
      <c r="Y343" s="103">
        <f t="shared" si="79"/>
        <v>17.3116541353088</v>
      </c>
      <c r="Z343" s="94">
        <f t="shared" si="71"/>
        <v>2302.4499999960517</v>
      </c>
      <c r="AA343" s="96">
        <v>0.05</v>
      </c>
      <c r="AB343" s="95"/>
      <c r="AC343" s="110"/>
      <c r="AD343" s="110"/>
      <c r="AE343" s="92">
        <v>0.32</v>
      </c>
      <c r="AF343" s="94">
        <f t="shared" si="72"/>
        <v>7627.8636363651976</v>
      </c>
      <c r="AG343" s="95">
        <v>7766.3300000060099</v>
      </c>
      <c r="AH343" s="94">
        <f t="shared" si="73"/>
        <v>0</v>
      </c>
      <c r="AI343" s="94">
        <v>10068.780000002062</v>
      </c>
      <c r="AJ343" s="94">
        <f t="shared" si="77"/>
        <v>0</v>
      </c>
      <c r="AK343" s="94">
        <f t="shared" si="80"/>
        <v>7570.5112781970383</v>
      </c>
      <c r="AL343" s="57">
        <f>AK343-V343</f>
        <v>5285.372932336295</v>
      </c>
    </row>
    <row r="344" spans="1:38">
      <c r="A344" s="90" t="s">
        <v>332</v>
      </c>
      <c r="B344" s="91" t="s">
        <v>38</v>
      </c>
      <c r="C344" s="91" t="s">
        <v>51</v>
      </c>
      <c r="D344" s="91" t="s">
        <v>52</v>
      </c>
      <c r="E344" s="91" t="s">
        <v>56</v>
      </c>
      <c r="F344" s="91" t="s">
        <v>56</v>
      </c>
      <c r="G344" s="91" t="s">
        <v>56</v>
      </c>
      <c r="H344" s="91" t="s">
        <v>34</v>
      </c>
      <c r="I344" s="91" t="s">
        <v>353</v>
      </c>
      <c r="J344" s="91" t="s">
        <v>361</v>
      </c>
      <c r="K344" s="91" t="s">
        <v>54</v>
      </c>
      <c r="L344" s="91"/>
      <c r="M344" s="91" t="s">
        <v>43</v>
      </c>
      <c r="N344" s="91" t="s">
        <v>50</v>
      </c>
      <c r="O344" s="92">
        <v>0.03</v>
      </c>
      <c r="P344" s="70"/>
      <c r="Q344" s="91"/>
      <c r="R344" s="95">
        <v>5696.55</v>
      </c>
      <c r="S344" s="95"/>
      <c r="T344" s="94">
        <v>0</v>
      </c>
      <c r="U344" s="94">
        <f t="shared" si="67"/>
        <v>5696.55</v>
      </c>
      <c r="V344" s="94">
        <f t="shared" si="76"/>
        <v>0</v>
      </c>
      <c r="W344" s="95"/>
      <c r="X344" s="22">
        <f t="shared" si="69"/>
        <v>0</v>
      </c>
      <c r="Y344" s="103">
        <f t="shared" si="79"/>
        <v>0</v>
      </c>
      <c r="Z344" s="94">
        <f t="shared" si="71"/>
        <v>0</v>
      </c>
      <c r="AA344" s="96">
        <v>0.05</v>
      </c>
      <c r="AB344" s="95"/>
      <c r="AC344" s="110"/>
      <c r="AD344" s="110"/>
      <c r="AE344" s="92">
        <v>0</v>
      </c>
      <c r="AF344" s="94">
        <f t="shared" si="72"/>
        <v>0</v>
      </c>
      <c r="AG344" s="95">
        <v>0</v>
      </c>
      <c r="AH344" s="94">
        <f t="shared" si="73"/>
        <v>0</v>
      </c>
      <c r="AI344" s="94">
        <v>0</v>
      </c>
      <c r="AJ344" s="94">
        <f t="shared" si="77"/>
        <v>0</v>
      </c>
      <c r="AK344" s="94">
        <f t="shared" si="80"/>
        <v>0</v>
      </c>
    </row>
    <row r="345" spans="1:38">
      <c r="A345" s="90" t="s">
        <v>332</v>
      </c>
      <c r="B345" s="91" t="s">
        <v>38</v>
      </c>
      <c r="C345" s="91" t="s">
        <v>51</v>
      </c>
      <c r="D345" s="91" t="s">
        <v>52</v>
      </c>
      <c r="E345" s="91" t="s">
        <v>149</v>
      </c>
      <c r="F345" s="91" t="s">
        <v>149</v>
      </c>
      <c r="G345" s="91" t="s">
        <v>149</v>
      </c>
      <c r="H345" s="91" t="s">
        <v>34</v>
      </c>
      <c r="I345" s="91" t="s">
        <v>353</v>
      </c>
      <c r="J345" s="91" t="s">
        <v>361</v>
      </c>
      <c r="K345" s="91" t="s">
        <v>150</v>
      </c>
      <c r="L345" s="91"/>
      <c r="M345" s="91" t="s">
        <v>43</v>
      </c>
      <c r="N345" s="91" t="s">
        <v>37</v>
      </c>
      <c r="O345" s="92">
        <v>0</v>
      </c>
      <c r="P345" s="70"/>
      <c r="Q345" s="91"/>
      <c r="R345" s="95">
        <v>6379.42</v>
      </c>
      <c r="S345" s="95"/>
      <c r="T345" s="94">
        <v>0</v>
      </c>
      <c r="U345" s="94">
        <f t="shared" si="67"/>
        <v>6379.42</v>
      </c>
      <c r="V345" s="94">
        <f t="shared" si="76"/>
        <v>0</v>
      </c>
      <c r="W345" s="95"/>
      <c r="X345" s="22">
        <f t="shared" si="69"/>
        <v>0</v>
      </c>
      <c r="Y345" s="103">
        <f t="shared" si="79"/>
        <v>0</v>
      </c>
      <c r="Z345" s="94">
        <f t="shared" si="71"/>
        <v>0</v>
      </c>
      <c r="AA345" s="96">
        <v>0.05</v>
      </c>
      <c r="AB345" s="95"/>
      <c r="AC345" s="110"/>
      <c r="AD345" s="110"/>
      <c r="AE345" s="92">
        <v>0.11</v>
      </c>
      <c r="AF345" s="94">
        <f t="shared" si="72"/>
        <v>0</v>
      </c>
      <c r="AG345" s="95">
        <v>0</v>
      </c>
      <c r="AH345" s="94">
        <f t="shared" si="73"/>
        <v>0</v>
      </c>
      <c r="AI345" s="94">
        <v>0</v>
      </c>
      <c r="AJ345" s="94">
        <f t="shared" si="77"/>
        <v>0</v>
      </c>
      <c r="AK345" s="94">
        <f t="shared" si="80"/>
        <v>0</v>
      </c>
    </row>
    <row r="346" spans="1:38">
      <c r="A346" s="90" t="s">
        <v>332</v>
      </c>
      <c r="B346" s="91" t="s">
        <v>38</v>
      </c>
      <c r="C346" s="91" t="s">
        <v>37</v>
      </c>
      <c r="D346" s="91" t="s">
        <v>37</v>
      </c>
      <c r="E346" s="91" t="s">
        <v>65</v>
      </c>
      <c r="F346" s="91" t="s">
        <v>65</v>
      </c>
      <c r="G346" s="91" t="s">
        <v>65</v>
      </c>
      <c r="H346" s="91" t="s">
        <v>34</v>
      </c>
      <c r="I346" s="91" t="s">
        <v>353</v>
      </c>
      <c r="J346" s="91" t="s">
        <v>361</v>
      </c>
      <c r="K346" s="91" t="s">
        <v>65</v>
      </c>
      <c r="L346" s="91"/>
      <c r="M346" s="91" t="s">
        <v>43</v>
      </c>
      <c r="N346" s="91" t="s">
        <v>37</v>
      </c>
      <c r="O346" s="92">
        <v>0</v>
      </c>
      <c r="P346" s="70"/>
      <c r="Q346" s="91"/>
      <c r="R346" s="95">
        <v>16513.649999999998</v>
      </c>
      <c r="S346" s="95"/>
      <c r="T346" s="94">
        <v>28.330000000000005</v>
      </c>
      <c r="U346" s="94">
        <f t="shared" si="67"/>
        <v>16485.319999999996</v>
      </c>
      <c r="V346" s="94">
        <f t="shared" si="76"/>
        <v>28.330000000000005</v>
      </c>
      <c r="W346" s="95"/>
      <c r="X346" s="22">
        <f t="shared" si="69"/>
        <v>0</v>
      </c>
      <c r="Y346" s="103">
        <f t="shared" si="79"/>
        <v>0</v>
      </c>
      <c r="Z346" s="94">
        <f t="shared" si="71"/>
        <v>28.330000000000005</v>
      </c>
      <c r="AA346" s="96">
        <v>0.05</v>
      </c>
      <c r="AB346" s="95"/>
      <c r="AC346" s="110"/>
      <c r="AD346" s="110"/>
      <c r="AE346" s="92">
        <v>0.42</v>
      </c>
      <c r="AF346" s="94">
        <f t="shared" si="72"/>
        <v>19.950704225352119</v>
      </c>
      <c r="AG346" s="95">
        <v>0</v>
      </c>
      <c r="AH346" s="94">
        <f t="shared" si="73"/>
        <v>0</v>
      </c>
      <c r="AI346" s="94">
        <v>28.330000000000005</v>
      </c>
      <c r="AJ346" s="94">
        <f t="shared" si="77"/>
        <v>0</v>
      </c>
      <c r="AK346" s="94">
        <f t="shared" si="80"/>
        <v>19.950704225352119</v>
      </c>
      <c r="AL346" s="57">
        <f>AK346-V346</f>
        <v>-8.3792957746478862</v>
      </c>
    </row>
    <row r="347" spans="1:38">
      <c r="A347" s="90" t="s">
        <v>332</v>
      </c>
      <c r="B347" s="91" t="s">
        <v>38</v>
      </c>
      <c r="C347" s="91" t="s">
        <v>315</v>
      </c>
      <c r="D347" s="91" t="s">
        <v>316</v>
      </c>
      <c r="E347" s="91" t="s">
        <v>317</v>
      </c>
      <c r="F347" s="91" t="s">
        <v>318</v>
      </c>
      <c r="G347" s="91" t="s">
        <v>317</v>
      </c>
      <c r="H347" s="91" t="s">
        <v>34</v>
      </c>
      <c r="I347" s="91" t="s">
        <v>353</v>
      </c>
      <c r="J347" s="91" t="s">
        <v>361</v>
      </c>
      <c r="K347" s="91" t="s">
        <v>319</v>
      </c>
      <c r="L347" s="91"/>
      <c r="M347" s="91" t="s">
        <v>43</v>
      </c>
      <c r="N347" s="91" t="s">
        <v>37</v>
      </c>
      <c r="O347" s="92">
        <v>0</v>
      </c>
      <c r="P347" s="70"/>
      <c r="Q347" s="91"/>
      <c r="R347" s="95">
        <v>-25.54</v>
      </c>
      <c r="S347" s="95"/>
      <c r="T347" s="94">
        <v>0</v>
      </c>
      <c r="U347" s="94">
        <f t="shared" si="67"/>
        <v>-25.54</v>
      </c>
      <c r="V347" s="94">
        <f t="shared" si="76"/>
        <v>0</v>
      </c>
      <c r="W347" s="95"/>
      <c r="X347" s="22">
        <f t="shared" si="69"/>
        <v>0</v>
      </c>
      <c r="Y347" s="103">
        <f t="shared" si="79"/>
        <v>0</v>
      </c>
      <c r="Z347" s="94">
        <f t="shared" si="71"/>
        <v>0</v>
      </c>
      <c r="AA347" s="96">
        <v>0.05</v>
      </c>
      <c r="AB347" s="95"/>
      <c r="AC347" s="110"/>
      <c r="AD347" s="110"/>
      <c r="AE347" s="92">
        <v>0</v>
      </c>
      <c r="AF347" s="94">
        <f t="shared" si="72"/>
        <v>0</v>
      </c>
      <c r="AG347" s="95">
        <v>45.029999999999994</v>
      </c>
      <c r="AH347" s="94">
        <f t="shared" si="73"/>
        <v>0</v>
      </c>
      <c r="AI347" s="94">
        <v>0</v>
      </c>
      <c r="AJ347" s="94">
        <f t="shared" si="77"/>
        <v>45.029999999999994</v>
      </c>
      <c r="AK347" s="94">
        <f t="shared" si="80"/>
        <v>0</v>
      </c>
    </row>
    <row r="348" spans="1:38">
      <c r="A348" s="90" t="s">
        <v>332</v>
      </c>
      <c r="B348" s="91" t="s">
        <v>28</v>
      </c>
      <c r="C348" s="91" t="s">
        <v>85</v>
      </c>
      <c r="D348" s="91" t="s">
        <v>111</v>
      </c>
      <c r="E348" s="91" t="s">
        <v>323</v>
      </c>
      <c r="F348" s="91" t="s">
        <v>322</v>
      </c>
      <c r="G348" s="91" t="s">
        <v>33</v>
      </c>
      <c r="H348" s="91" t="s">
        <v>34</v>
      </c>
      <c r="I348" s="91" t="s">
        <v>353</v>
      </c>
      <c r="J348" s="91" t="s">
        <v>361</v>
      </c>
      <c r="K348" s="91" t="s">
        <v>82</v>
      </c>
      <c r="L348" s="91"/>
      <c r="M348" s="91" t="s">
        <v>83</v>
      </c>
      <c r="N348" s="91" t="s">
        <v>50</v>
      </c>
      <c r="O348" s="92">
        <v>0.13</v>
      </c>
      <c r="P348" s="70"/>
      <c r="Q348" s="91"/>
      <c r="R348" s="95">
        <v>20.72999999999638</v>
      </c>
      <c r="S348" s="95"/>
      <c r="T348" s="94">
        <v>0</v>
      </c>
      <c r="U348" s="94">
        <f t="shared" si="67"/>
        <v>20.72999999999638</v>
      </c>
      <c r="V348" s="94">
        <f t="shared" si="76"/>
        <v>0</v>
      </c>
      <c r="W348" s="95"/>
      <c r="X348" s="22">
        <f t="shared" si="69"/>
        <v>0</v>
      </c>
      <c r="Y348" s="103">
        <f t="shared" si="79"/>
        <v>0</v>
      </c>
      <c r="Z348" s="94">
        <f t="shared" si="71"/>
        <v>0</v>
      </c>
      <c r="AA348" s="96">
        <v>0.05</v>
      </c>
      <c r="AB348" s="95"/>
      <c r="AC348" s="110"/>
      <c r="AD348" s="110"/>
      <c r="AE348" s="92">
        <v>0.42</v>
      </c>
      <c r="AF348" s="94">
        <f t="shared" si="72"/>
        <v>0</v>
      </c>
      <c r="AG348" s="95">
        <v>0</v>
      </c>
      <c r="AH348" s="94">
        <f t="shared" si="73"/>
        <v>0</v>
      </c>
      <c r="AI348" s="94">
        <v>0</v>
      </c>
      <c r="AJ348" s="94">
        <f t="shared" si="77"/>
        <v>0</v>
      </c>
      <c r="AK348" s="94">
        <f t="shared" si="80"/>
        <v>0</v>
      </c>
    </row>
    <row r="349" spans="1:38">
      <c r="A349" s="90" t="s">
        <v>332</v>
      </c>
      <c r="B349" s="91" t="s">
        <v>28</v>
      </c>
      <c r="C349" s="91" t="s">
        <v>85</v>
      </c>
      <c r="D349" s="91" t="s">
        <v>86</v>
      </c>
      <c r="E349" s="91" t="s">
        <v>325</v>
      </c>
      <c r="F349" s="91" t="s">
        <v>324</v>
      </c>
      <c r="G349" s="91" t="s">
        <v>33</v>
      </c>
      <c r="H349" s="91" t="s">
        <v>34</v>
      </c>
      <c r="I349" s="91" t="s">
        <v>353</v>
      </c>
      <c r="J349" s="91" t="s">
        <v>361</v>
      </c>
      <c r="K349" s="91" t="s">
        <v>82</v>
      </c>
      <c r="L349" s="91"/>
      <c r="M349" s="91" t="s">
        <v>83</v>
      </c>
      <c r="N349" s="91" t="s">
        <v>50</v>
      </c>
      <c r="O349" s="92">
        <v>0.03</v>
      </c>
      <c r="P349" s="70"/>
      <c r="Q349" s="91"/>
      <c r="R349" s="95">
        <v>22.61</v>
      </c>
      <c r="S349" s="95"/>
      <c r="T349" s="94">
        <v>0</v>
      </c>
      <c r="U349" s="94">
        <f t="shared" si="67"/>
        <v>22.61</v>
      </c>
      <c r="V349" s="94">
        <f t="shared" si="76"/>
        <v>0</v>
      </c>
      <c r="W349" s="95"/>
      <c r="X349" s="22">
        <f t="shared" si="69"/>
        <v>0</v>
      </c>
      <c r="Y349" s="103">
        <f t="shared" si="79"/>
        <v>0</v>
      </c>
      <c r="Z349" s="94">
        <f t="shared" si="71"/>
        <v>0</v>
      </c>
      <c r="AA349" s="96">
        <v>0.05</v>
      </c>
      <c r="AB349" s="95"/>
      <c r="AC349" s="110"/>
      <c r="AD349" s="110"/>
      <c r="AE349" s="92">
        <v>0.42</v>
      </c>
      <c r="AF349" s="94">
        <f t="shared" si="72"/>
        <v>0</v>
      </c>
      <c r="AG349" s="95">
        <v>0</v>
      </c>
      <c r="AH349" s="94">
        <f t="shared" si="73"/>
        <v>0</v>
      </c>
      <c r="AI349" s="94">
        <v>0</v>
      </c>
      <c r="AJ349" s="94">
        <f t="shared" si="77"/>
        <v>0</v>
      </c>
      <c r="AK349" s="94">
        <f t="shared" si="80"/>
        <v>0</v>
      </c>
    </row>
    <row r="350" spans="1:38">
      <c r="A350" s="90" t="s">
        <v>332</v>
      </c>
      <c r="B350" s="91" t="s">
        <v>28</v>
      </c>
      <c r="C350" s="91" t="s">
        <v>85</v>
      </c>
      <c r="D350" s="91" t="s">
        <v>86</v>
      </c>
      <c r="E350" s="91" t="s">
        <v>327</v>
      </c>
      <c r="F350" s="91" t="s">
        <v>326</v>
      </c>
      <c r="G350" s="91" t="s">
        <v>33</v>
      </c>
      <c r="H350" s="91" t="s">
        <v>34</v>
      </c>
      <c r="I350" s="91" t="s">
        <v>353</v>
      </c>
      <c r="J350" s="91" t="s">
        <v>361</v>
      </c>
      <c r="K350" s="91" t="s">
        <v>82</v>
      </c>
      <c r="L350" s="91"/>
      <c r="M350" s="91" t="s">
        <v>83</v>
      </c>
      <c r="N350" s="91" t="s">
        <v>50</v>
      </c>
      <c r="O350" s="92">
        <v>0.13</v>
      </c>
      <c r="P350" s="70"/>
      <c r="Q350" s="91"/>
      <c r="R350" s="95">
        <v>29.53</v>
      </c>
      <c r="S350" s="95"/>
      <c r="T350" s="94">
        <v>0</v>
      </c>
      <c r="U350" s="94">
        <f t="shared" si="67"/>
        <v>29.53</v>
      </c>
      <c r="V350" s="94">
        <f t="shared" si="76"/>
        <v>0</v>
      </c>
      <c r="W350" s="95"/>
      <c r="X350" s="22">
        <f t="shared" si="69"/>
        <v>0</v>
      </c>
      <c r="Y350" s="103">
        <f t="shared" si="79"/>
        <v>0</v>
      </c>
      <c r="Z350" s="94">
        <f t="shared" si="71"/>
        <v>0</v>
      </c>
      <c r="AA350" s="96">
        <v>0.05</v>
      </c>
      <c r="AB350" s="95"/>
      <c r="AC350" s="110"/>
      <c r="AD350" s="110"/>
      <c r="AE350" s="92">
        <v>0.42</v>
      </c>
      <c r="AF350" s="94">
        <f t="shared" si="72"/>
        <v>0</v>
      </c>
      <c r="AG350" s="95">
        <v>0</v>
      </c>
      <c r="AH350" s="94">
        <f t="shared" si="73"/>
        <v>0</v>
      </c>
      <c r="AI350" s="94">
        <v>0</v>
      </c>
      <c r="AJ350" s="94">
        <f t="shared" si="77"/>
        <v>0</v>
      </c>
      <c r="AK350" s="94">
        <f t="shared" si="80"/>
        <v>0</v>
      </c>
    </row>
    <row r="351" spans="1:38">
      <c r="A351" s="90" t="s">
        <v>332</v>
      </c>
      <c r="B351" s="91" t="s">
        <v>28</v>
      </c>
      <c r="C351" s="91" t="s">
        <v>85</v>
      </c>
      <c r="D351" s="91" t="s">
        <v>86</v>
      </c>
      <c r="E351" s="91" t="s">
        <v>329</v>
      </c>
      <c r="F351" s="91" t="s">
        <v>328</v>
      </c>
      <c r="G351" s="91" t="s">
        <v>33</v>
      </c>
      <c r="H351" s="91" t="s">
        <v>34</v>
      </c>
      <c r="I351" s="91" t="s">
        <v>353</v>
      </c>
      <c r="J351" s="91" t="s">
        <v>361</v>
      </c>
      <c r="K351" s="91" t="s">
        <v>82</v>
      </c>
      <c r="L351" s="91"/>
      <c r="M351" s="91" t="s">
        <v>83</v>
      </c>
      <c r="N351" s="91" t="s">
        <v>50</v>
      </c>
      <c r="O351" s="92">
        <v>0.21</v>
      </c>
      <c r="P351" s="70"/>
      <c r="Q351" s="91"/>
      <c r="R351" s="95">
        <v>1.9061971830988114</v>
      </c>
      <c r="S351" s="95"/>
      <c r="T351" s="94">
        <v>0</v>
      </c>
      <c r="U351" s="94">
        <f t="shared" si="67"/>
        <v>1.9061971830988114</v>
      </c>
      <c r="V351" s="94">
        <f t="shared" si="76"/>
        <v>0</v>
      </c>
      <c r="W351" s="95"/>
      <c r="X351" s="22">
        <f t="shared" si="69"/>
        <v>0</v>
      </c>
      <c r="Y351" s="103">
        <f t="shared" si="79"/>
        <v>0</v>
      </c>
      <c r="Z351" s="94">
        <f t="shared" si="71"/>
        <v>0</v>
      </c>
      <c r="AA351" s="96">
        <v>0.05</v>
      </c>
      <c r="AB351" s="95"/>
      <c r="AC351" s="110"/>
      <c r="AD351" s="110"/>
      <c r="AE351" s="92">
        <v>0.42</v>
      </c>
      <c r="AF351" s="94">
        <f t="shared" si="72"/>
        <v>0</v>
      </c>
      <c r="AG351" s="95">
        <v>0</v>
      </c>
      <c r="AH351" s="94">
        <f t="shared" si="73"/>
        <v>0</v>
      </c>
      <c r="AI351" s="94">
        <v>0</v>
      </c>
      <c r="AJ351" s="94">
        <f t="shared" si="77"/>
        <v>0</v>
      </c>
      <c r="AK351" s="94">
        <f t="shared" si="80"/>
        <v>0</v>
      </c>
    </row>
    <row r="352" spans="1:38">
      <c r="A352" s="90" t="s">
        <v>332</v>
      </c>
      <c r="B352" s="91" t="s">
        <v>28</v>
      </c>
      <c r="C352" s="91" t="s">
        <v>85</v>
      </c>
      <c r="D352" s="91" t="s">
        <v>86</v>
      </c>
      <c r="E352" s="91" t="s">
        <v>331</v>
      </c>
      <c r="F352" s="91" t="s">
        <v>330</v>
      </c>
      <c r="G352" s="91" t="s">
        <v>33</v>
      </c>
      <c r="H352" s="91" t="s">
        <v>34</v>
      </c>
      <c r="I352" s="91" t="s">
        <v>353</v>
      </c>
      <c r="J352" s="91" t="s">
        <v>361</v>
      </c>
      <c r="K352" s="91" t="s">
        <v>82</v>
      </c>
      <c r="L352" s="91"/>
      <c r="M352" s="91" t="s">
        <v>83</v>
      </c>
      <c r="N352" s="91" t="s">
        <v>50</v>
      </c>
      <c r="O352" s="92">
        <v>0.03</v>
      </c>
      <c r="P352" s="70"/>
      <c r="Q352" s="91"/>
      <c r="R352" s="95">
        <v>62.533943663001999</v>
      </c>
      <c r="S352" s="95"/>
      <c r="T352" s="94">
        <v>0</v>
      </c>
      <c r="U352" s="94">
        <f t="shared" si="67"/>
        <v>62.533943663001999</v>
      </c>
      <c r="V352" s="94">
        <f t="shared" si="76"/>
        <v>0</v>
      </c>
      <c r="W352" s="95"/>
      <c r="X352" s="22">
        <f t="shared" si="69"/>
        <v>0</v>
      </c>
      <c r="Y352" s="103">
        <f t="shared" si="79"/>
        <v>0</v>
      </c>
      <c r="Z352" s="94">
        <f t="shared" si="71"/>
        <v>0</v>
      </c>
      <c r="AA352" s="96">
        <v>0.05</v>
      </c>
      <c r="AB352" s="95"/>
      <c r="AC352" s="110"/>
      <c r="AD352" s="110"/>
      <c r="AE352" s="92">
        <v>0.42</v>
      </c>
      <c r="AF352" s="94">
        <f t="shared" si="72"/>
        <v>0</v>
      </c>
      <c r="AG352" s="95">
        <v>0</v>
      </c>
      <c r="AH352" s="94">
        <f t="shared" si="73"/>
        <v>0</v>
      </c>
      <c r="AI352" s="94">
        <v>0</v>
      </c>
      <c r="AJ352" s="94">
        <f t="shared" si="77"/>
        <v>0</v>
      </c>
      <c r="AK352" s="94">
        <f t="shared" si="80"/>
        <v>0</v>
      </c>
    </row>
    <row r="353" spans="1:38">
      <c r="A353" s="90" t="s">
        <v>332</v>
      </c>
      <c r="B353" s="91" t="s">
        <v>28</v>
      </c>
      <c r="C353" s="91" t="s">
        <v>39</v>
      </c>
      <c r="D353" s="91" t="s">
        <v>165</v>
      </c>
      <c r="E353" s="91" t="s">
        <v>171</v>
      </c>
      <c r="F353" s="91" t="s">
        <v>320</v>
      </c>
      <c r="G353" s="91" t="s">
        <v>33</v>
      </c>
      <c r="H353" s="91" t="s">
        <v>167</v>
      </c>
      <c r="I353" s="91" t="s">
        <v>360</v>
      </c>
      <c r="J353" s="91" t="s">
        <v>361</v>
      </c>
      <c r="K353" s="91" t="s">
        <v>171</v>
      </c>
      <c r="L353" s="91"/>
      <c r="M353" s="91" t="s">
        <v>169</v>
      </c>
      <c r="N353" s="91" t="s">
        <v>261</v>
      </c>
      <c r="O353" s="107">
        <v>0</v>
      </c>
      <c r="P353" s="110"/>
      <c r="Q353" s="110"/>
      <c r="R353" s="104">
        <v>0</v>
      </c>
      <c r="S353" s="104">
        <v>14970000</v>
      </c>
      <c r="T353" s="104">
        <v>14820300</v>
      </c>
      <c r="U353" s="104">
        <v>0</v>
      </c>
      <c r="V353" s="103">
        <f>IF(N353="返现",T353,IF(N353="折扣",T353*O353,T353/(1+O353)))</f>
        <v>14820300</v>
      </c>
      <c r="W353" s="104"/>
      <c r="X353" s="22">
        <f t="shared" si="69"/>
        <v>0</v>
      </c>
      <c r="Y353" s="103">
        <f>IF(N353="返现",V353*O353,T353-V353)</f>
        <v>0</v>
      </c>
      <c r="Z353" s="104">
        <v>14970000</v>
      </c>
      <c r="AA353" s="106">
        <v>0</v>
      </c>
      <c r="AB353" s="104">
        <f>Z353*AA353</f>
        <v>0</v>
      </c>
      <c r="AC353" s="110"/>
      <c r="AD353" s="110"/>
      <c r="AE353" s="107">
        <v>0</v>
      </c>
      <c r="AF353" s="104"/>
      <c r="AG353" s="104">
        <v>0</v>
      </c>
      <c r="AH353" s="104"/>
      <c r="AI353" s="104"/>
      <c r="AJ353" s="104"/>
      <c r="AK353" s="104"/>
    </row>
    <row r="354" spans="1:38">
      <c r="A354" s="90" t="s">
        <v>332</v>
      </c>
      <c r="B354" s="91" t="s">
        <v>38</v>
      </c>
      <c r="C354" s="91" t="s">
        <v>39</v>
      </c>
      <c r="D354" s="91" t="s">
        <v>40</v>
      </c>
      <c r="E354" s="91" t="s">
        <v>44</v>
      </c>
      <c r="F354" s="91" t="s">
        <v>44</v>
      </c>
      <c r="G354" s="91" t="s">
        <v>44</v>
      </c>
      <c r="H354" s="91" t="s">
        <v>160</v>
      </c>
      <c r="I354" s="91" t="s">
        <v>354</v>
      </c>
      <c r="J354" s="91" t="s">
        <v>361</v>
      </c>
      <c r="K354" s="91" t="s">
        <v>44</v>
      </c>
      <c r="L354" s="91"/>
      <c r="M354" s="91" t="s">
        <v>43</v>
      </c>
      <c r="N354" s="91" t="s">
        <v>37</v>
      </c>
      <c r="O354" s="92">
        <v>0</v>
      </c>
      <c r="P354" s="110"/>
      <c r="Q354" s="110" t="s">
        <v>235</v>
      </c>
      <c r="R354" s="95">
        <v>0</v>
      </c>
      <c r="S354" s="95">
        <v>109734.59</v>
      </c>
      <c r="T354" s="95">
        <v>109734.59</v>
      </c>
      <c r="U354" s="104">
        <f t="shared" ref="U354:U356" si="81">R354+S354-T354</f>
        <v>0</v>
      </c>
      <c r="V354" s="103">
        <v>0</v>
      </c>
      <c r="W354" s="95"/>
      <c r="X354" s="22">
        <f t="shared" si="69"/>
        <v>0</v>
      </c>
      <c r="Y354" s="103">
        <f t="shared" ref="Y354:Y363" si="82">IF(N354="返现",V354*O354,T354-V354)</f>
        <v>109734.59</v>
      </c>
      <c r="Z354" s="95">
        <v>109734.59</v>
      </c>
      <c r="AA354" s="106">
        <v>0</v>
      </c>
      <c r="AB354" s="95">
        <f t="shared" ref="AB354:AB358" si="83">Z354*AA354</f>
        <v>0</v>
      </c>
      <c r="AC354" s="110"/>
      <c r="AD354" s="110"/>
      <c r="AE354" s="92">
        <v>0</v>
      </c>
      <c r="AF354" s="95"/>
      <c r="AG354" s="95">
        <v>0</v>
      </c>
      <c r="AH354" s="95"/>
      <c r="AI354" s="95"/>
      <c r="AJ354" s="95"/>
      <c r="AK354" s="95"/>
    </row>
    <row r="355" spans="1:38">
      <c r="A355" s="90" t="s">
        <v>332</v>
      </c>
      <c r="B355" s="91" t="s">
        <v>38</v>
      </c>
      <c r="C355" s="91" t="s">
        <v>39</v>
      </c>
      <c r="D355" s="91" t="s">
        <v>40</v>
      </c>
      <c r="E355" s="91" t="s">
        <v>44</v>
      </c>
      <c r="F355" s="91" t="s">
        <v>44</v>
      </c>
      <c r="G355" s="91" t="s">
        <v>44</v>
      </c>
      <c r="H355" s="91" t="s">
        <v>340</v>
      </c>
      <c r="I355" s="91" t="s">
        <v>164</v>
      </c>
      <c r="J355" s="91" t="s">
        <v>361</v>
      </c>
      <c r="K355" s="91" t="s">
        <v>44</v>
      </c>
      <c r="L355" s="91"/>
      <c r="M355" s="91" t="s">
        <v>43</v>
      </c>
      <c r="N355" s="91" t="s">
        <v>37</v>
      </c>
      <c r="O355" s="92">
        <v>0</v>
      </c>
      <c r="P355" s="110"/>
      <c r="Q355" s="110" t="s">
        <v>235</v>
      </c>
      <c r="R355" s="95">
        <v>0</v>
      </c>
      <c r="S355" s="95">
        <v>81000</v>
      </c>
      <c r="T355" s="95">
        <v>81000</v>
      </c>
      <c r="U355" s="104">
        <f t="shared" si="81"/>
        <v>0</v>
      </c>
      <c r="V355" s="103">
        <v>0</v>
      </c>
      <c r="W355" s="95"/>
      <c r="X355" s="22">
        <f t="shared" si="69"/>
        <v>0</v>
      </c>
      <c r="Y355" s="103">
        <f t="shared" si="82"/>
        <v>81000</v>
      </c>
      <c r="Z355" s="95">
        <v>81000</v>
      </c>
      <c r="AA355" s="106">
        <v>0</v>
      </c>
      <c r="AB355" s="95">
        <f t="shared" si="83"/>
        <v>0</v>
      </c>
      <c r="AC355" s="110"/>
      <c r="AD355" s="110"/>
      <c r="AE355" s="92">
        <v>0</v>
      </c>
      <c r="AF355" s="95"/>
      <c r="AG355" s="95">
        <v>0</v>
      </c>
      <c r="AH355" s="95"/>
      <c r="AI355" s="95"/>
      <c r="AJ355" s="95"/>
      <c r="AK355" s="95"/>
    </row>
    <row r="356" spans="1:38">
      <c r="A356" s="90" t="s">
        <v>332</v>
      </c>
      <c r="B356" s="91" t="s">
        <v>38</v>
      </c>
      <c r="C356" s="91" t="s">
        <v>51</v>
      </c>
      <c r="D356" s="91" t="s">
        <v>52</v>
      </c>
      <c r="E356" s="91" t="s">
        <v>341</v>
      </c>
      <c r="F356" s="91" t="s">
        <v>341</v>
      </c>
      <c r="G356" s="91" t="s">
        <v>150</v>
      </c>
      <c r="H356" s="91" t="s">
        <v>34</v>
      </c>
      <c r="I356" s="91" t="s">
        <v>353</v>
      </c>
      <c r="J356" s="91" t="s">
        <v>361</v>
      </c>
      <c r="K356" s="91" t="str">
        <f>E356</f>
        <v>北京金海群英网络信息技术有限公司</v>
      </c>
      <c r="L356" s="91"/>
      <c r="M356" s="91" t="s">
        <v>159</v>
      </c>
      <c r="N356" s="91" t="s">
        <v>37</v>
      </c>
      <c r="O356" s="92">
        <v>0</v>
      </c>
      <c r="P356" s="110"/>
      <c r="Q356" s="110"/>
      <c r="R356" s="95"/>
      <c r="S356" s="95">
        <v>95400</v>
      </c>
      <c r="T356" s="95">
        <v>95400</v>
      </c>
      <c r="U356" s="104">
        <f t="shared" si="81"/>
        <v>0</v>
      </c>
      <c r="V356" s="103">
        <f t="shared" ref="V356:V358" si="84">IF(N356="返现",T356,IF(N356="折扣",T356*O356,T356/(1+O356)))</f>
        <v>95400</v>
      </c>
      <c r="W356" s="95"/>
      <c r="X356" s="22">
        <f t="shared" si="69"/>
        <v>0</v>
      </c>
      <c r="Y356" s="103">
        <f t="shared" si="82"/>
        <v>0</v>
      </c>
      <c r="Z356" s="95">
        <v>95400</v>
      </c>
      <c r="AA356" s="96">
        <v>0.05</v>
      </c>
      <c r="AB356" s="95">
        <f t="shared" si="83"/>
        <v>4770</v>
      </c>
      <c r="AC356" s="110" t="s">
        <v>342</v>
      </c>
      <c r="AD356" s="110"/>
      <c r="AE356" s="92">
        <v>0</v>
      </c>
      <c r="AF356" s="95"/>
      <c r="AG356" s="95"/>
      <c r="AH356" s="110"/>
      <c r="AI356" s="110"/>
      <c r="AJ356" s="110"/>
      <c r="AK356" s="110"/>
    </row>
    <row r="357" spans="1:38">
      <c r="A357" s="90" t="s">
        <v>332</v>
      </c>
      <c r="B357" s="91" t="s">
        <v>38</v>
      </c>
      <c r="C357" s="91" t="s">
        <v>39</v>
      </c>
      <c r="D357" s="91" t="s">
        <v>40</v>
      </c>
      <c r="E357" s="91" t="s">
        <v>44</v>
      </c>
      <c r="F357" s="91" t="s">
        <v>44</v>
      </c>
      <c r="G357" s="91" t="s">
        <v>44</v>
      </c>
      <c r="H357" s="91" t="s">
        <v>34</v>
      </c>
      <c r="I357" s="91" t="s">
        <v>353</v>
      </c>
      <c r="J357" s="91" t="s">
        <v>361</v>
      </c>
      <c r="K357" s="91" t="s">
        <v>44</v>
      </c>
      <c r="L357" s="91"/>
      <c r="M357" s="91" t="s">
        <v>159</v>
      </c>
      <c r="N357" s="91" t="s">
        <v>37</v>
      </c>
      <c r="O357" s="92">
        <v>0</v>
      </c>
      <c r="P357" s="110"/>
      <c r="Q357" s="110" t="s">
        <v>343</v>
      </c>
      <c r="R357" s="95">
        <v>0</v>
      </c>
      <c r="S357" s="95">
        <v>3704750</v>
      </c>
      <c r="T357" s="95">
        <v>6794871.79</v>
      </c>
      <c r="U357" s="104">
        <v>0</v>
      </c>
      <c r="V357" s="103">
        <v>6410256.4056603778</v>
      </c>
      <c r="W357" s="95">
        <f>384615.384339623+3867490.29</f>
        <v>4252105.6743396232</v>
      </c>
      <c r="X357" s="22">
        <f t="shared" si="69"/>
        <v>2705506.4056603778</v>
      </c>
      <c r="Y357" s="103">
        <f t="shared" si="82"/>
        <v>384615.38433962222</v>
      </c>
      <c r="Z357" s="95">
        <v>3704750</v>
      </c>
      <c r="AA357" s="96">
        <v>0.05</v>
      </c>
      <c r="AB357" s="95">
        <f t="shared" si="83"/>
        <v>185237.5</v>
      </c>
      <c r="AC357" s="110" t="s">
        <v>342</v>
      </c>
      <c r="AD357" s="110"/>
      <c r="AE357" s="92">
        <v>0</v>
      </c>
      <c r="AF357" s="95"/>
      <c r="AG357" s="95">
        <v>0</v>
      </c>
      <c r="AH357" s="110"/>
      <c r="AI357" s="110"/>
      <c r="AJ357" s="110"/>
      <c r="AK357" s="110"/>
    </row>
    <row r="358" spans="1:38">
      <c r="A358" s="90" t="s">
        <v>332</v>
      </c>
      <c r="B358" s="91" t="s">
        <v>28</v>
      </c>
      <c r="C358" s="91" t="s">
        <v>39</v>
      </c>
      <c r="D358" s="91" t="s">
        <v>40</v>
      </c>
      <c r="E358" s="91" t="s">
        <v>333</v>
      </c>
      <c r="F358" s="91" t="s">
        <v>334</v>
      </c>
      <c r="G358" s="91" t="s">
        <v>33</v>
      </c>
      <c r="H358" s="91" t="s">
        <v>34</v>
      </c>
      <c r="I358" s="91" t="s">
        <v>353</v>
      </c>
      <c r="J358" s="91" t="s">
        <v>361</v>
      </c>
      <c r="K358" s="91" t="s">
        <v>333</v>
      </c>
      <c r="L358" s="91"/>
      <c r="M358" s="91" t="s">
        <v>169</v>
      </c>
      <c r="N358" s="91" t="s">
        <v>37</v>
      </c>
      <c r="O358" s="102">
        <v>0</v>
      </c>
      <c r="P358" s="110"/>
      <c r="Q358" s="110"/>
      <c r="R358" s="104">
        <v>0</v>
      </c>
      <c r="S358" s="104">
        <v>0</v>
      </c>
      <c r="T358" s="104">
        <v>173947.4</v>
      </c>
      <c r="U358" s="103">
        <v>0</v>
      </c>
      <c r="V358" s="103">
        <f t="shared" si="84"/>
        <v>173947.4</v>
      </c>
      <c r="W358" s="103"/>
      <c r="X358" s="22">
        <f t="shared" si="69"/>
        <v>0</v>
      </c>
      <c r="Y358" s="103">
        <f t="shared" si="82"/>
        <v>0</v>
      </c>
      <c r="Z358" s="104">
        <v>173947.4</v>
      </c>
      <c r="AA358" s="96">
        <v>0.05</v>
      </c>
      <c r="AB358" s="103">
        <f t="shared" si="83"/>
        <v>8697.3700000000008</v>
      </c>
      <c r="AC358" s="91" t="s">
        <v>342</v>
      </c>
      <c r="AD358" s="91"/>
      <c r="AE358" s="107">
        <v>0</v>
      </c>
      <c r="AF358" s="103"/>
      <c r="AG358" s="103"/>
      <c r="AH358" s="103"/>
      <c r="AI358" s="103"/>
      <c r="AJ358" s="103"/>
      <c r="AK358" s="103"/>
    </row>
    <row r="359" spans="1:38">
      <c r="A359" s="90" t="s">
        <v>332</v>
      </c>
      <c r="B359" s="91" t="s">
        <v>38</v>
      </c>
      <c r="C359" s="91" t="s">
        <v>39</v>
      </c>
      <c r="D359" s="91" t="s">
        <v>40</v>
      </c>
      <c r="E359" s="91" t="s">
        <v>44</v>
      </c>
      <c r="F359" s="91" t="s">
        <v>44</v>
      </c>
      <c r="G359" s="91" t="s">
        <v>44</v>
      </c>
      <c r="H359" s="91" t="s">
        <v>34</v>
      </c>
      <c r="I359" s="91" t="s">
        <v>353</v>
      </c>
      <c r="J359" s="91" t="s">
        <v>361</v>
      </c>
      <c r="K359" s="91" t="s">
        <v>44</v>
      </c>
      <c r="L359" s="91"/>
      <c r="M359" s="91" t="s">
        <v>344</v>
      </c>
      <c r="N359" s="91" t="s">
        <v>37</v>
      </c>
      <c r="O359" s="92">
        <v>0</v>
      </c>
      <c r="P359" s="110"/>
      <c r="Q359" s="110" t="s">
        <v>345</v>
      </c>
      <c r="R359" s="95"/>
      <c r="S359" s="95"/>
      <c r="T359" s="95"/>
      <c r="U359" s="95"/>
      <c r="V359" s="95"/>
      <c r="W359" s="95">
        <v>4240</v>
      </c>
      <c r="X359" s="22">
        <f t="shared" si="69"/>
        <v>0</v>
      </c>
      <c r="Y359" s="103">
        <f t="shared" si="82"/>
        <v>0</v>
      </c>
      <c r="Z359" s="95"/>
      <c r="AA359" s="96">
        <v>0.05</v>
      </c>
      <c r="AB359" s="110"/>
      <c r="AC359" s="110"/>
      <c r="AD359" s="110"/>
      <c r="AE359" s="92">
        <v>0</v>
      </c>
      <c r="AF359" s="110"/>
      <c r="AG359" s="110"/>
      <c r="AH359" s="110"/>
      <c r="AI359" s="110"/>
      <c r="AJ359" s="110"/>
      <c r="AK359" s="110"/>
    </row>
    <row r="360" spans="1:38">
      <c r="A360" s="90" t="s">
        <v>332</v>
      </c>
      <c r="B360" s="91" t="s">
        <v>38</v>
      </c>
      <c r="C360" s="91" t="s">
        <v>39</v>
      </c>
      <c r="D360" s="91" t="s">
        <v>40</v>
      </c>
      <c r="E360" s="91" t="s">
        <v>44</v>
      </c>
      <c r="F360" s="91" t="s">
        <v>44</v>
      </c>
      <c r="G360" s="91" t="s">
        <v>44</v>
      </c>
      <c r="H360" s="91" t="s">
        <v>34</v>
      </c>
      <c r="I360" s="91" t="s">
        <v>353</v>
      </c>
      <c r="J360" s="91" t="s">
        <v>361</v>
      </c>
      <c r="K360" s="91" t="s">
        <v>44</v>
      </c>
      <c r="L360" s="91"/>
      <c r="M360" s="91" t="s">
        <v>346</v>
      </c>
      <c r="N360" s="91" t="s">
        <v>37</v>
      </c>
      <c r="O360" s="92">
        <v>0</v>
      </c>
      <c r="P360" s="110"/>
      <c r="Q360" s="110" t="s">
        <v>345</v>
      </c>
      <c r="R360" s="95"/>
      <c r="S360" s="95"/>
      <c r="T360" s="95"/>
      <c r="U360" s="95"/>
      <c r="V360" s="95"/>
      <c r="W360" s="95">
        <v>218560</v>
      </c>
      <c r="X360" s="22">
        <f t="shared" si="69"/>
        <v>0</v>
      </c>
      <c r="Y360" s="103">
        <f t="shared" si="82"/>
        <v>0</v>
      </c>
      <c r="Z360" s="95"/>
      <c r="AA360" s="96">
        <v>0.05</v>
      </c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</row>
    <row r="361" spans="1:38">
      <c r="A361" s="90" t="s">
        <v>332</v>
      </c>
      <c r="B361" s="91" t="s">
        <v>38</v>
      </c>
      <c r="C361" s="91" t="s">
        <v>39</v>
      </c>
      <c r="D361" s="91" t="s">
        <v>40</v>
      </c>
      <c r="E361" s="91" t="s">
        <v>44</v>
      </c>
      <c r="F361" s="91" t="s">
        <v>44</v>
      </c>
      <c r="G361" s="91" t="s">
        <v>44</v>
      </c>
      <c r="H361" s="91" t="s">
        <v>192</v>
      </c>
      <c r="I361" s="91" t="s">
        <v>356</v>
      </c>
      <c r="J361" s="91" t="s">
        <v>361</v>
      </c>
      <c r="K361" s="91" t="s">
        <v>44</v>
      </c>
      <c r="L361" s="91"/>
      <c r="M361" s="91" t="s">
        <v>43</v>
      </c>
      <c r="N361" s="91" t="s">
        <v>37</v>
      </c>
      <c r="O361" s="92">
        <v>0</v>
      </c>
      <c r="P361" s="110"/>
      <c r="Q361" s="110" t="s">
        <v>345</v>
      </c>
      <c r="R361" s="95"/>
      <c r="S361" s="95"/>
      <c r="T361" s="95"/>
      <c r="U361" s="95"/>
      <c r="V361" s="95"/>
      <c r="W361" s="95">
        <v>81408</v>
      </c>
      <c r="X361" s="22">
        <f t="shared" ref="X361:X363" si="85">IF(V361-Z361&lt;0,0,IF(N361="返现",MAX(V361-Y361-Z361,0),MAX(V361-Z361,0)))</f>
        <v>0</v>
      </c>
      <c r="Y361" s="103">
        <f t="shared" si="82"/>
        <v>0</v>
      </c>
      <c r="Z361" s="95"/>
      <c r="AA361" s="106">
        <v>0</v>
      </c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</row>
    <row r="362" spans="1:38">
      <c r="A362" s="90" t="s">
        <v>332</v>
      </c>
      <c r="B362" s="91" t="s">
        <v>38</v>
      </c>
      <c r="C362" s="91" t="s">
        <v>39</v>
      </c>
      <c r="D362" s="91" t="s">
        <v>40</v>
      </c>
      <c r="E362" s="91" t="s">
        <v>44</v>
      </c>
      <c r="F362" s="91" t="s">
        <v>44</v>
      </c>
      <c r="G362" s="91" t="s">
        <v>44</v>
      </c>
      <c r="H362" s="91" t="s">
        <v>347</v>
      </c>
      <c r="I362" s="91" t="s">
        <v>356</v>
      </c>
      <c r="J362" s="91" t="s">
        <v>361</v>
      </c>
      <c r="K362" s="91" t="s">
        <v>44</v>
      </c>
      <c r="L362" s="91"/>
      <c r="M362" s="91" t="s">
        <v>43</v>
      </c>
      <c r="N362" s="91" t="s">
        <v>37</v>
      </c>
      <c r="O362" s="92">
        <v>0</v>
      </c>
      <c r="P362" s="110"/>
      <c r="Q362" s="110" t="s">
        <v>345</v>
      </c>
      <c r="R362" s="95"/>
      <c r="S362" s="95"/>
      <c r="T362" s="95"/>
      <c r="U362" s="95"/>
      <c r="V362" s="95"/>
      <c r="W362" s="95">
        <v>81408</v>
      </c>
      <c r="X362" s="22">
        <f t="shared" si="85"/>
        <v>0</v>
      </c>
      <c r="Y362" s="103">
        <f t="shared" si="82"/>
        <v>0</v>
      </c>
      <c r="Z362" s="95"/>
      <c r="AA362" s="106">
        <v>0</v>
      </c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</row>
    <row r="363" spans="1:38">
      <c r="A363" s="90" t="s">
        <v>332</v>
      </c>
      <c r="B363" s="91" t="s">
        <v>38</v>
      </c>
      <c r="C363" s="91" t="s">
        <v>39</v>
      </c>
      <c r="D363" s="91" t="s">
        <v>40</v>
      </c>
      <c r="E363" s="91" t="s">
        <v>44</v>
      </c>
      <c r="F363" s="91" t="s">
        <v>44</v>
      </c>
      <c r="G363" s="91" t="s">
        <v>44</v>
      </c>
      <c r="H363" s="91" t="s">
        <v>355</v>
      </c>
      <c r="I363" s="91" t="s">
        <v>356</v>
      </c>
      <c r="J363" s="91" t="s">
        <v>361</v>
      </c>
      <c r="K363" s="91" t="s">
        <v>44</v>
      </c>
      <c r="L363" s="91"/>
      <c r="M363" s="91" t="s">
        <v>159</v>
      </c>
      <c r="N363" s="91" t="s">
        <v>37</v>
      </c>
      <c r="O363" s="92">
        <v>0</v>
      </c>
      <c r="P363" s="110"/>
      <c r="Q363" s="110" t="s">
        <v>348</v>
      </c>
      <c r="R363" s="95"/>
      <c r="S363" s="95"/>
      <c r="T363" s="95"/>
      <c r="U363" s="95"/>
      <c r="V363" s="95">
        <v>-300000</v>
      </c>
      <c r="W363" s="95"/>
      <c r="X363" s="22">
        <f t="shared" si="85"/>
        <v>0</v>
      </c>
      <c r="Y363" s="103">
        <f t="shared" si="82"/>
        <v>300000</v>
      </c>
      <c r="Z363" s="95"/>
      <c r="AA363" s="106">
        <v>0</v>
      </c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</row>
    <row r="364" spans="1:38">
      <c r="A364" s="90" t="s">
        <v>332</v>
      </c>
      <c r="B364" s="91" t="s">
        <v>28</v>
      </c>
      <c r="C364" s="91" t="s">
        <v>315</v>
      </c>
      <c r="D364" s="91" t="s">
        <v>316</v>
      </c>
      <c r="E364" s="160" t="s">
        <v>362</v>
      </c>
      <c r="F364" s="161" t="s">
        <v>363</v>
      </c>
      <c r="G364" s="162" t="s">
        <v>362</v>
      </c>
      <c r="H364" s="91" t="s">
        <v>34</v>
      </c>
      <c r="I364" s="91" t="s">
        <v>353</v>
      </c>
      <c r="J364" s="91" t="s">
        <v>361</v>
      </c>
      <c r="K364" s="161" t="s">
        <v>362</v>
      </c>
      <c r="L364" s="91"/>
      <c r="M364" s="91" t="s">
        <v>364</v>
      </c>
      <c r="N364" s="91" t="s">
        <v>37</v>
      </c>
      <c r="O364" s="92">
        <v>0</v>
      </c>
      <c r="P364" s="110"/>
      <c r="Q364" s="110"/>
      <c r="R364" s="95">
        <v>21002.44</v>
      </c>
      <c r="S364" s="95">
        <v>0</v>
      </c>
      <c r="T364" s="95">
        <v>0</v>
      </c>
      <c r="U364" s="94">
        <f t="shared" ref="U364" si="86">R364+S364-T364</f>
        <v>21002.44</v>
      </c>
      <c r="V364" s="95">
        <v>0</v>
      </c>
      <c r="W364" s="95"/>
      <c r="X364" s="22">
        <f t="shared" ref="X364" si="87">IF(V364-Z364&lt;0,0,IF(N364="返现",MAX(V364-Y364-Z364,0),MAX(V364-Z364,0)))</f>
        <v>0</v>
      </c>
      <c r="Y364" s="103">
        <f t="shared" ref="Y364" si="88">IF(N364="返现",V364*O364,T364-V364)</f>
        <v>0</v>
      </c>
      <c r="Z364" s="95"/>
      <c r="AA364" s="106">
        <v>0</v>
      </c>
      <c r="AB364" s="110"/>
      <c r="AC364" s="110"/>
      <c r="AD364" s="110"/>
      <c r="AE364" s="106">
        <v>0</v>
      </c>
      <c r="AF364" s="110"/>
      <c r="AG364" s="95">
        <v>0</v>
      </c>
      <c r="AH364" s="95">
        <v>0</v>
      </c>
      <c r="AI364" s="95">
        <v>0</v>
      </c>
      <c r="AJ364" s="95">
        <v>0</v>
      </c>
      <c r="AK364" s="95">
        <v>0</v>
      </c>
      <c r="AL364" s="95">
        <v>0</v>
      </c>
    </row>
  </sheetData>
  <autoFilter ref="A1:AL364"/>
  <phoneticPr fontId="10" type="noConversion"/>
  <conditionalFormatting sqref="Q126">
    <cfRule type="duplicateValues" dxfId="8" priority="9"/>
  </conditionalFormatting>
  <conditionalFormatting sqref="Q127">
    <cfRule type="duplicateValues" dxfId="7" priority="8"/>
  </conditionalFormatting>
  <conditionalFormatting sqref="Q128">
    <cfRule type="duplicateValues" dxfId="6" priority="7"/>
  </conditionalFormatting>
  <conditionalFormatting sqref="P181:P231">
    <cfRule type="duplicateValues" dxfId="5" priority="6"/>
  </conditionalFormatting>
  <conditionalFormatting sqref="Q298:Q352">
    <cfRule type="duplicateValues" dxfId="4" priority="5"/>
  </conditionalFormatting>
  <conditionalFormatting sqref="Q353">
    <cfRule type="duplicateValues" dxfId="3" priority="4"/>
  </conditionalFormatting>
  <conditionalFormatting sqref="Q354">
    <cfRule type="duplicateValues" dxfId="2" priority="3"/>
  </conditionalFormatting>
  <conditionalFormatting sqref="Q355:Q357">
    <cfRule type="duplicateValues" dxfId="1" priority="2"/>
  </conditionalFormatting>
  <conditionalFormatting sqref="Q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C22" sqref="C22"/>
    </sheetView>
  </sheetViews>
  <sheetFormatPr defaultColWidth="9" defaultRowHeight="14.5"/>
  <cols>
    <col min="1" max="1" width="20.90625" style="133" customWidth="1"/>
    <col min="2" max="2" width="5.90625" style="133" bestFit="1" customWidth="1"/>
    <col min="3" max="3" width="33.6328125" style="133" customWidth="1"/>
    <col min="4" max="4" width="25.90625" style="133" bestFit="1" customWidth="1"/>
    <col min="5" max="5" width="11" style="158" bestFit="1" customWidth="1"/>
    <col min="6" max="6" width="8" style="133" bestFit="1" customWidth="1"/>
    <col min="7" max="7" width="15.453125" style="159" bestFit="1" customWidth="1"/>
    <col min="8" max="8" width="16.08984375" style="133" bestFit="1" customWidth="1"/>
    <col min="9" max="9" width="8" style="133" bestFit="1" customWidth="1"/>
    <col min="10" max="10" width="12.6328125" style="159" bestFit="1" customWidth="1"/>
    <col min="11" max="12" width="14.36328125" style="133" bestFit="1" customWidth="1"/>
    <col min="13" max="13" width="14" style="133" customWidth="1"/>
    <col min="14" max="14" width="8" style="133" bestFit="1" customWidth="1"/>
    <col min="15" max="15" width="15.453125" style="159" bestFit="1" customWidth="1"/>
    <col min="16" max="16" width="10.08984375" style="159" bestFit="1" customWidth="1"/>
    <col min="17" max="18" width="15.90625" style="133" bestFit="1" customWidth="1"/>
    <col min="19" max="19" width="8.453125" style="133" bestFit="1" customWidth="1"/>
    <col min="20" max="20" width="9.36328125" style="133" customWidth="1"/>
    <col min="21" max="21" width="8" style="133" bestFit="1" customWidth="1"/>
    <col min="22" max="16384" width="9" style="133"/>
  </cols>
  <sheetData>
    <row r="1" spans="1:21" ht="15" thickBot="1">
      <c r="A1" s="129" t="s">
        <v>8</v>
      </c>
      <c r="B1" s="130" t="s">
        <v>194</v>
      </c>
      <c r="C1" s="130" t="s">
        <v>195</v>
      </c>
      <c r="D1" s="130" t="s">
        <v>6</v>
      </c>
      <c r="E1" s="130" t="s">
        <v>196</v>
      </c>
      <c r="F1" s="130" t="s">
        <v>12</v>
      </c>
      <c r="G1" s="131" t="s">
        <v>22</v>
      </c>
      <c r="H1" s="130" t="s">
        <v>197</v>
      </c>
      <c r="I1" s="130" t="s">
        <v>198</v>
      </c>
      <c r="J1" s="131" t="s">
        <v>199</v>
      </c>
      <c r="K1" s="130" t="s">
        <v>200</v>
      </c>
      <c r="L1" s="130" t="s">
        <v>271</v>
      </c>
      <c r="M1" s="130" t="s">
        <v>201</v>
      </c>
      <c r="N1" s="130" t="s">
        <v>13</v>
      </c>
      <c r="O1" s="131" t="s">
        <v>19</v>
      </c>
      <c r="P1" s="131" t="s">
        <v>202</v>
      </c>
      <c r="Q1" s="130" t="s">
        <v>203</v>
      </c>
      <c r="R1" s="130" t="s">
        <v>204</v>
      </c>
      <c r="S1" s="130" t="s">
        <v>205</v>
      </c>
      <c r="T1" s="130" t="s">
        <v>206</v>
      </c>
      <c r="U1" s="132" t="s">
        <v>207</v>
      </c>
    </row>
    <row r="2" spans="1:21">
      <c r="A2" s="134" t="s">
        <v>35</v>
      </c>
      <c r="B2" s="134" t="s">
        <v>208</v>
      </c>
      <c r="C2" s="134" t="s">
        <v>34</v>
      </c>
      <c r="D2" s="134" t="s">
        <v>209</v>
      </c>
      <c r="E2" s="135" t="s">
        <v>27</v>
      </c>
      <c r="F2" s="134" t="s">
        <v>43</v>
      </c>
      <c r="G2" s="136">
        <f>1521642.54+249841.48-254831.51</f>
        <v>1516652.51</v>
      </c>
      <c r="H2" s="136">
        <f>1521642.54+249841.48-254831.51</f>
        <v>1516652.51</v>
      </c>
      <c r="I2" s="137">
        <f>J2/H2</f>
        <v>8.3756283675168394E-2</v>
      </c>
      <c r="J2" s="138">
        <v>127029.17786421618</v>
      </c>
      <c r="K2" s="136"/>
      <c r="L2" s="136"/>
      <c r="M2" s="139">
        <f t="shared" ref="M2:M10" si="0">J2-K2</f>
        <v>127029.17786421618</v>
      </c>
      <c r="N2" s="134" t="s">
        <v>55</v>
      </c>
      <c r="O2" s="138">
        <f>SUMIFS(客户表!V:V,客户表!I:I,A2,客户表!A:A,E2,客户表!M:M,F2)+SUMIFS(客户表!W:W,客户表!I:I,A2,客户表!A:A,E2,客户表!M:M,F2)</f>
        <v>1551426.0573919206</v>
      </c>
      <c r="P2" s="138"/>
      <c r="Q2" s="140">
        <f>(O2-G2+J2)/1.06</f>
        <v>152644.0804303177</v>
      </c>
      <c r="R2" s="140">
        <f>Q2-(P2/1.06)</f>
        <v>152644.0804303177</v>
      </c>
      <c r="S2" s="141">
        <f>IFERROR(R2/O2,"-")</f>
        <v>9.8389529879964382E-2</v>
      </c>
      <c r="T2" s="134"/>
      <c r="U2" s="134" t="s">
        <v>38</v>
      </c>
    </row>
    <row r="3" spans="1:21">
      <c r="A3" s="142" t="s">
        <v>35</v>
      </c>
      <c r="B3" s="142" t="s">
        <v>208</v>
      </c>
      <c r="C3" s="142" t="s">
        <v>34</v>
      </c>
      <c r="D3" s="142" t="s">
        <v>209</v>
      </c>
      <c r="E3" s="143" t="s">
        <v>27</v>
      </c>
      <c r="F3" s="142" t="s">
        <v>36</v>
      </c>
      <c r="G3" s="128">
        <v>19880.91</v>
      </c>
      <c r="H3" s="128">
        <v>19880.91</v>
      </c>
      <c r="I3" s="137">
        <f>J3/H3</f>
        <v>8.3756283675168394E-2</v>
      </c>
      <c r="J3" s="144">
        <v>1665.1511376804922</v>
      </c>
      <c r="K3" s="128"/>
      <c r="L3" s="128"/>
      <c r="M3" s="145">
        <f t="shared" si="0"/>
        <v>1665.1511376804922</v>
      </c>
      <c r="N3" s="142" t="s">
        <v>55</v>
      </c>
      <c r="O3" s="144">
        <f>SUMIFS(客户表!V:V,客户表!I:I,A3,客户表!A:A,E3,客户表!M:M,F3)+SUMIFS(客户表!W:W,客户表!I:I,A3,客户表!A:A,E3,客户表!M:M,F3)</f>
        <v>19680.11890909091</v>
      </c>
      <c r="P3" s="144"/>
      <c r="Q3" s="146">
        <f>(O3-G3+J3)/1.06</f>
        <v>1381.4717422371721</v>
      </c>
      <c r="R3" s="146">
        <f t="shared" ref="R3:R43" si="1">Q3-(P3/1.06)</f>
        <v>1381.4717422371721</v>
      </c>
      <c r="S3" s="141">
        <f t="shared" ref="S3:S43" si="2">IFERROR(R3/O3,"-")</f>
        <v>7.019631073463807E-2</v>
      </c>
      <c r="T3" s="142"/>
      <c r="U3" s="142" t="s">
        <v>38</v>
      </c>
    </row>
    <row r="4" spans="1:21">
      <c r="A4" s="142" t="s">
        <v>35</v>
      </c>
      <c r="B4" s="142" t="s">
        <v>208</v>
      </c>
      <c r="C4" s="142" t="s">
        <v>34</v>
      </c>
      <c r="D4" s="142" t="s">
        <v>209</v>
      </c>
      <c r="E4" s="143" t="s">
        <v>27</v>
      </c>
      <c r="F4" s="142" t="s">
        <v>83</v>
      </c>
      <c r="G4" s="128">
        <v>3591.69</v>
      </c>
      <c r="H4" s="128">
        <v>3591.69</v>
      </c>
      <c r="I4" s="137">
        <f>J4/H4</f>
        <v>8.3756283675168394E-2</v>
      </c>
      <c r="J4" s="144">
        <v>300.82660651326557</v>
      </c>
      <c r="K4" s="128"/>
      <c r="L4" s="128"/>
      <c r="M4" s="145">
        <f t="shared" si="0"/>
        <v>300.82660651326557</v>
      </c>
      <c r="N4" s="142" t="s">
        <v>55</v>
      </c>
      <c r="O4" s="144">
        <f>SUMIFS(客户表!V:V,客户表!I:I,A4,客户表!A:A,E4,客户表!M:M,F4)+SUMIFS(客户表!W:W,客户表!I:I,A4,客户表!A:A,E4,客户表!M:M,F4)</f>
        <v>3187.624875</v>
      </c>
      <c r="P4" s="144"/>
      <c r="Q4" s="146">
        <f>(O4-G4+J4)/1.06</f>
        <v>-97.394828761070286</v>
      </c>
      <c r="R4" s="146">
        <f t="shared" si="1"/>
        <v>-97.394828761070286</v>
      </c>
      <c r="S4" s="141">
        <f t="shared" si="2"/>
        <v>-3.0554043396047437E-2</v>
      </c>
      <c r="T4" s="142"/>
      <c r="U4" s="142" t="s">
        <v>38</v>
      </c>
    </row>
    <row r="5" spans="1:21">
      <c r="A5" s="142" t="s">
        <v>35</v>
      </c>
      <c r="B5" s="142" t="s">
        <v>208</v>
      </c>
      <c r="C5" s="142" t="s">
        <v>34</v>
      </c>
      <c r="D5" s="142" t="s">
        <v>209</v>
      </c>
      <c r="E5" s="143" t="s">
        <v>27</v>
      </c>
      <c r="F5" s="142" t="s">
        <v>159</v>
      </c>
      <c r="G5" s="128">
        <v>4881660</v>
      </c>
      <c r="H5" s="128">
        <v>4881660</v>
      </c>
      <c r="I5" s="137">
        <f t="shared" ref="I5:I6" si="3">J5/H5</f>
        <v>8.3756283675168394E-2</v>
      </c>
      <c r="J5" s="144">
        <v>408869.69976572256</v>
      </c>
      <c r="K5" s="128">
        <v>0</v>
      </c>
      <c r="L5" s="128"/>
      <c r="M5" s="145">
        <f t="shared" si="0"/>
        <v>408869.69976572256</v>
      </c>
      <c r="N5" s="142" t="s">
        <v>210</v>
      </c>
      <c r="O5" s="144">
        <f>SUMIFS(客户表!V:V,客户表!I:I,A5,客户表!A:A,E5,客户表!M:M,F5)+SUMIFS(客户表!W:W,客户表!I:I,A5,客户表!A:A,E5,客户表!M:M,F5)</f>
        <v>8310399.3200000003</v>
      </c>
      <c r="P5" s="144"/>
      <c r="Q5" s="146">
        <f t="shared" ref="Q5:Q43" si="4">(O5-G5+J5)/1.06</f>
        <v>3620385.8677035123</v>
      </c>
      <c r="R5" s="146">
        <f t="shared" si="1"/>
        <v>3620385.8677035123</v>
      </c>
      <c r="S5" s="141">
        <f t="shared" si="2"/>
        <v>0.43564523536078553</v>
      </c>
      <c r="T5" s="142"/>
      <c r="U5" s="142" t="s">
        <v>38</v>
      </c>
    </row>
    <row r="6" spans="1:21">
      <c r="A6" s="142" t="s">
        <v>158</v>
      </c>
      <c r="B6" s="142" t="s">
        <v>208</v>
      </c>
      <c r="C6" s="142" t="s">
        <v>34</v>
      </c>
      <c r="D6" s="142" t="s">
        <v>209</v>
      </c>
      <c r="E6" s="143" t="s">
        <v>27</v>
      </c>
      <c r="F6" s="142" t="s">
        <v>159</v>
      </c>
      <c r="G6" s="128">
        <v>256760</v>
      </c>
      <c r="H6" s="128">
        <v>256760</v>
      </c>
      <c r="I6" s="137">
        <f t="shared" si="3"/>
        <v>8.3756283675168408E-2</v>
      </c>
      <c r="J6" s="144">
        <v>21505.263396436239</v>
      </c>
      <c r="K6" s="128">
        <v>0</v>
      </c>
      <c r="L6" s="128"/>
      <c r="M6" s="145">
        <f t="shared" si="0"/>
        <v>21505.263396436239</v>
      </c>
      <c r="N6" s="142" t="s">
        <v>210</v>
      </c>
      <c r="O6" s="144">
        <f>SUMIFS(客户表!V:V,客户表!I:I,A6,客户表!A:A,E6,客户表!M:M,F6)+SUMIFS(客户表!W:W,客户表!I:I,A6,客户表!A:A,E6,客户表!M:M,F6)</f>
        <v>256760</v>
      </c>
      <c r="P6" s="144"/>
      <c r="Q6" s="146">
        <f t="shared" si="4"/>
        <v>20287.984336260601</v>
      </c>
      <c r="R6" s="146">
        <f t="shared" si="1"/>
        <v>20287.984336260601</v>
      </c>
      <c r="S6" s="141">
        <f t="shared" si="2"/>
        <v>7.9015361957706032E-2</v>
      </c>
      <c r="T6" s="142"/>
      <c r="U6" s="142" t="s">
        <v>38</v>
      </c>
    </row>
    <row r="7" spans="1:21">
      <c r="A7" s="142" t="s">
        <v>161</v>
      </c>
      <c r="B7" s="142" t="s">
        <v>240</v>
      </c>
      <c r="C7" s="142" t="s">
        <v>212</v>
      </c>
      <c r="D7" s="142" t="s">
        <v>212</v>
      </c>
      <c r="E7" s="143" t="s">
        <v>27</v>
      </c>
      <c r="F7" s="142" t="s">
        <v>43</v>
      </c>
      <c r="G7" s="128">
        <v>292652.43</v>
      </c>
      <c r="H7" s="128">
        <v>292652.43</v>
      </c>
      <c r="I7" s="147">
        <v>0</v>
      </c>
      <c r="J7" s="145">
        <f t="shared" ref="J7:J10" si="5">H7*I7</f>
        <v>0</v>
      </c>
      <c r="K7" s="128">
        <v>0</v>
      </c>
      <c r="L7" s="128"/>
      <c r="M7" s="145">
        <f t="shared" si="0"/>
        <v>0</v>
      </c>
      <c r="N7" s="142" t="s">
        <v>37</v>
      </c>
      <c r="O7" s="144">
        <f>SUMIFS(客户表!V:V,客户表!I:I,A7,客户表!A:A,E7,客户表!M:M,F7)+SUMIFS(客户表!W:W,客户表!I:I,A7,客户表!A:A,E7,客户表!M:M,F7)</f>
        <v>0</v>
      </c>
      <c r="P7" s="144"/>
      <c r="Q7" s="146">
        <f t="shared" si="4"/>
        <v>-276087.19811320753</v>
      </c>
      <c r="R7" s="146">
        <f t="shared" si="1"/>
        <v>-276087.19811320753</v>
      </c>
      <c r="S7" s="141" t="str">
        <f t="shared" si="2"/>
        <v>-</v>
      </c>
      <c r="T7" s="142"/>
      <c r="U7" s="142" t="s">
        <v>38</v>
      </c>
    </row>
    <row r="8" spans="1:21">
      <c r="A8" s="142" t="s">
        <v>164</v>
      </c>
      <c r="B8" s="142" t="s">
        <v>240</v>
      </c>
      <c r="C8" s="142" t="s">
        <v>163</v>
      </c>
      <c r="D8" s="142" t="s">
        <v>163</v>
      </c>
      <c r="E8" s="143" t="s">
        <v>27</v>
      </c>
      <c r="F8" s="142" t="s">
        <v>43</v>
      </c>
      <c r="G8" s="128">
        <v>81000</v>
      </c>
      <c r="H8" s="128">
        <v>81000</v>
      </c>
      <c r="I8" s="147">
        <v>0</v>
      </c>
      <c r="J8" s="145">
        <f t="shared" si="5"/>
        <v>0</v>
      </c>
      <c r="K8" s="128">
        <v>0</v>
      </c>
      <c r="L8" s="128"/>
      <c r="M8" s="145">
        <f t="shared" si="0"/>
        <v>0</v>
      </c>
      <c r="N8" s="142" t="s">
        <v>37</v>
      </c>
      <c r="O8" s="144">
        <f>SUMIFS(客户表!V:V,客户表!I:I,A8,客户表!A:A,E8,客户表!M:M,F8)+SUMIFS(客户表!W:W,客户表!I:I,A8,客户表!A:A,E8,客户表!M:M,F8)</f>
        <v>0</v>
      </c>
      <c r="P8" s="144"/>
      <c r="Q8" s="146">
        <f t="shared" si="4"/>
        <v>-76415.094339622636</v>
      </c>
      <c r="R8" s="146">
        <f t="shared" si="1"/>
        <v>-76415.094339622636</v>
      </c>
      <c r="S8" s="141" t="str">
        <f t="shared" si="2"/>
        <v>-</v>
      </c>
      <c r="T8" s="142"/>
      <c r="U8" s="142" t="s">
        <v>38</v>
      </c>
    </row>
    <row r="9" spans="1:21">
      <c r="A9" s="142" t="s">
        <v>168</v>
      </c>
      <c r="B9" s="142" t="s">
        <v>240</v>
      </c>
      <c r="C9" s="142" t="s">
        <v>167</v>
      </c>
      <c r="D9" s="142" t="s">
        <v>167</v>
      </c>
      <c r="E9" s="143" t="s">
        <v>27</v>
      </c>
      <c r="F9" s="142" t="s">
        <v>169</v>
      </c>
      <c r="G9" s="128">
        <v>13390650</v>
      </c>
      <c r="H9" s="128">
        <v>13390650</v>
      </c>
      <c r="I9" s="147">
        <v>0</v>
      </c>
      <c r="J9" s="145">
        <f t="shared" si="5"/>
        <v>0</v>
      </c>
      <c r="K9" s="128">
        <v>0</v>
      </c>
      <c r="L9" s="128"/>
      <c r="M9" s="145">
        <f t="shared" si="0"/>
        <v>0</v>
      </c>
      <c r="N9" s="142" t="s">
        <v>37</v>
      </c>
      <c r="O9" s="144">
        <f>SUMIFS(客户表!V:V,客户表!I:I,A9,客户表!A:A,E9,客户表!M:M,F9)+SUMIFS(客户表!W:W,客户表!I:I,A9,客户表!A:A,E9,客户表!M:M,F9)</f>
        <v>13107305.960000001</v>
      </c>
      <c r="P9" s="144"/>
      <c r="Q9" s="146">
        <f t="shared" si="4"/>
        <v>-267305.69811320672</v>
      </c>
      <c r="R9" s="146">
        <f t="shared" si="1"/>
        <v>-267305.69811320672</v>
      </c>
      <c r="S9" s="141">
        <f t="shared" si="2"/>
        <v>-2.0393641449200344E-2</v>
      </c>
      <c r="T9" s="142"/>
      <c r="U9" s="142" t="s">
        <v>38</v>
      </c>
    </row>
    <row r="10" spans="1:21">
      <c r="A10" s="142" t="s">
        <v>168</v>
      </c>
      <c r="B10" s="142" t="s">
        <v>240</v>
      </c>
      <c r="C10" s="142" t="s">
        <v>167</v>
      </c>
      <c r="D10" s="142" t="s">
        <v>167</v>
      </c>
      <c r="E10" s="143" t="s">
        <v>27</v>
      </c>
      <c r="F10" s="142" t="s">
        <v>36</v>
      </c>
      <c r="G10" s="128">
        <v>18994500</v>
      </c>
      <c r="H10" s="128">
        <v>18994500</v>
      </c>
      <c r="I10" s="147">
        <v>0</v>
      </c>
      <c r="J10" s="145">
        <f t="shared" si="5"/>
        <v>0</v>
      </c>
      <c r="K10" s="128">
        <v>0</v>
      </c>
      <c r="L10" s="128"/>
      <c r="M10" s="145">
        <f t="shared" si="0"/>
        <v>0</v>
      </c>
      <c r="N10" s="142" t="s">
        <v>37</v>
      </c>
      <c r="O10" s="144">
        <f>SUMIFS(客户表!V:V,客户表!I:I,A10,客户表!A:A,E10,客户表!M:M,F10)+SUMIFS(客户表!W:W,客户表!I:I,A10,客户表!A:A,E10,客户表!M:M,F10)</f>
        <v>18711000</v>
      </c>
      <c r="P10" s="144"/>
      <c r="Q10" s="146">
        <f t="shared" si="4"/>
        <v>-267452.83018867922</v>
      </c>
      <c r="R10" s="146">
        <f t="shared" si="1"/>
        <v>-267452.83018867922</v>
      </c>
      <c r="S10" s="141">
        <f t="shared" si="2"/>
        <v>-1.429388221841052E-2</v>
      </c>
      <c r="T10" s="142"/>
      <c r="U10" s="142" t="s">
        <v>38</v>
      </c>
    </row>
    <row r="11" spans="1:21">
      <c r="A11" s="142" t="s">
        <v>177</v>
      </c>
      <c r="B11" s="142" t="s">
        <v>240</v>
      </c>
      <c r="C11" s="142" t="s">
        <v>176</v>
      </c>
      <c r="D11" s="142" t="s">
        <v>213</v>
      </c>
      <c r="E11" s="143" t="s">
        <v>27</v>
      </c>
      <c r="F11" s="142" t="s">
        <v>36</v>
      </c>
      <c r="G11" s="128">
        <v>-135.80000000000001</v>
      </c>
      <c r="H11" s="128">
        <v>-135.80000000000001</v>
      </c>
      <c r="I11" s="147">
        <v>0</v>
      </c>
      <c r="J11" s="145"/>
      <c r="K11" s="128"/>
      <c r="L11" s="128"/>
      <c r="M11" s="145"/>
      <c r="N11" s="142" t="s">
        <v>37</v>
      </c>
      <c r="O11" s="144">
        <f>SUMIFS(客户表!V:V,客户表!I:I,A11,客户表!A:A,E11,客户表!M:M,F11)+SUMIFS(客户表!W:W,客户表!I:I,A11,客户表!A:A,E11,客户表!M:M,F11)</f>
        <v>-135.79803921568964</v>
      </c>
      <c r="P11" s="144"/>
      <c r="Q11" s="146">
        <f t="shared" si="4"/>
        <v>1.8497965192169293E-3</v>
      </c>
      <c r="R11" s="146">
        <f t="shared" si="1"/>
        <v>1.8497965192169293E-3</v>
      </c>
      <c r="S11" s="141">
        <f t="shared" si="2"/>
        <v>-1.3621673257585667E-5</v>
      </c>
      <c r="T11" s="142"/>
      <c r="U11" s="142" t="s">
        <v>38</v>
      </c>
    </row>
    <row r="12" spans="1:21">
      <c r="A12" s="142" t="s">
        <v>181</v>
      </c>
      <c r="B12" s="142" t="s">
        <v>240</v>
      </c>
      <c r="C12" s="142" t="s">
        <v>180</v>
      </c>
      <c r="D12" s="142" t="s">
        <v>33</v>
      </c>
      <c r="E12" s="143" t="s">
        <v>27</v>
      </c>
      <c r="F12" s="142" t="s">
        <v>36</v>
      </c>
      <c r="G12" s="128">
        <v>247.43269230769201</v>
      </c>
      <c r="H12" s="128">
        <v>247.43269230769201</v>
      </c>
      <c r="I12" s="147">
        <v>0</v>
      </c>
      <c r="J12" s="145"/>
      <c r="K12" s="128"/>
      <c r="L12" s="128"/>
      <c r="M12" s="145"/>
      <c r="N12" s="142" t="s">
        <v>37</v>
      </c>
      <c r="O12" s="144">
        <f>SUMIFS(客户表!V:V,客户表!I:I,A12,客户表!A:A,E12,客户表!M:M,F12)+SUMIFS(客户表!W:W,客户表!I:I,A12,客户表!A:A,E12,客户表!M:M,F12)</f>
        <v>247.43269230769201</v>
      </c>
      <c r="P12" s="144"/>
      <c r="Q12" s="146">
        <f t="shared" si="4"/>
        <v>0</v>
      </c>
      <c r="R12" s="146">
        <f t="shared" si="1"/>
        <v>0</v>
      </c>
      <c r="S12" s="141">
        <f t="shared" si="2"/>
        <v>0</v>
      </c>
      <c r="T12" s="142" t="s">
        <v>179</v>
      </c>
      <c r="U12" s="142" t="s">
        <v>38</v>
      </c>
    </row>
    <row r="13" spans="1:21">
      <c r="A13" s="142" t="s">
        <v>188</v>
      </c>
      <c r="B13" s="142" t="s">
        <v>240</v>
      </c>
      <c r="C13" s="142" t="s">
        <v>187</v>
      </c>
      <c r="D13" s="142" t="s">
        <v>33</v>
      </c>
      <c r="E13" s="143" t="s">
        <v>27</v>
      </c>
      <c r="F13" s="142" t="s">
        <v>36</v>
      </c>
      <c r="G13" s="128">
        <v>5351065.79366</v>
      </c>
      <c r="H13" s="128">
        <v>5351065.79366</v>
      </c>
      <c r="I13" s="147">
        <v>0</v>
      </c>
      <c r="J13" s="145"/>
      <c r="K13" s="128"/>
      <c r="L13" s="128"/>
      <c r="M13" s="145"/>
      <c r="N13" s="142" t="s">
        <v>37</v>
      </c>
      <c r="O13" s="144">
        <f>SUMIFS(客户表!V:V,客户表!I:I,A13,客户表!A:A,E13,客户表!M:M,F13)+SUMIFS(客户表!W:W,客户表!I:I,A13,客户表!A:A,E13,客户表!M:M,F13)</f>
        <v>5351065.79366</v>
      </c>
      <c r="P13" s="144"/>
      <c r="Q13" s="146">
        <f t="shared" si="4"/>
        <v>0</v>
      </c>
      <c r="R13" s="146">
        <f t="shared" si="1"/>
        <v>0</v>
      </c>
      <c r="S13" s="141">
        <f t="shared" si="2"/>
        <v>0</v>
      </c>
      <c r="T13" s="142" t="s">
        <v>179</v>
      </c>
      <c r="U13" s="142" t="s">
        <v>184</v>
      </c>
    </row>
    <row r="14" spans="1:21">
      <c r="A14" s="142" t="s">
        <v>193</v>
      </c>
      <c r="B14" s="142" t="s">
        <v>240</v>
      </c>
      <c r="C14" s="142" t="s">
        <v>192</v>
      </c>
      <c r="D14" s="142" t="s">
        <v>213</v>
      </c>
      <c r="E14" s="143" t="s">
        <v>27</v>
      </c>
      <c r="F14" s="142" t="s">
        <v>43</v>
      </c>
      <c r="G14" s="128">
        <v>147092.698113208</v>
      </c>
      <c r="H14" s="128">
        <v>147092.698113208</v>
      </c>
      <c r="I14" s="147">
        <v>0</v>
      </c>
      <c r="J14" s="145"/>
      <c r="K14" s="128"/>
      <c r="L14" s="128"/>
      <c r="M14" s="145"/>
      <c r="N14" s="142" t="s">
        <v>37</v>
      </c>
      <c r="O14" s="144">
        <f>SUMIFS(客户表!V:V,客户表!I:I,A14,客户表!A:A,E14,客户表!M:M,F14)+SUMIFS(客户表!W:W,客户表!I:I,A14,客户表!A:A,E14,客户表!M:M,F14)</f>
        <v>156308.698113208</v>
      </c>
      <c r="P14" s="144"/>
      <c r="Q14" s="146">
        <f t="shared" si="4"/>
        <v>8694.3396226415098</v>
      </c>
      <c r="R14" s="146">
        <f t="shared" si="1"/>
        <v>8694.3396226415098</v>
      </c>
      <c r="S14" s="141">
        <f t="shared" si="2"/>
        <v>5.5622877853825865E-2</v>
      </c>
      <c r="T14" s="142" t="s">
        <v>179</v>
      </c>
      <c r="U14" s="142" t="s">
        <v>38</v>
      </c>
    </row>
    <row r="15" spans="1:21">
      <c r="A15" s="125" t="s">
        <v>35</v>
      </c>
      <c r="B15" s="125" t="s">
        <v>214</v>
      </c>
      <c r="C15" s="125" t="s">
        <v>215</v>
      </c>
      <c r="D15" s="125" t="s">
        <v>209</v>
      </c>
      <c r="E15" s="143" t="s">
        <v>216</v>
      </c>
      <c r="F15" s="125" t="s">
        <v>217</v>
      </c>
      <c r="G15" s="128">
        <f>951771.91-2222.78999999999</f>
        <v>949549.12</v>
      </c>
      <c r="H15" s="128">
        <f>951771.91-2222.78999999999</f>
        <v>949549.12</v>
      </c>
      <c r="I15" s="137">
        <f t="shared" ref="I15:I16" si="6">J15/H15</f>
        <v>8.3756283675168408E-2</v>
      </c>
      <c r="J15" s="128">
        <v>79530.705458226526</v>
      </c>
      <c r="K15" s="128"/>
      <c r="L15" s="128"/>
      <c r="M15" s="127">
        <f>J15-K15</f>
        <v>79530.705458226526</v>
      </c>
      <c r="N15" s="125" t="s">
        <v>218</v>
      </c>
      <c r="O15" s="144">
        <f>SUMIFS(客户表!V:V,客户表!I:I,A15,客户表!A:A,E15,客户表!M:M,F15)+SUMIFS(客户表!W:W,客户表!I:I,A15,客户表!A:A,E15,客户表!M:M,F15)</f>
        <v>1367254.3277000031</v>
      </c>
      <c r="P15" s="128">
        <v>8636.66</v>
      </c>
      <c r="Q15" s="146">
        <f t="shared" si="4"/>
        <v>469090.48411153728</v>
      </c>
      <c r="R15" s="146">
        <f>Q15-(P15/1.06)</f>
        <v>460942.6916587071</v>
      </c>
      <c r="S15" s="141">
        <f t="shared" si="2"/>
        <v>0.33713017565218134</v>
      </c>
      <c r="T15" s="125"/>
      <c r="U15" s="142" t="s">
        <v>38</v>
      </c>
    </row>
    <row r="16" spans="1:21">
      <c r="A16" s="125" t="s">
        <v>35</v>
      </c>
      <c r="B16" s="125" t="s">
        <v>219</v>
      </c>
      <c r="C16" s="125" t="s">
        <v>34</v>
      </c>
      <c r="D16" s="125" t="s">
        <v>209</v>
      </c>
      <c r="E16" s="143" t="s">
        <v>216</v>
      </c>
      <c r="F16" s="125" t="s">
        <v>220</v>
      </c>
      <c r="G16" s="128">
        <v>7458.7900000000009</v>
      </c>
      <c r="H16" s="128">
        <v>7458.7900000000009</v>
      </c>
      <c r="I16" s="137">
        <f t="shared" si="6"/>
        <v>8.3756283675168408E-2</v>
      </c>
      <c r="J16" s="128">
        <v>624.72053111350942</v>
      </c>
      <c r="K16" s="128"/>
      <c r="L16" s="128"/>
      <c r="M16" s="127">
        <f t="shared" ref="M16:M21" si="7">J16-K16</f>
        <v>624.72053111350942</v>
      </c>
      <c r="N16" s="125" t="s">
        <v>218</v>
      </c>
      <c r="O16" s="144">
        <f>SUMIFS(客户表!V:V,客户表!I:I,A16,客户表!A:A,E16,客户表!M:M,F16)+SUMIFS(客户表!W:W,客户表!I:I,A16,客户表!A:A,E16,客户表!M:M,F16)</f>
        <v>7458.79</v>
      </c>
      <c r="P16" s="128"/>
      <c r="Q16" s="146">
        <f t="shared" si="4"/>
        <v>589.35899161651741</v>
      </c>
      <c r="R16" s="146">
        <f t="shared" si="1"/>
        <v>589.35899161651741</v>
      </c>
      <c r="S16" s="141">
        <f t="shared" si="2"/>
        <v>7.9015361957705935E-2</v>
      </c>
      <c r="T16" s="125"/>
      <c r="U16" s="142" t="s">
        <v>38</v>
      </c>
    </row>
    <row r="17" spans="1:21">
      <c r="A17" s="125" t="s">
        <v>161</v>
      </c>
      <c r="B17" s="142" t="s">
        <v>240</v>
      </c>
      <c r="C17" s="125" t="s">
        <v>160</v>
      </c>
      <c r="D17" s="125" t="s">
        <v>212</v>
      </c>
      <c r="E17" s="143" t="s">
        <v>216</v>
      </c>
      <c r="F17" s="125" t="s">
        <v>43</v>
      </c>
      <c r="G17" s="144">
        <v>117568.2</v>
      </c>
      <c r="H17" s="144">
        <v>117568.2</v>
      </c>
      <c r="I17" s="147">
        <v>0</v>
      </c>
      <c r="J17" s="148">
        <f t="shared" ref="J17" si="8">H17*I17</f>
        <v>0</v>
      </c>
      <c r="K17" s="148">
        <v>0</v>
      </c>
      <c r="L17" s="148"/>
      <c r="M17" s="127">
        <f t="shared" si="7"/>
        <v>0</v>
      </c>
      <c r="N17" s="125" t="s">
        <v>37</v>
      </c>
      <c r="O17" s="144">
        <f>SUMIFS(客户表!V:V,客户表!I:I,A17,客户表!A:A,E17,客户表!M:M,F17)+SUMIFS(客户表!W:W,客户表!I:I,A17,客户表!A:A,E17,客户表!M:M,F17)</f>
        <v>0</v>
      </c>
      <c r="P17" s="128"/>
      <c r="Q17" s="146">
        <f t="shared" si="4"/>
        <v>-110913.39622641509</v>
      </c>
      <c r="R17" s="146">
        <f t="shared" si="1"/>
        <v>-110913.39622641509</v>
      </c>
      <c r="S17" s="141" t="str">
        <f t="shared" si="2"/>
        <v>-</v>
      </c>
      <c r="T17" s="125"/>
      <c r="U17" s="142" t="s">
        <v>38</v>
      </c>
    </row>
    <row r="18" spans="1:21">
      <c r="A18" s="125" t="s">
        <v>35</v>
      </c>
      <c r="B18" s="125" t="s">
        <v>219</v>
      </c>
      <c r="C18" s="125" t="s">
        <v>215</v>
      </c>
      <c r="D18" s="125" t="s">
        <v>209</v>
      </c>
      <c r="E18" s="143" t="s">
        <v>222</v>
      </c>
      <c r="F18" s="125" t="s">
        <v>159</v>
      </c>
      <c r="G18" s="144">
        <v>4881660</v>
      </c>
      <c r="H18" s="144">
        <v>4881660</v>
      </c>
      <c r="I18" s="137">
        <f>J18/H18</f>
        <v>8.3756283675168394E-2</v>
      </c>
      <c r="J18" s="128">
        <v>408869.69976572256</v>
      </c>
      <c r="K18" s="148">
        <v>0</v>
      </c>
      <c r="L18" s="148"/>
      <c r="M18" s="127">
        <f t="shared" si="7"/>
        <v>408869.69976572256</v>
      </c>
      <c r="N18" s="125" t="s">
        <v>223</v>
      </c>
      <c r="O18" s="144">
        <f>SUMIFS(客户表!V:V,客户表!I:I,A18,客户表!A:A,E18,客户表!M:M,F18)+SUMIFS(客户表!W:W,客户表!I:I,A18,客户表!A:A,E18,客户表!M:M,F18)</f>
        <v>8310399.3200000003</v>
      </c>
      <c r="P18" s="128"/>
      <c r="Q18" s="146">
        <f t="shared" si="4"/>
        <v>3620385.8677035123</v>
      </c>
      <c r="R18" s="146">
        <f t="shared" si="1"/>
        <v>3620385.8677035123</v>
      </c>
      <c r="S18" s="141">
        <f t="shared" si="2"/>
        <v>0.43564523536078553</v>
      </c>
      <c r="T18" s="125"/>
      <c r="U18" s="142" t="s">
        <v>38</v>
      </c>
    </row>
    <row r="19" spans="1:21">
      <c r="A19" s="142" t="s">
        <v>168</v>
      </c>
      <c r="B19" s="125" t="s">
        <v>221</v>
      </c>
      <c r="C19" s="125" t="s">
        <v>224</v>
      </c>
      <c r="D19" s="125" t="s">
        <v>167</v>
      </c>
      <c r="E19" s="143" t="s">
        <v>216</v>
      </c>
      <c r="F19" s="125" t="s">
        <v>169</v>
      </c>
      <c r="G19" s="144">
        <v>3015000</v>
      </c>
      <c r="H19" s="144">
        <v>3015000</v>
      </c>
      <c r="I19" s="147">
        <v>0</v>
      </c>
      <c r="J19" s="148">
        <f t="shared" ref="J19:J21" si="9">H19*I19</f>
        <v>0</v>
      </c>
      <c r="K19" s="148">
        <v>0</v>
      </c>
      <c r="L19" s="148"/>
      <c r="M19" s="127">
        <f t="shared" si="7"/>
        <v>0</v>
      </c>
      <c r="N19" s="125" t="s">
        <v>37</v>
      </c>
      <c r="O19" s="144">
        <f>SUMIFS(客户表!V:V,客户表!I:I,A19,客户表!A:A,E19,客户表!M:M,F19)+SUMIFS(客户表!W:W,客户表!I:I,A19,客户表!A:A,E19,客户表!M:M,F19)</f>
        <v>2940594.06</v>
      </c>
      <c r="P19" s="128"/>
      <c r="Q19" s="146">
        <f t="shared" si="4"/>
        <v>-70194.283018867864</v>
      </c>
      <c r="R19" s="146">
        <f t="shared" si="1"/>
        <v>-70194.283018867864</v>
      </c>
      <c r="S19" s="141">
        <f t="shared" si="2"/>
        <v>-2.3870783109338069E-2</v>
      </c>
      <c r="T19" s="125"/>
      <c r="U19" s="142" t="s">
        <v>38</v>
      </c>
    </row>
    <row r="20" spans="1:21">
      <c r="A20" s="142" t="s">
        <v>168</v>
      </c>
      <c r="B20" s="125" t="s">
        <v>221</v>
      </c>
      <c r="C20" s="125" t="s">
        <v>167</v>
      </c>
      <c r="D20" s="125" t="s">
        <v>167</v>
      </c>
      <c r="E20" s="143" t="s">
        <v>216</v>
      </c>
      <c r="F20" s="125" t="s">
        <v>36</v>
      </c>
      <c r="G20" s="144">
        <v>26230500</v>
      </c>
      <c r="H20" s="144">
        <v>26230500</v>
      </c>
      <c r="I20" s="147">
        <v>0</v>
      </c>
      <c r="J20" s="148">
        <f t="shared" si="9"/>
        <v>0</v>
      </c>
      <c r="K20" s="148">
        <v>0</v>
      </c>
      <c r="L20" s="148"/>
      <c r="M20" s="127">
        <f t="shared" si="7"/>
        <v>0</v>
      </c>
      <c r="N20" s="125" t="s">
        <v>37</v>
      </c>
      <c r="O20" s="144">
        <f>SUMIFS(客户表!V:V,客户表!I:I,A20,客户表!A:A,E20,客户表!M:M,F20)+SUMIFS(客户表!W:W,客户表!I:I,A20,客户表!A:A,E20,客户表!M:M,F20)</f>
        <v>25839000</v>
      </c>
      <c r="P20" s="128"/>
      <c r="Q20" s="146">
        <f t="shared" si="4"/>
        <v>-369339.6226415094</v>
      </c>
      <c r="R20" s="146">
        <f t="shared" si="1"/>
        <v>-369339.6226415094</v>
      </c>
      <c r="S20" s="141">
        <f t="shared" si="2"/>
        <v>-1.429388221841052E-2</v>
      </c>
      <c r="T20" s="125"/>
      <c r="U20" s="142" t="s">
        <v>38</v>
      </c>
    </row>
    <row r="21" spans="1:21">
      <c r="A21" s="125" t="s">
        <v>193</v>
      </c>
      <c r="B21" s="125" t="s">
        <v>221</v>
      </c>
      <c r="C21" s="125" t="s">
        <v>225</v>
      </c>
      <c r="D21" s="125" t="s">
        <v>213</v>
      </c>
      <c r="E21" s="143" t="s">
        <v>216</v>
      </c>
      <c r="F21" s="125" t="s">
        <v>226</v>
      </c>
      <c r="G21" s="144">
        <v>135035.88</v>
      </c>
      <c r="H21" s="144">
        <v>135035.88</v>
      </c>
      <c r="I21" s="147">
        <v>0</v>
      </c>
      <c r="J21" s="148">
        <f t="shared" si="9"/>
        <v>0</v>
      </c>
      <c r="K21" s="148"/>
      <c r="L21" s="148"/>
      <c r="M21" s="127">
        <f t="shared" si="7"/>
        <v>0</v>
      </c>
      <c r="N21" s="125" t="s">
        <v>37</v>
      </c>
      <c r="O21" s="144">
        <f>SUMIFS(客户表!V:V,客户表!I:I,A21,客户表!A:A,E21,客户表!M:M,F21)+SUMIFS(客户表!W:W,客户表!I:I,A21,客户表!A:A,E21,客户表!M:M,F21)</f>
        <v>144251.88</v>
      </c>
      <c r="P21" s="128"/>
      <c r="Q21" s="146">
        <f t="shared" si="4"/>
        <v>8694.3396226415098</v>
      </c>
      <c r="R21" s="146">
        <f t="shared" si="1"/>
        <v>8694.3396226415098</v>
      </c>
      <c r="S21" s="141">
        <f t="shared" si="2"/>
        <v>6.0271932834715984E-2</v>
      </c>
      <c r="T21" s="125"/>
      <c r="U21" s="142" t="s">
        <v>38</v>
      </c>
    </row>
    <row r="22" spans="1:21">
      <c r="A22" s="125" t="s">
        <v>252</v>
      </c>
      <c r="B22" s="125" t="s">
        <v>252</v>
      </c>
      <c r="C22" s="125" t="s">
        <v>253</v>
      </c>
      <c r="D22" s="125" t="s">
        <v>209</v>
      </c>
      <c r="E22" s="149" t="s">
        <v>254</v>
      </c>
      <c r="F22" s="125" t="s">
        <v>43</v>
      </c>
      <c r="G22" s="128">
        <v>905557.81</v>
      </c>
      <c r="H22" s="128">
        <v>905557.81</v>
      </c>
      <c r="I22" s="137">
        <f t="shared" ref="I22:I23" si="10">J22/H22</f>
        <v>8.3756283675168394E-2</v>
      </c>
      <c r="J22" s="128">
        <v>75846.156818624251</v>
      </c>
      <c r="K22" s="128"/>
      <c r="L22" s="128"/>
      <c r="M22" s="127">
        <f>J22-K22</f>
        <v>75846.156818624251</v>
      </c>
      <c r="N22" s="125" t="s">
        <v>255</v>
      </c>
      <c r="O22" s="144">
        <f>SUMIFS(客户表!V:V,客户表!I:I,A22,客户表!A:A,E22,客户表!M:M,F22)+SUMIFS(客户表!W:W,客户表!I:I,A22,客户表!A:A,E22,客户表!M:M,F22)</f>
        <v>1188398.8573353887</v>
      </c>
      <c r="P22" s="128">
        <v>5613.83</v>
      </c>
      <c r="Q22" s="146">
        <f>(O22-G22+J22)/1.06</f>
        <v>338384.15486227622</v>
      </c>
      <c r="R22" s="146">
        <f t="shared" si="1"/>
        <v>333088.08882454038</v>
      </c>
      <c r="S22" s="141">
        <f t="shared" si="2"/>
        <v>0.2802830773258953</v>
      </c>
      <c r="T22" s="125"/>
      <c r="U22" s="125" t="s">
        <v>256</v>
      </c>
    </row>
    <row r="23" spans="1:21">
      <c r="A23" s="125" t="s">
        <v>208</v>
      </c>
      <c r="B23" s="125" t="s">
        <v>208</v>
      </c>
      <c r="C23" s="125" t="s">
        <v>253</v>
      </c>
      <c r="D23" s="125" t="s">
        <v>209</v>
      </c>
      <c r="E23" s="149" t="s">
        <v>254</v>
      </c>
      <c r="F23" s="125" t="s">
        <v>159</v>
      </c>
      <c r="G23" s="128">
        <v>4881660</v>
      </c>
      <c r="H23" s="128">
        <v>4881660</v>
      </c>
      <c r="I23" s="137">
        <f t="shared" si="10"/>
        <v>8.3756283675168394E-2</v>
      </c>
      <c r="J23" s="128">
        <v>408869.69976572256</v>
      </c>
      <c r="K23" s="128">
        <v>4329736.05</v>
      </c>
      <c r="L23" s="128">
        <v>4329736.05</v>
      </c>
      <c r="M23" s="127">
        <f>J23-K23</f>
        <v>-3920866.3502342771</v>
      </c>
      <c r="N23" s="125" t="s">
        <v>257</v>
      </c>
      <c r="O23" s="144">
        <f>SUMIFS(客户表!V:V,客户表!I:I,A23,客户表!A:A,E23,客户表!M:M,F23)+SUMIFS(客户表!W:W,客户表!I:I,A23,客户表!A:A,E23,客户表!M:M,F23)</f>
        <v>8310399.3200000003</v>
      </c>
      <c r="P23" s="128"/>
      <c r="Q23" s="146">
        <f t="shared" si="4"/>
        <v>3620385.8677035123</v>
      </c>
      <c r="R23" s="146">
        <f t="shared" si="1"/>
        <v>3620385.8677035123</v>
      </c>
      <c r="S23" s="141">
        <f t="shared" si="2"/>
        <v>0.43564523536078553</v>
      </c>
      <c r="T23" s="125" t="s">
        <v>258</v>
      </c>
      <c r="U23" s="125" t="s">
        <v>256</v>
      </c>
    </row>
    <row r="24" spans="1:21">
      <c r="A24" s="125" t="s">
        <v>211</v>
      </c>
      <c r="B24" s="125" t="s">
        <v>259</v>
      </c>
      <c r="C24" s="125" t="s">
        <v>260</v>
      </c>
      <c r="D24" s="125" t="s">
        <v>212</v>
      </c>
      <c r="E24" s="149" t="s">
        <v>254</v>
      </c>
      <c r="F24" s="125" t="s">
        <v>43</v>
      </c>
      <c r="G24" s="128">
        <v>84189.440000000002</v>
      </c>
      <c r="H24" s="128">
        <v>84189.440000000002</v>
      </c>
      <c r="I24" s="147">
        <v>0</v>
      </c>
      <c r="J24" s="127">
        <f>H24*I24</f>
        <v>0</v>
      </c>
      <c r="K24" s="128">
        <v>0</v>
      </c>
      <c r="L24" s="128"/>
      <c r="M24" s="127">
        <f>J24-K24</f>
        <v>0</v>
      </c>
      <c r="N24" s="125" t="s">
        <v>261</v>
      </c>
      <c r="O24" s="144">
        <f>SUMIFS(客户表!V:V,客户表!I:I,A24,客户表!A:A,E24,客户表!M:M,F24)+SUMIFS(客户表!W:W,客户表!I:I,A24,客户表!A:A,E24,客户表!M:M,F24)</f>
        <v>0</v>
      </c>
      <c r="P24" s="128"/>
      <c r="Q24" s="146">
        <f t="shared" si="4"/>
        <v>-79424</v>
      </c>
      <c r="R24" s="146">
        <f t="shared" si="1"/>
        <v>-79424</v>
      </c>
      <c r="S24" s="141" t="str">
        <f t="shared" si="2"/>
        <v>-</v>
      </c>
      <c r="T24" s="125"/>
      <c r="U24" s="125" t="s">
        <v>256</v>
      </c>
    </row>
    <row r="25" spans="1:21">
      <c r="A25" s="125" t="s">
        <v>262</v>
      </c>
      <c r="B25" s="125" t="s">
        <v>259</v>
      </c>
      <c r="C25" s="125" t="s">
        <v>263</v>
      </c>
      <c r="D25" s="125" t="s">
        <v>213</v>
      </c>
      <c r="E25" s="149" t="s">
        <v>264</v>
      </c>
      <c r="F25" s="125" t="s">
        <v>43</v>
      </c>
      <c r="G25" s="128">
        <v>94655.21</v>
      </c>
      <c r="H25" s="128">
        <v>94655.21</v>
      </c>
      <c r="I25" s="147">
        <v>0</v>
      </c>
      <c r="J25" s="127"/>
      <c r="K25" s="128"/>
      <c r="L25" s="128"/>
      <c r="M25" s="127"/>
      <c r="N25" s="125" t="s">
        <v>265</v>
      </c>
      <c r="O25" s="144">
        <f>SUMIFS(客户表!V:V,客户表!I:I,A25,客户表!A:A,E25,客户表!M:M,F25)+SUMIFS(客户表!W:W,客户表!I:I,A25,客户表!A:A,E25,客户表!M:M,F25)</f>
        <v>101567.21</v>
      </c>
      <c r="P25" s="128"/>
      <c r="Q25" s="146">
        <f t="shared" si="4"/>
        <v>6520.7547169811314</v>
      </c>
      <c r="R25" s="146">
        <f t="shared" si="1"/>
        <v>6520.7547169811314</v>
      </c>
      <c r="S25" s="141">
        <f t="shared" si="2"/>
        <v>6.4201376772888924E-2</v>
      </c>
      <c r="T25" s="125"/>
      <c r="U25" s="125" t="s">
        <v>256</v>
      </c>
    </row>
    <row r="26" spans="1:21">
      <c r="A26" s="125" t="s">
        <v>252</v>
      </c>
      <c r="B26" s="125" t="s">
        <v>272</v>
      </c>
      <c r="C26" s="125" t="s">
        <v>273</v>
      </c>
      <c r="D26" s="125" t="s">
        <v>209</v>
      </c>
      <c r="E26" s="150">
        <v>43922</v>
      </c>
      <c r="F26" s="125" t="s">
        <v>43</v>
      </c>
      <c r="G26" s="151">
        <f>1178509.08-88990.55-5027.09</f>
        <v>1084491.44</v>
      </c>
      <c r="H26" s="128">
        <v>1178509.0800000003</v>
      </c>
      <c r="I26" s="152">
        <v>0.05</v>
      </c>
      <c r="J26" s="127">
        <f>H26*I26</f>
        <v>58925.45400000002</v>
      </c>
      <c r="K26" s="128"/>
      <c r="L26" s="128"/>
      <c r="M26" s="127">
        <f>J26-K26</f>
        <v>58925.45400000002</v>
      </c>
      <c r="N26" s="125" t="s">
        <v>274</v>
      </c>
      <c r="O26" s="144">
        <f>SUMIFS(客户表!V:V,客户表!I:I,A26,客户表!A:A,E26,客户表!M:M,F26)+SUMIFS(客户表!W:W,客户表!I:I,A26,客户表!A:A,E26,客户表!M:M,F26)+SUMIFS(客户表!AL:AL,客户表!I:I,A26,客户表!A:A,E26,客户表!M:M,F26)</f>
        <v>2065881.3592963906</v>
      </c>
      <c r="P26" s="128"/>
      <c r="Q26" s="146">
        <f t="shared" si="4"/>
        <v>981429.59744942503</v>
      </c>
      <c r="R26" s="146">
        <f t="shared" si="1"/>
        <v>981429.59744942503</v>
      </c>
      <c r="S26" s="141">
        <f t="shared" si="2"/>
        <v>0.47506580812737759</v>
      </c>
      <c r="T26" s="127"/>
      <c r="U26" s="125" t="s">
        <v>256</v>
      </c>
    </row>
    <row r="27" spans="1:21">
      <c r="A27" s="125" t="s">
        <v>275</v>
      </c>
      <c r="B27" s="125" t="s">
        <v>272</v>
      </c>
      <c r="C27" s="125" t="s">
        <v>273</v>
      </c>
      <c r="D27" s="125" t="s">
        <v>209</v>
      </c>
      <c r="E27" s="150">
        <v>43922</v>
      </c>
      <c r="F27" s="125" t="s">
        <v>83</v>
      </c>
      <c r="G27" s="151">
        <f>1052976.15+34831.26</f>
        <v>1087807.4099999999</v>
      </c>
      <c r="H27" s="128">
        <v>1052976.1499999999</v>
      </c>
      <c r="I27" s="152">
        <v>0.05</v>
      </c>
      <c r="J27" s="127">
        <f>H27*I27</f>
        <v>52648.807499999995</v>
      </c>
      <c r="K27" s="128"/>
      <c r="L27" s="128"/>
      <c r="M27" s="127">
        <f>J27-K27</f>
        <v>52648.807499999995</v>
      </c>
      <c r="N27" s="125" t="s">
        <v>255</v>
      </c>
      <c r="O27" s="144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128"/>
      <c r="Q27" s="146">
        <f t="shared" si="4"/>
        <v>34975.709869186416</v>
      </c>
      <c r="R27" s="146">
        <f t="shared" si="1"/>
        <v>34975.709869186416</v>
      </c>
      <c r="S27" s="141">
        <f t="shared" si="2"/>
        <v>3.2619509565809349E-2</v>
      </c>
      <c r="T27" s="127"/>
      <c r="U27" s="125" t="s">
        <v>256</v>
      </c>
    </row>
    <row r="28" spans="1:21">
      <c r="A28" s="125" t="s">
        <v>252</v>
      </c>
      <c r="B28" s="125" t="s">
        <v>276</v>
      </c>
      <c r="C28" s="125" t="s">
        <v>34</v>
      </c>
      <c r="D28" s="125" t="s">
        <v>209</v>
      </c>
      <c r="E28" s="150">
        <v>43922</v>
      </c>
      <c r="F28" s="125" t="s">
        <v>277</v>
      </c>
      <c r="G28" s="144">
        <f>5259250-1554500+24590.1</f>
        <v>3729340.1</v>
      </c>
      <c r="H28" s="144">
        <f>5259250-1554500+24590.1</f>
        <v>3729340.1</v>
      </c>
      <c r="I28" s="152">
        <v>0.05</v>
      </c>
      <c r="J28" s="148">
        <f>H28*I28</f>
        <v>186467.005</v>
      </c>
      <c r="K28" s="148">
        <v>0</v>
      </c>
      <c r="L28" s="148"/>
      <c r="M28" s="148">
        <f>J28-K28</f>
        <v>186467.005</v>
      </c>
      <c r="N28" s="125" t="s">
        <v>278</v>
      </c>
      <c r="O28" s="144">
        <f>SUMIFS(客户表!V:V,客户表!I:I,A28,客户表!A:A,E28,客户表!M:M,F28)+SUMIFS(客户表!W:W,客户表!I:I,A28,客户表!A:A,E28,客户表!M:M,F28)</f>
        <v>6820741.3193518799</v>
      </c>
      <c r="P28" s="128"/>
      <c r="Q28" s="146">
        <f t="shared" si="4"/>
        <v>3092328.5135395089</v>
      </c>
      <c r="R28" s="146">
        <f t="shared" si="1"/>
        <v>3092328.5135395089</v>
      </c>
      <c r="S28" s="141">
        <f t="shared" si="2"/>
        <v>0.45337132266927077</v>
      </c>
      <c r="T28" s="148"/>
      <c r="U28" s="125" t="s">
        <v>256</v>
      </c>
    </row>
    <row r="29" spans="1:21">
      <c r="A29" s="125" t="s">
        <v>279</v>
      </c>
      <c r="B29" s="125" t="s">
        <v>280</v>
      </c>
      <c r="C29" s="125" t="s">
        <v>260</v>
      </c>
      <c r="D29" s="125" t="s">
        <v>212</v>
      </c>
      <c r="E29" s="150">
        <v>43922</v>
      </c>
      <c r="F29" s="125" t="s">
        <v>217</v>
      </c>
      <c r="G29" s="144">
        <v>69578.080000000002</v>
      </c>
      <c r="H29" s="144">
        <v>69578.080000000002</v>
      </c>
      <c r="I29" s="153">
        <v>0</v>
      </c>
      <c r="J29" s="148">
        <f>H29*I29</f>
        <v>0</v>
      </c>
      <c r="K29" s="148">
        <v>0</v>
      </c>
      <c r="L29" s="148"/>
      <c r="M29" s="148">
        <f>J29-K29</f>
        <v>0</v>
      </c>
      <c r="N29" s="125" t="s">
        <v>261</v>
      </c>
      <c r="O29" s="144">
        <f>SUMIFS(客户表!V:V,客户表!I:I,A29,客户表!A:A,E29,客户表!M:M,F29)+SUMIFS(客户表!W:W,客户表!I:I,A29,客户表!A:A,E29,客户表!M:M,F29)</f>
        <v>0</v>
      </c>
      <c r="P29" s="128"/>
      <c r="Q29" s="146">
        <f t="shared" si="4"/>
        <v>-65639.698113207545</v>
      </c>
      <c r="R29" s="146">
        <f t="shared" si="1"/>
        <v>-65639.698113207545</v>
      </c>
      <c r="S29" s="141" t="str">
        <f t="shared" si="2"/>
        <v>-</v>
      </c>
      <c r="T29" s="148"/>
      <c r="U29" s="125" t="s">
        <v>256</v>
      </c>
    </row>
    <row r="30" spans="1:21">
      <c r="A30" s="125" t="s">
        <v>281</v>
      </c>
      <c r="B30" s="125" t="s">
        <v>280</v>
      </c>
      <c r="C30" s="125" t="s">
        <v>282</v>
      </c>
      <c r="D30" s="125" t="s">
        <v>213</v>
      </c>
      <c r="E30" s="150">
        <v>43922</v>
      </c>
      <c r="F30" s="125" t="s">
        <v>217</v>
      </c>
      <c r="G30" s="144">
        <v>85.922413793103445</v>
      </c>
      <c r="H30" s="144">
        <v>85.922413793103445</v>
      </c>
      <c r="I30" s="153">
        <v>0</v>
      </c>
      <c r="J30" s="125"/>
      <c r="K30" s="125"/>
      <c r="L30" s="125"/>
      <c r="M30" s="125"/>
      <c r="N30" s="125" t="s">
        <v>261</v>
      </c>
      <c r="O30" s="144">
        <f>SUMIFS(客户表!V:V,客户表!I:I,A30,客户表!A:A,E30,客户表!M:M,F30)+SUMIFS(客户表!W:W,客户表!I:I,A30,客户表!A:A,E30,客户表!M:M,F30)</f>
        <v>85.922413793103445</v>
      </c>
      <c r="P30" s="128"/>
      <c r="Q30" s="146">
        <f t="shared" si="4"/>
        <v>0</v>
      </c>
      <c r="R30" s="146">
        <f t="shared" si="1"/>
        <v>0</v>
      </c>
      <c r="S30" s="141">
        <f t="shared" si="2"/>
        <v>0</v>
      </c>
      <c r="T30" s="125"/>
      <c r="U30" s="125" t="s">
        <v>304</v>
      </c>
    </row>
    <row r="31" spans="1:21">
      <c r="A31" s="125" t="s">
        <v>214</v>
      </c>
      <c r="B31" s="154" t="s">
        <v>214</v>
      </c>
      <c r="C31" s="154" t="s">
        <v>215</v>
      </c>
      <c r="D31" s="154" t="s">
        <v>209</v>
      </c>
      <c r="E31" s="155" t="s">
        <v>309</v>
      </c>
      <c r="F31" s="154" t="s">
        <v>43</v>
      </c>
      <c r="G31" s="156">
        <f>2252396.65-1370475.8832+5022.9+1481214.72</f>
        <v>2368158.3868</v>
      </c>
      <c r="H31" s="136">
        <f>2252396.65</f>
        <v>2252396.65</v>
      </c>
      <c r="I31" s="147">
        <v>0.05</v>
      </c>
      <c r="J31" s="127">
        <f>H31*I31</f>
        <v>112619.8325</v>
      </c>
      <c r="K31" s="136"/>
      <c r="L31" s="136"/>
      <c r="M31" s="127">
        <f>J31-K31</f>
        <v>112619.8325</v>
      </c>
      <c r="N31" s="125" t="s">
        <v>218</v>
      </c>
      <c r="O31" s="136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4041160.018394547</v>
      </c>
      <c r="P31" s="136"/>
      <c r="Q31" s="146">
        <f t="shared" si="4"/>
        <v>1684548.5510325916</v>
      </c>
      <c r="R31" s="146">
        <f t="shared" si="1"/>
        <v>1684548.5510325916</v>
      </c>
      <c r="S31" s="141">
        <f t="shared" si="2"/>
        <v>0.41684777226461356</v>
      </c>
      <c r="T31" s="154"/>
      <c r="U31" s="125" t="s">
        <v>241</v>
      </c>
    </row>
    <row r="32" spans="1:21">
      <c r="A32" s="125" t="s">
        <v>214</v>
      </c>
      <c r="B32" s="154" t="s">
        <v>214</v>
      </c>
      <c r="C32" s="125" t="s">
        <v>34</v>
      </c>
      <c r="D32" s="125" t="s">
        <v>209</v>
      </c>
      <c r="E32" s="155" t="s">
        <v>309</v>
      </c>
      <c r="F32" s="125" t="s">
        <v>83</v>
      </c>
      <c r="G32" s="126">
        <f>289988.47-18697.74</f>
        <v>271290.73</v>
      </c>
      <c r="H32" s="128">
        <f>289988.47</f>
        <v>289988.46999999997</v>
      </c>
      <c r="I32" s="147">
        <v>0.05</v>
      </c>
      <c r="J32" s="127">
        <f>H32*I32</f>
        <v>14499.423499999999</v>
      </c>
      <c r="K32" s="128"/>
      <c r="L32" s="128"/>
      <c r="M32" s="127">
        <f>J32-K32</f>
        <v>14499.423499999999</v>
      </c>
      <c r="N32" s="125" t="s">
        <v>218</v>
      </c>
      <c r="O32" s="136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128"/>
      <c r="Q32" s="146">
        <f t="shared" si="4"/>
        <v>20337.922010042905</v>
      </c>
      <c r="R32" s="146">
        <f t="shared" si="1"/>
        <v>20337.922010042905</v>
      </c>
      <c r="S32" s="141">
        <f t="shared" si="2"/>
        <v>7.3066133512553283E-2</v>
      </c>
      <c r="T32" s="125"/>
      <c r="U32" s="125" t="s">
        <v>241</v>
      </c>
    </row>
    <row r="33" spans="1:21">
      <c r="A33" s="125" t="s">
        <v>312</v>
      </c>
      <c r="B33" s="125" t="s">
        <v>221</v>
      </c>
      <c r="C33" s="125" t="s">
        <v>167</v>
      </c>
      <c r="D33" s="125" t="s">
        <v>167</v>
      </c>
      <c r="E33" s="155" t="s">
        <v>309</v>
      </c>
      <c r="F33" s="125" t="s">
        <v>169</v>
      </c>
      <c r="G33" s="126">
        <v>15060000</v>
      </c>
      <c r="H33" s="128">
        <v>15060000</v>
      </c>
      <c r="I33" s="147">
        <v>0</v>
      </c>
      <c r="J33" s="127">
        <f>H33*I33</f>
        <v>0</v>
      </c>
      <c r="K33" s="128"/>
      <c r="L33" s="128"/>
      <c r="M33" s="127"/>
      <c r="N33" s="125" t="s">
        <v>261</v>
      </c>
      <c r="O33" s="136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128"/>
      <c r="Q33" s="146">
        <f t="shared" si="4"/>
        <v>-142075.47169811319</v>
      </c>
      <c r="R33" s="146">
        <f t="shared" si="1"/>
        <v>-142075.47169811319</v>
      </c>
      <c r="S33" s="141">
        <f t="shared" si="2"/>
        <v>-9.5292548122736798E-3</v>
      </c>
      <c r="T33" s="125"/>
      <c r="U33" s="125" t="s">
        <v>241</v>
      </c>
    </row>
    <row r="34" spans="1:21">
      <c r="A34" s="125" t="s">
        <v>214</v>
      </c>
      <c r="B34" s="154" t="s">
        <v>214</v>
      </c>
      <c r="C34" s="125" t="s">
        <v>310</v>
      </c>
      <c r="D34" s="125" t="s">
        <v>311</v>
      </c>
      <c r="E34" s="155" t="s">
        <v>309</v>
      </c>
      <c r="F34" s="125" t="s">
        <v>277</v>
      </c>
      <c r="G34" s="126">
        <f>3800150+25409.77</f>
        <v>3825559.77</v>
      </c>
      <c r="H34" s="126">
        <f>3800150+25409.77</f>
        <v>3825559.77</v>
      </c>
      <c r="I34" s="147">
        <v>0.05</v>
      </c>
      <c r="J34" s="127">
        <f>H34*I34</f>
        <v>191277.98850000001</v>
      </c>
      <c r="K34" s="128">
        <v>0</v>
      </c>
      <c r="L34" s="128"/>
      <c r="M34" s="127">
        <f>J34-K34</f>
        <v>191277.98850000001</v>
      </c>
      <c r="N34" s="125" t="s">
        <v>257</v>
      </c>
      <c r="O34" s="136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128"/>
      <c r="Q34" s="146">
        <f t="shared" si="4"/>
        <v>3095479.9363239673</v>
      </c>
      <c r="R34" s="146">
        <f t="shared" si="1"/>
        <v>3095479.9363239673</v>
      </c>
      <c r="S34" s="141">
        <f t="shared" si="2"/>
        <v>0.4476153831829901</v>
      </c>
      <c r="T34" s="125"/>
      <c r="U34" s="125" t="s">
        <v>241</v>
      </c>
    </row>
    <row r="35" spans="1:21">
      <c r="A35" s="125" t="s">
        <v>246</v>
      </c>
      <c r="B35" s="125" t="s">
        <v>221</v>
      </c>
      <c r="C35" s="125" t="s">
        <v>260</v>
      </c>
      <c r="D35" s="125" t="s">
        <v>260</v>
      </c>
      <c r="E35" s="155" t="s">
        <v>309</v>
      </c>
      <c r="F35" s="125" t="s">
        <v>217</v>
      </c>
      <c r="G35" s="126">
        <v>74371.509999999995</v>
      </c>
      <c r="H35" s="128">
        <v>74371.509999999995</v>
      </c>
      <c r="I35" s="147">
        <v>0</v>
      </c>
      <c r="J35" s="127">
        <f>H35*I35</f>
        <v>0</v>
      </c>
      <c r="K35" s="128">
        <v>0</v>
      </c>
      <c r="L35" s="128"/>
      <c r="M35" s="127">
        <f>J35-K35</f>
        <v>0</v>
      </c>
      <c r="N35" s="125" t="s">
        <v>261</v>
      </c>
      <c r="O35" s="136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128"/>
      <c r="Q35" s="146">
        <f t="shared" si="4"/>
        <v>-70161.80188679244</v>
      </c>
      <c r="R35" s="146">
        <f t="shared" si="1"/>
        <v>-70161.80188679244</v>
      </c>
      <c r="S35" s="141" t="str">
        <f>IFERROR(R35/O35,"-")</f>
        <v>-</v>
      </c>
      <c r="T35" s="125"/>
      <c r="U35" s="125" t="s">
        <v>241</v>
      </c>
    </row>
    <row r="36" spans="1:21">
      <c r="A36" s="125" t="s">
        <v>214</v>
      </c>
      <c r="B36" s="125" t="s">
        <v>214</v>
      </c>
      <c r="C36" s="125" t="s">
        <v>215</v>
      </c>
      <c r="D36" s="125" t="s">
        <v>209</v>
      </c>
      <c r="E36" s="149" t="s">
        <v>349</v>
      </c>
      <c r="F36" s="125" t="s">
        <v>43</v>
      </c>
      <c r="G36" s="126">
        <f>1309142.6+4.54-205559.750000004</f>
        <v>1103587.3899999962</v>
      </c>
      <c r="H36" s="126">
        <f>1309142.6+4.54-205559.750000004</f>
        <v>1103587.3899999962</v>
      </c>
      <c r="I36" s="152">
        <v>0.05</v>
      </c>
      <c r="J36" s="127">
        <f t="shared" ref="J36:J43" si="11">H36*I36</f>
        <v>55179.369499999812</v>
      </c>
      <c r="K36" s="128"/>
      <c r="L36" s="128"/>
      <c r="M36" s="127"/>
      <c r="N36" s="125" t="s">
        <v>218</v>
      </c>
      <c r="O36" s="127">
        <f>SUMIFS(客户表!V:V,客户表!I:I,媒体表!A36,客户表!A:A,媒体表!E36,客户表!M:M,媒体表!F36)+SUMIFS(客户表!W:W,客户表!I:I,媒体表!A36,客户表!A:A,媒体表!E36,客户表!M:M,媒体表!F36)+SUMIFS(客户表!AL:AL,客户表!I:I,媒体表!A36,客户表!A:A,媒体表!E36,客户表!M:M,媒体表!F36)</f>
        <v>3319706.245542259</v>
      </c>
      <c r="P36" s="125"/>
      <c r="Q36" s="146">
        <f t="shared" si="4"/>
        <v>2142734.1745681725</v>
      </c>
      <c r="R36" s="146">
        <f t="shared" si="1"/>
        <v>2142734.1745681725</v>
      </c>
      <c r="S36" s="141">
        <f t="shared" si="2"/>
        <v>0.64545897018613063</v>
      </c>
      <c r="T36" s="125"/>
      <c r="U36" s="125" t="s">
        <v>241</v>
      </c>
    </row>
    <row r="37" spans="1:21">
      <c r="A37" s="125" t="s">
        <v>214</v>
      </c>
      <c r="B37" s="125" t="s">
        <v>214</v>
      </c>
      <c r="C37" s="125" t="s">
        <v>34</v>
      </c>
      <c r="D37" s="125" t="s">
        <v>209</v>
      </c>
      <c r="E37" s="149" t="s">
        <v>349</v>
      </c>
      <c r="F37" s="125" t="s">
        <v>83</v>
      </c>
      <c r="G37" s="126">
        <v>108497.63</v>
      </c>
      <c r="H37" s="128">
        <v>108497.63</v>
      </c>
      <c r="I37" s="152">
        <v>0.05</v>
      </c>
      <c r="J37" s="127">
        <f t="shared" si="11"/>
        <v>5424.8815000000004</v>
      </c>
      <c r="K37" s="128"/>
      <c r="L37" s="128"/>
      <c r="M37" s="127"/>
      <c r="N37" s="125" t="s">
        <v>218</v>
      </c>
      <c r="O37" s="127">
        <f>SUMIFS(客户表!V:V,客户表!I:I,媒体表!A37,客户表!A:A,媒体表!E37,客户表!M:M,媒体表!F37)+SUMIFS(客户表!W:W,客户表!I:I,媒体表!A37,客户表!A:A,媒体表!E37,客户表!M:M,媒体表!F37)+SUMIFS(客户表!AL:AL,客户表!I:I,媒体表!A37,客户表!A:A,媒体表!E37,客户表!M:M,媒体表!F37)</f>
        <v>310100.73210053582</v>
      </c>
      <c r="P37" s="125"/>
      <c r="Q37" s="146">
        <f t="shared" si="4"/>
        <v>195309.4184910715</v>
      </c>
      <c r="R37" s="146">
        <f t="shared" si="1"/>
        <v>195309.4184910715</v>
      </c>
      <c r="S37" s="141">
        <f t="shared" si="2"/>
        <v>0.62982572523482938</v>
      </c>
      <c r="T37" s="125"/>
      <c r="U37" s="125" t="s">
        <v>241</v>
      </c>
    </row>
    <row r="38" spans="1:21">
      <c r="A38" s="125" t="s">
        <v>214</v>
      </c>
      <c r="B38" s="125" t="s">
        <v>214</v>
      </c>
      <c r="C38" s="125" t="s">
        <v>34</v>
      </c>
      <c r="D38" s="125" t="s">
        <v>209</v>
      </c>
      <c r="E38" s="149" t="s">
        <v>349</v>
      </c>
      <c r="F38" s="125" t="s">
        <v>277</v>
      </c>
      <c r="G38" s="144">
        <v>3800150</v>
      </c>
      <c r="H38" s="144">
        <v>3800150</v>
      </c>
      <c r="I38" s="152">
        <v>0.05</v>
      </c>
      <c r="J38" s="127">
        <f t="shared" si="11"/>
        <v>190007.5</v>
      </c>
      <c r="K38" s="123">
        <v>714132</v>
      </c>
      <c r="L38" s="124">
        <v>714132</v>
      </c>
      <c r="M38" s="127">
        <f t="shared" ref="M38:M44" si="12">J38-K38</f>
        <v>-524124.5</v>
      </c>
      <c r="N38" s="125" t="s">
        <v>257</v>
      </c>
      <c r="O38" s="127">
        <f>SUMIFS(客户表!V:V,客户表!I:I,媒体表!A38,客户表!A:A,媒体表!E38,客户表!M:M,媒体表!F38)+SUMIFS(客户表!W:W,客户表!I:I,媒体表!A38,客户表!A:A,媒体表!E38,客户表!M:M,媒体表!F38)+SUMIFS(客户表!AL:AL,客户表!I:I,媒体表!A38,客户表!A:A,媒体表!E38,客户表!M:M,媒体表!F38)</f>
        <v>10757762.080000002</v>
      </c>
      <c r="P38" s="125"/>
      <c r="Q38" s="146">
        <f t="shared" si="4"/>
        <v>6743037.3396226428</v>
      </c>
      <c r="R38" s="146">
        <f t="shared" si="1"/>
        <v>6743037.3396226428</v>
      </c>
      <c r="S38" s="141">
        <f t="shared" si="2"/>
        <v>0.62680669915156195</v>
      </c>
      <c r="T38" s="125"/>
      <c r="U38" s="125" t="s">
        <v>241</v>
      </c>
    </row>
    <row r="39" spans="1:21">
      <c r="A39" s="125" t="s">
        <v>214</v>
      </c>
      <c r="B39" s="125" t="s">
        <v>214</v>
      </c>
      <c r="C39" s="125" t="s">
        <v>34</v>
      </c>
      <c r="D39" s="125" t="s">
        <v>209</v>
      </c>
      <c r="E39" s="149" t="s">
        <v>349</v>
      </c>
      <c r="F39" s="125" t="s">
        <v>344</v>
      </c>
      <c r="G39" s="144">
        <v>173947.4</v>
      </c>
      <c r="H39" s="144">
        <f>G39</f>
        <v>173947.4</v>
      </c>
      <c r="I39" s="152">
        <v>0.05</v>
      </c>
      <c r="J39" s="127">
        <f t="shared" si="11"/>
        <v>8697.3700000000008</v>
      </c>
      <c r="K39" s="128">
        <v>0</v>
      </c>
      <c r="L39" s="128"/>
      <c r="M39" s="127">
        <f t="shared" si="12"/>
        <v>8697.3700000000008</v>
      </c>
      <c r="N39" s="125" t="s">
        <v>257</v>
      </c>
      <c r="O39" s="127">
        <f>SUMIFS(客户表!V:V,客户表!I:I,媒体表!A39,客户表!A:A,媒体表!E39,客户表!M:M,媒体表!F39)+SUMIFS(客户表!W:W,客户表!I:I,媒体表!A39,客户表!A:A,媒体表!E39,客户表!M:M,媒体表!F39)+SUMIFS(客户表!AL:AL,客户表!I:I,媒体表!A39,客户表!A:A,媒体表!E39,客户表!M:M,媒体表!F39)</f>
        <v>178187.4</v>
      </c>
      <c r="P39" s="125"/>
      <c r="Q39" s="146">
        <f t="shared" si="4"/>
        <v>12205.066037735849</v>
      </c>
      <c r="R39" s="146">
        <f t="shared" si="1"/>
        <v>12205.066037735849</v>
      </c>
      <c r="S39" s="141">
        <f t="shared" si="2"/>
        <v>6.8495673867713713E-2</v>
      </c>
      <c r="T39" s="125"/>
      <c r="U39" s="125" t="s">
        <v>241</v>
      </c>
    </row>
    <row r="40" spans="1:21">
      <c r="A40" s="125" t="s">
        <v>246</v>
      </c>
      <c r="B40" s="125" t="s">
        <v>221</v>
      </c>
      <c r="C40" s="125" t="s">
        <v>260</v>
      </c>
      <c r="D40" s="125" t="s">
        <v>260</v>
      </c>
      <c r="E40" s="149" t="s">
        <v>349</v>
      </c>
      <c r="F40" s="125" t="s">
        <v>217</v>
      </c>
      <c r="G40" s="144">
        <v>109734.59</v>
      </c>
      <c r="H40" s="144">
        <v>109734.59</v>
      </c>
      <c r="I40" s="153">
        <v>0</v>
      </c>
      <c r="J40" s="127">
        <f t="shared" si="11"/>
        <v>0</v>
      </c>
      <c r="K40" s="128">
        <v>0</v>
      </c>
      <c r="L40" s="128"/>
      <c r="M40" s="127">
        <f t="shared" si="12"/>
        <v>0</v>
      </c>
      <c r="N40" s="125" t="s">
        <v>261</v>
      </c>
      <c r="O40" s="127">
        <f>SUMIFS(客户表!V:V,客户表!I:I,媒体表!A40,客户表!A:A,媒体表!E40,客户表!M:M,媒体表!F40)+SUMIFS(客户表!W:W,客户表!I:I,媒体表!A40,客户表!A:A,媒体表!E40,客户表!M:M,媒体表!F40)+SUMIFS(客户表!AL:AL,客户表!I:I,媒体表!A40,客户表!A:A,媒体表!E40,客户表!M:M,媒体表!F40)</f>
        <v>0</v>
      </c>
      <c r="P40" s="125"/>
      <c r="Q40" s="146">
        <f t="shared" si="4"/>
        <v>-103523.19811320755</v>
      </c>
      <c r="R40" s="146">
        <f t="shared" si="1"/>
        <v>-103523.19811320755</v>
      </c>
      <c r="S40" s="141" t="str">
        <f t="shared" si="2"/>
        <v>-</v>
      </c>
      <c r="T40" s="125"/>
      <c r="U40" s="125" t="s">
        <v>241</v>
      </c>
    </row>
    <row r="41" spans="1:21">
      <c r="A41" s="125" t="s">
        <v>350</v>
      </c>
      <c r="B41" s="125" t="s">
        <v>221</v>
      </c>
      <c r="C41" s="125" t="s">
        <v>351</v>
      </c>
      <c r="D41" s="125" t="s">
        <v>351</v>
      </c>
      <c r="E41" s="149" t="s">
        <v>349</v>
      </c>
      <c r="F41" s="125" t="s">
        <v>217</v>
      </c>
      <c r="G41" s="144">
        <v>81000</v>
      </c>
      <c r="H41" s="144">
        <v>81000</v>
      </c>
      <c r="I41" s="153">
        <v>0</v>
      </c>
      <c r="J41" s="127">
        <f t="shared" si="11"/>
        <v>0</v>
      </c>
      <c r="K41" s="128">
        <v>0</v>
      </c>
      <c r="L41" s="128"/>
      <c r="M41" s="127">
        <f t="shared" si="12"/>
        <v>0</v>
      </c>
      <c r="N41" s="125" t="s">
        <v>261</v>
      </c>
      <c r="O41" s="127">
        <f>SUMIFS(客户表!V:V,客户表!I:I,媒体表!A41,客户表!A:A,媒体表!E41,客户表!M:M,媒体表!F41)+SUMIFS(客户表!W:W,客户表!I:I,媒体表!A41,客户表!A:A,媒体表!E41,客户表!M:M,媒体表!F41)+SUMIFS(客户表!AL:AL,客户表!I:I,媒体表!A41,客户表!A:A,媒体表!E41,客户表!M:M,媒体表!F41)</f>
        <v>0</v>
      </c>
      <c r="P41" s="125"/>
      <c r="Q41" s="146">
        <f t="shared" si="4"/>
        <v>-76415.094339622636</v>
      </c>
      <c r="R41" s="146">
        <f t="shared" si="1"/>
        <v>-76415.094339622636</v>
      </c>
      <c r="S41" s="141" t="str">
        <f t="shared" si="2"/>
        <v>-</v>
      </c>
      <c r="T41" s="125"/>
      <c r="U41" s="125" t="s">
        <v>241</v>
      </c>
    </row>
    <row r="42" spans="1:21">
      <c r="A42" s="125" t="s">
        <v>352</v>
      </c>
      <c r="B42" s="125" t="s">
        <v>221</v>
      </c>
      <c r="C42" s="125" t="s">
        <v>224</v>
      </c>
      <c r="D42" s="125" t="s">
        <v>224</v>
      </c>
      <c r="E42" s="149" t="s">
        <v>349</v>
      </c>
      <c r="F42" s="125" t="s">
        <v>344</v>
      </c>
      <c r="G42" s="144">
        <v>14970000</v>
      </c>
      <c r="H42" s="144">
        <v>14970000</v>
      </c>
      <c r="I42" s="153">
        <v>0</v>
      </c>
      <c r="J42" s="127">
        <f t="shared" si="11"/>
        <v>0</v>
      </c>
      <c r="K42" s="128">
        <v>0</v>
      </c>
      <c r="L42" s="128"/>
      <c r="M42" s="127">
        <f t="shared" si="12"/>
        <v>0</v>
      </c>
      <c r="N42" s="125" t="s">
        <v>261</v>
      </c>
      <c r="O42" s="127">
        <f>SUMIFS(客户表!V:V,客户表!I:I,媒体表!A42,客户表!A:A,媒体表!E42,客户表!M:M,媒体表!F42)+SUMIFS(客户表!W:W,客户表!I:I,媒体表!A42,客户表!A:A,媒体表!E42,客户表!M:M,媒体表!F42)+SUMIFS(客户表!AL:AL,客户表!I:I,媒体表!A42,客户表!A:A,媒体表!E42,客户表!M:M,媒体表!F42)</f>
        <v>14820300</v>
      </c>
      <c r="P42" s="125"/>
      <c r="Q42" s="146">
        <f t="shared" si="4"/>
        <v>-141226.41509433961</v>
      </c>
      <c r="R42" s="146">
        <f t="shared" si="1"/>
        <v>-141226.41509433961</v>
      </c>
      <c r="S42" s="141">
        <f t="shared" si="2"/>
        <v>-9.5292548122736798E-3</v>
      </c>
      <c r="T42" s="125"/>
      <c r="U42" s="125" t="s">
        <v>241</v>
      </c>
    </row>
    <row r="43" spans="1:21">
      <c r="A43" s="125" t="s">
        <v>357</v>
      </c>
      <c r="B43" s="125" t="s">
        <v>221</v>
      </c>
      <c r="C43" s="125" t="s">
        <v>358</v>
      </c>
      <c r="D43" s="125" t="s">
        <v>359</v>
      </c>
      <c r="E43" s="149" t="s">
        <v>349</v>
      </c>
      <c r="F43" s="125" t="s">
        <v>277</v>
      </c>
      <c r="G43" s="144">
        <v>0</v>
      </c>
      <c r="H43" s="144">
        <v>0</v>
      </c>
      <c r="I43" s="153">
        <v>0</v>
      </c>
      <c r="J43" s="127">
        <f t="shared" si="11"/>
        <v>0</v>
      </c>
      <c r="K43" s="128">
        <v>0</v>
      </c>
      <c r="L43" s="128">
        <v>0</v>
      </c>
      <c r="M43" s="127">
        <f t="shared" si="12"/>
        <v>0</v>
      </c>
      <c r="N43" s="125" t="s">
        <v>261</v>
      </c>
      <c r="O43" s="127">
        <f>SUMIFS(客户表!V:V,客户表!I:I,媒体表!A43,客户表!A:A,媒体表!E43,客户表!M:M,媒体表!F43)+SUMIFS(客户表!W:W,客户表!I:I,媒体表!A43,客户表!A:A,媒体表!E43,客户表!M:M,媒体表!F43)+SUMIFS(客户表!AL:AL,客户表!I:I,媒体表!A43,客户表!A:A,媒体表!E43,客户表!M:M,媒体表!F43)</f>
        <v>-300000</v>
      </c>
      <c r="P43" s="125"/>
      <c r="Q43" s="146">
        <f t="shared" si="4"/>
        <v>-283018.86792452831</v>
      </c>
      <c r="R43" s="146">
        <f t="shared" si="1"/>
        <v>-283018.86792452831</v>
      </c>
      <c r="S43" s="141">
        <f t="shared" si="2"/>
        <v>0.94339622641509435</v>
      </c>
      <c r="T43" s="125"/>
      <c r="U43" s="125" t="s">
        <v>241</v>
      </c>
    </row>
    <row r="44" spans="1:21">
      <c r="A44" s="125" t="s">
        <v>357</v>
      </c>
      <c r="B44" s="125" t="s">
        <v>221</v>
      </c>
      <c r="C44" s="125" t="s">
        <v>358</v>
      </c>
      <c r="D44" s="125" t="s">
        <v>359</v>
      </c>
      <c r="E44" s="149" t="s">
        <v>349</v>
      </c>
      <c r="F44" s="125" t="s">
        <v>217</v>
      </c>
      <c r="G44" s="144">
        <v>0</v>
      </c>
      <c r="H44" s="144">
        <v>0</v>
      </c>
      <c r="I44" s="153">
        <v>0</v>
      </c>
      <c r="J44" s="127">
        <f t="shared" ref="J44" si="13">H44*I44</f>
        <v>0</v>
      </c>
      <c r="K44" s="128">
        <v>0</v>
      </c>
      <c r="L44" s="128">
        <v>0</v>
      </c>
      <c r="M44" s="127">
        <f t="shared" si="12"/>
        <v>0</v>
      </c>
      <c r="N44" s="125" t="s">
        <v>261</v>
      </c>
      <c r="O44" s="127">
        <f>SUMIFS(客户表!V:V,客户表!I:I,媒体表!A44,客户表!A:A,媒体表!E44,客户表!M:M,媒体表!F44)+SUMIFS(客户表!W:W,客户表!I:I,媒体表!A44,客户表!A:A,媒体表!E44,客户表!M:M,媒体表!F44)+SUMIFS(客户表!AL:AL,客户表!I:I,媒体表!A44,客户表!A:A,媒体表!E44,客户表!M:M,媒体表!F44)</f>
        <v>162816</v>
      </c>
      <c r="P44" s="125"/>
      <c r="Q44" s="146">
        <f t="shared" ref="Q44" si="14">(O44-G44+J44)/1.06</f>
        <v>153600</v>
      </c>
      <c r="R44" s="146">
        <f t="shared" ref="R44" si="15">Q44-(P44/1.06)</f>
        <v>153600</v>
      </c>
      <c r="S44" s="157">
        <f t="shared" ref="S44" si="16">IFERROR(R44/O44,"-")</f>
        <v>0.94339622641509435</v>
      </c>
      <c r="T44" s="125"/>
      <c r="U44" s="125" t="s">
        <v>241</v>
      </c>
    </row>
    <row r="46" spans="1:21">
      <c r="H46" s="159"/>
    </row>
    <row r="47" spans="1:21">
      <c r="H47" s="159"/>
    </row>
    <row r="48" spans="1:21">
      <c r="H48" s="159"/>
    </row>
    <row r="49" spans="8:8">
      <c r="H49" s="159"/>
    </row>
    <row r="50" spans="8:8">
      <c r="H50" s="159"/>
    </row>
    <row r="51" spans="8:8">
      <c r="H51" s="159"/>
    </row>
    <row r="52" spans="8:8">
      <c r="H52" s="159"/>
    </row>
    <row r="53" spans="8:8">
      <c r="H53" s="159"/>
    </row>
    <row r="54" spans="8:8">
      <c r="H54" s="159"/>
    </row>
    <row r="55" spans="8:8">
      <c r="H55" s="159"/>
    </row>
    <row r="56" spans="8:8">
      <c r="H56" s="159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夏夏</cp:lastModifiedBy>
  <dcterms:created xsi:type="dcterms:W3CDTF">2020-02-05T04:16:00Z</dcterms:created>
  <dcterms:modified xsi:type="dcterms:W3CDTF">2020-08-04T07:19:14Z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